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validglobal.sharepoint.com/sites/ValidRI/Documentos Compartilhados/06. Divulgação de Resultados/2026/1T26/03. Planilha Dinâmica/"/>
    </mc:Choice>
  </mc:AlternateContent>
  <xr:revisionPtr revIDLastSave="81" documentId="8_{A62F257B-D604-4A67-AF3F-8BF7ED758C63}" xr6:coauthVersionLast="47" xr6:coauthVersionMax="47" xr10:uidLastSave="{9F3661A0-22B7-4C92-9560-C0FBCF5A5E5A}"/>
  <bookViews>
    <workbookView xWindow="-110" yWindow="-110" windowWidth="19420" windowHeight="10300" tabRatio="738" firstSheet="4" activeTab="11" xr2:uid="{00000000-000D-0000-FFFF-FFFF00000000}"/>
  </bookViews>
  <sheets>
    <sheet name="Menu" sheetId="15" r:id="rId1"/>
    <sheet name="DRE" sheetId="4" r:id="rId2"/>
    <sheet name="DRE Op Continuada" sheetId="5" r:id="rId3"/>
    <sheet name="Balanço" sheetId="2" r:id="rId4"/>
    <sheet name="Margens E Indicadores" sheetId="16" r:id="rId5"/>
    <sheet name="DFC 10-14" sheetId="9" r:id="rId6"/>
    <sheet name="DFC 15" sheetId="8" r:id="rId7"/>
    <sheet name="DFC 16" sheetId="7" r:id="rId8"/>
    <sheet name="DFC 17-26" sheetId="6" r:id="rId9"/>
    <sheet name="Resultados Valid Visão até 2020" sheetId="10" r:id="rId10"/>
    <sheet name="Resultados Valid Visão 2021" sheetId="11" r:id="rId11"/>
    <sheet name="Resultados Valid Visão 2022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2" i="6" l="1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AS57" i="6" l="1"/>
  <c r="AS97" i="6"/>
  <c r="AS78" i="6"/>
  <c r="AE44" i="12" l="1"/>
  <c r="AE43" i="12"/>
  <c r="AE42" i="12"/>
  <c r="AE41" i="12"/>
  <c r="AE40" i="12"/>
  <c r="AE39" i="12"/>
  <c r="AE38" i="12"/>
  <c r="AE32" i="12"/>
  <c r="AE37" i="12" l="1"/>
  <c r="AE17" i="12"/>
  <c r="AE25" i="12" s="1"/>
  <c r="AE45" i="12" l="1"/>
  <c r="AE30" i="12"/>
  <c r="BS25" i="2" l="1"/>
  <c r="AB32" i="5"/>
  <c r="BS42" i="2" l="1"/>
  <c r="BS71" i="2"/>
  <c r="BS82" i="2"/>
  <c r="BS84" i="2" s="1"/>
  <c r="BS59" i="2"/>
  <c r="BS37" i="2"/>
  <c r="BS22" i="2"/>
  <c r="BS86" i="2" l="1"/>
  <c r="X11" i="16"/>
  <c r="BS44" i="2"/>
  <c r="AB25" i="5" l="1"/>
  <c r="AB18" i="5"/>
  <c r="AS102" i="6"/>
  <c r="AS106" i="6" s="1"/>
  <c r="D9" i="4" l="1"/>
  <c r="D11" i="4" s="1"/>
  <c r="E9" i="4"/>
  <c r="E11" i="4" s="1"/>
  <c r="F9" i="4"/>
  <c r="F11" i="4" s="1"/>
  <c r="G9" i="4"/>
  <c r="G11" i="4" s="1"/>
  <c r="D18" i="4"/>
  <c r="E18" i="4"/>
  <c r="F18" i="4"/>
  <c r="G18" i="4"/>
  <c r="D25" i="4"/>
  <c r="E25" i="4"/>
  <c r="F25" i="4"/>
  <c r="G25" i="4"/>
  <c r="D32" i="4"/>
  <c r="E32" i="4"/>
  <c r="F32" i="4"/>
  <c r="G32" i="4"/>
  <c r="F20" i="4" l="1"/>
  <c r="F27" i="4" s="1"/>
  <c r="F39" i="4" s="1"/>
  <c r="D20" i="4"/>
  <c r="D27" i="4" s="1"/>
  <c r="D39" i="4" s="1"/>
  <c r="G20" i="4"/>
  <c r="G27" i="4" s="1"/>
  <c r="G39" i="4" s="1"/>
  <c r="E20" i="4"/>
  <c r="E27" i="4" s="1"/>
  <c r="E39" i="4" s="1"/>
  <c r="AD17" i="12"/>
  <c r="AD25" i="12" l="1"/>
  <c r="AD64" i="12"/>
  <c r="AD82" i="12" l="1"/>
  <c r="AD80" i="12"/>
  <c r="AD53" i="12"/>
  <c r="AD42" i="12"/>
  <c r="AD41" i="12"/>
  <c r="AD44" i="12"/>
  <c r="AD43" i="12"/>
  <c r="AD40" i="12"/>
  <c r="AD39" i="12"/>
  <c r="AD38" i="12"/>
  <c r="AD32" i="12"/>
  <c r="AD52" i="12" l="1"/>
  <c r="AD63" i="12"/>
  <c r="AD37" i="12"/>
  <c r="AD81" i="12"/>
  <c r="AD62" i="12"/>
  <c r="AD51" i="12"/>
  <c r="W20" i="16" l="1"/>
  <c r="W16" i="16"/>
  <c r="W14" i="16"/>
  <c r="AD9" i="12"/>
  <c r="AD78" i="12" l="1"/>
  <c r="AD60" i="12"/>
  <c r="AD14" i="12"/>
  <c r="AD29" i="12"/>
  <c r="AD33" i="12" s="1"/>
  <c r="AD13" i="12"/>
  <c r="AD11" i="12"/>
  <c r="AD49" i="12"/>
  <c r="W7" i="16"/>
  <c r="AA32" i="5"/>
  <c r="AA25" i="5"/>
  <c r="AA18" i="5"/>
  <c r="AA11" i="5"/>
  <c r="W8" i="16" s="1"/>
  <c r="AD34" i="12" l="1"/>
  <c r="AD83" i="12"/>
  <c r="AD65" i="12"/>
  <c r="AD54" i="12"/>
  <c r="AA20" i="5"/>
  <c r="AA27" i="5" l="1"/>
  <c r="W9" i="16"/>
  <c r="BR59" i="2"/>
  <c r="BR42" i="2"/>
  <c r="BR25" i="2"/>
  <c r="BR22" i="2"/>
  <c r="W11" i="16" s="1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20" i="16"/>
  <c r="V16" i="16"/>
  <c r="V14" i="16"/>
  <c r="BQ25" i="2"/>
  <c r="AA34" i="5" l="1"/>
  <c r="AR13" i="6"/>
  <c r="BR82" i="2"/>
  <c r="BR84" i="2" s="1"/>
  <c r="BR71" i="2"/>
  <c r="BR37" i="2"/>
  <c r="BR44" i="2" s="1"/>
  <c r="BQ42" i="2"/>
  <c r="BQ22" i="2"/>
  <c r="BQ37" i="2"/>
  <c r="BQ82" i="2"/>
  <c r="BQ84" i="2" s="1"/>
  <c r="BQ71" i="2"/>
  <c r="BQ59" i="2"/>
  <c r="V11" i="16" s="1"/>
  <c r="AA39" i="5" l="1"/>
  <c r="W10" i="16" s="1"/>
  <c r="BR86" i="2"/>
  <c r="BQ44" i="2"/>
  <c r="BQ86" i="2"/>
  <c r="AR97" i="6" l="1"/>
  <c r="AQ97" i="6"/>
  <c r="AR40" i="6"/>
  <c r="AR78" i="6"/>
  <c r="AR57" i="6"/>
  <c r="AR102" i="6" l="1"/>
  <c r="AR59" i="6"/>
  <c r="K101" i="6"/>
  <c r="AR99" i="6" l="1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P78" i="6"/>
  <c r="AO57" i="6"/>
  <c r="AN57" i="6"/>
  <c r="AN59" i="6" s="1"/>
  <c r="AM57" i="6"/>
  <c r="AM59" i="6" s="1"/>
  <c r="AL57" i="6"/>
  <c r="AK57" i="6"/>
  <c r="AK59" i="6" s="1"/>
  <c r="AJ57" i="6"/>
  <c r="AJ59" i="6" s="1"/>
  <c r="AI57" i="6"/>
  <c r="AI59" i="6" s="1"/>
  <c r="AH57" i="6"/>
  <c r="AH59" i="6" s="1"/>
  <c r="AG57" i="6"/>
  <c r="AG59" i="6" s="1"/>
  <c r="AF57" i="6"/>
  <c r="AE57" i="6"/>
  <c r="AD57" i="6"/>
  <c r="AC57" i="6"/>
  <c r="AA57" i="6"/>
  <c r="Z57" i="6"/>
  <c r="Y57" i="6"/>
  <c r="X57" i="6"/>
  <c r="W57" i="6"/>
  <c r="V57" i="6"/>
  <c r="U57" i="6"/>
  <c r="T57" i="6"/>
  <c r="S57" i="6"/>
  <c r="R57" i="6"/>
  <c r="Q57" i="6"/>
  <c r="Q59" i="6" s="1"/>
  <c r="P57" i="6"/>
  <c r="O57" i="6"/>
  <c r="N57" i="6"/>
  <c r="M57" i="6"/>
  <c r="L57" i="6"/>
  <c r="K57" i="6"/>
  <c r="K59" i="6" s="1"/>
  <c r="J57" i="6"/>
  <c r="J59" i="6" s="1"/>
  <c r="I57" i="6"/>
  <c r="I59" i="6" s="1"/>
  <c r="H57" i="6"/>
  <c r="H59" i="6" s="1"/>
  <c r="G57" i="6"/>
  <c r="G59" i="6" s="1"/>
  <c r="F57" i="6"/>
  <c r="F59" i="6" s="1"/>
  <c r="E57" i="6"/>
  <c r="E59" i="6" s="1"/>
  <c r="D57" i="6"/>
  <c r="D59" i="6" s="1"/>
  <c r="AP57" i="6"/>
  <c r="AP40" i="6"/>
  <c r="Y39" i="5"/>
  <c r="X39" i="5"/>
  <c r="W39" i="5"/>
  <c r="V39" i="5"/>
  <c r="U39" i="5"/>
  <c r="S39" i="5"/>
  <c r="R39" i="5"/>
  <c r="Q39" i="5"/>
  <c r="P39" i="5"/>
  <c r="O39" i="5"/>
  <c r="N39" i="5"/>
  <c r="AO59" i="6" l="1"/>
  <c r="AR106" i="6"/>
  <c r="G99" i="6"/>
  <c r="K99" i="6"/>
  <c r="I99" i="6"/>
  <c r="Q99" i="6"/>
  <c r="AM99" i="6"/>
  <c r="AI99" i="6"/>
  <c r="AH99" i="6"/>
  <c r="J99" i="6"/>
  <c r="AP59" i="6"/>
  <c r="AP99" i="6" s="1"/>
  <c r="AP106" i="6" s="1"/>
  <c r="AK99" i="6"/>
  <c r="AG99" i="6"/>
  <c r="E99" i="6"/>
  <c r="H99" i="6"/>
  <c r="AN99" i="6"/>
  <c r="AJ99" i="6"/>
  <c r="F99" i="6"/>
  <c r="D99" i="6"/>
  <c r="AO99" i="6" l="1"/>
  <c r="AO106" i="6" s="1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7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S17" i="12"/>
  <c r="T17" i="12"/>
  <c r="U17" i="12"/>
  <c r="V17" i="12"/>
  <c r="W17" i="12"/>
  <c r="X17" i="12"/>
  <c r="Y17" i="12"/>
  <c r="Z17" i="12"/>
  <c r="AA17" i="12"/>
  <c r="AB17" i="12"/>
  <c r="AC17" i="12"/>
  <c r="AC25" i="12" s="1"/>
  <c r="AC44" i="12"/>
  <c r="AC43" i="12"/>
  <c r="AC42" i="12"/>
  <c r="AC41" i="12"/>
  <c r="AC40" i="12"/>
  <c r="AC39" i="12"/>
  <c r="AC38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D14" i="12"/>
  <c r="D83" i="12" s="1"/>
  <c r="E14" i="12"/>
  <c r="E83" i="12" s="1"/>
  <c r="F14" i="12"/>
  <c r="F83" i="12" s="1"/>
  <c r="G14" i="12"/>
  <c r="G83" i="12" s="1"/>
  <c r="H14" i="12"/>
  <c r="H83" i="12" s="1"/>
  <c r="I14" i="12"/>
  <c r="I83" i="12" s="1"/>
  <c r="J14" i="12"/>
  <c r="J83" i="12" s="1"/>
  <c r="K14" i="12"/>
  <c r="K83" i="12" s="1"/>
  <c r="L14" i="12"/>
  <c r="L83" i="12" s="1"/>
  <c r="M14" i="12"/>
  <c r="M83" i="12" s="1"/>
  <c r="N14" i="12"/>
  <c r="N65" i="12" s="1"/>
  <c r="O14" i="12"/>
  <c r="O65" i="12" s="1"/>
  <c r="W9" i="5"/>
  <c r="X9" i="12"/>
  <c r="X14" i="12" s="1"/>
  <c r="Y9" i="12"/>
  <c r="Y14" i="12" s="1"/>
  <c r="Z9" i="12"/>
  <c r="Z13" i="12" s="1"/>
  <c r="W9" i="12"/>
  <c r="W14" i="12" s="1"/>
  <c r="W83" i="12" s="1"/>
  <c r="T9" i="12"/>
  <c r="T14" i="12" s="1"/>
  <c r="U9" i="12"/>
  <c r="U11" i="12" s="1"/>
  <c r="V9" i="12"/>
  <c r="V14" i="12" s="1"/>
  <c r="S9" i="12"/>
  <c r="S14" i="12" s="1"/>
  <c r="Z14" i="12" l="1"/>
  <c r="Z65" i="12" s="1"/>
  <c r="Z11" i="12"/>
  <c r="W13" i="12"/>
  <c r="W11" i="12"/>
  <c r="V13" i="12"/>
  <c r="U13" i="12"/>
  <c r="T13" i="12"/>
  <c r="Y13" i="12"/>
  <c r="AC32" i="12"/>
  <c r="AC37" i="12" s="1"/>
  <c r="X83" i="12"/>
  <c r="X65" i="12"/>
  <c r="T83" i="12"/>
  <c r="T65" i="12"/>
  <c r="V83" i="12"/>
  <c r="V65" i="12"/>
  <c r="S83" i="12"/>
  <c r="S65" i="12"/>
  <c r="Y83" i="12"/>
  <c r="Y65" i="12"/>
  <c r="M65" i="12"/>
  <c r="O83" i="12"/>
  <c r="L65" i="12"/>
  <c r="Z83" i="12"/>
  <c r="N83" i="12"/>
  <c r="W65" i="12"/>
  <c r="K65" i="12"/>
  <c r="J65" i="12"/>
  <c r="I65" i="12"/>
  <c r="H65" i="12"/>
  <c r="G65" i="12"/>
  <c r="Y11" i="12"/>
  <c r="X13" i="12"/>
  <c r="X11" i="12"/>
  <c r="V11" i="12"/>
  <c r="F65" i="12"/>
  <c r="U14" i="12"/>
  <c r="T11" i="12"/>
  <c r="S13" i="12"/>
  <c r="S11" i="12"/>
  <c r="E65" i="12"/>
  <c r="D65" i="12"/>
  <c r="Y18" i="5"/>
  <c r="D32" i="12"/>
  <c r="D37" i="12" s="1"/>
  <c r="D45" i="12" s="1"/>
  <c r="E32" i="12"/>
  <c r="E37" i="12" s="1"/>
  <c r="F32" i="12"/>
  <c r="F37" i="12" s="1"/>
  <c r="F45" i="12" s="1"/>
  <c r="G32" i="12"/>
  <c r="G37" i="12" s="1"/>
  <c r="G45" i="12" s="1"/>
  <c r="H32" i="12"/>
  <c r="H37" i="12" s="1"/>
  <c r="H45" i="12" s="1"/>
  <c r="I32" i="12"/>
  <c r="I37" i="12" s="1"/>
  <c r="I45" i="12" s="1"/>
  <c r="J32" i="12"/>
  <c r="J37" i="12" s="1"/>
  <c r="J45" i="12" s="1"/>
  <c r="K32" i="12"/>
  <c r="L32" i="12"/>
  <c r="L37" i="12" s="1"/>
  <c r="L45" i="12" s="1"/>
  <c r="M32" i="12"/>
  <c r="M37" i="12" s="1"/>
  <c r="M45" i="12" s="1"/>
  <c r="N32" i="12"/>
  <c r="O32" i="12"/>
  <c r="S32" i="12"/>
  <c r="S37" i="12" s="1"/>
  <c r="S45" i="12" s="1"/>
  <c r="T32" i="12"/>
  <c r="T37" i="12" s="1"/>
  <c r="T45" i="12" s="1"/>
  <c r="U32" i="12"/>
  <c r="U37" i="12" s="1"/>
  <c r="U45" i="12" s="1"/>
  <c r="V32" i="12"/>
  <c r="W32" i="12"/>
  <c r="X32" i="12"/>
  <c r="Y32" i="12"/>
  <c r="Y37" i="12" s="1"/>
  <c r="Y45" i="12" s="1"/>
  <c r="Z32" i="12"/>
  <c r="AA32" i="12"/>
  <c r="AB32" i="12"/>
  <c r="AB37" i="12" s="1"/>
  <c r="AB45" i="12" s="1"/>
  <c r="D29" i="12"/>
  <c r="E29" i="12"/>
  <c r="F29" i="12"/>
  <c r="G29" i="12"/>
  <c r="H29" i="12"/>
  <c r="I29" i="12"/>
  <c r="J29" i="12"/>
  <c r="K29" i="12"/>
  <c r="L29" i="12"/>
  <c r="M29" i="12"/>
  <c r="N29" i="12"/>
  <c r="O29" i="12"/>
  <c r="U29" i="12"/>
  <c r="V29" i="12"/>
  <c r="W29" i="12"/>
  <c r="X29" i="12"/>
  <c r="Y29" i="12"/>
  <c r="D25" i="12"/>
  <c r="D30" i="12" s="1"/>
  <c r="E25" i="12"/>
  <c r="E30" i="12" s="1"/>
  <c r="F25" i="12"/>
  <c r="F30" i="12" s="1"/>
  <c r="G25" i="12"/>
  <c r="G30" i="12" s="1"/>
  <c r="H25" i="12"/>
  <c r="H30" i="12" s="1"/>
  <c r="I25" i="12"/>
  <c r="I30" i="12" s="1"/>
  <c r="J25" i="12"/>
  <c r="J30" i="12" s="1"/>
  <c r="K25" i="12"/>
  <c r="K30" i="12" s="1"/>
  <c r="L25" i="12"/>
  <c r="L30" i="12" s="1"/>
  <c r="M25" i="12"/>
  <c r="M30" i="12" s="1"/>
  <c r="N25" i="12"/>
  <c r="N30" i="12" s="1"/>
  <c r="O25" i="12"/>
  <c r="O30" i="12" s="1"/>
  <c r="S25" i="12"/>
  <c r="S30" i="12" s="1"/>
  <c r="T25" i="12"/>
  <c r="T30" i="12" s="1"/>
  <c r="U25" i="12"/>
  <c r="U30" i="12" s="1"/>
  <c r="V25" i="12"/>
  <c r="V30" i="12" s="1"/>
  <c r="W25" i="12"/>
  <c r="W30" i="12" s="1"/>
  <c r="X25" i="12"/>
  <c r="X30" i="12" s="1"/>
  <c r="Y25" i="12"/>
  <c r="Y30" i="12" s="1"/>
  <c r="Z25" i="12"/>
  <c r="Z30" i="12" s="1"/>
  <c r="AA25" i="12"/>
  <c r="AA30" i="12" s="1"/>
  <c r="AB25" i="12"/>
  <c r="AB30" i="12" s="1"/>
  <c r="D29" i="11"/>
  <c r="D31" i="11" s="1"/>
  <c r="E29" i="11"/>
  <c r="E31" i="11" s="1"/>
  <c r="F29" i="11"/>
  <c r="F31" i="11" s="1"/>
  <c r="G29" i="11"/>
  <c r="G31" i="11" s="1"/>
  <c r="H29" i="11"/>
  <c r="H31" i="11" s="1"/>
  <c r="I29" i="11"/>
  <c r="I31" i="11" s="1"/>
  <c r="J29" i="11"/>
  <c r="J31" i="11" s="1"/>
  <c r="K29" i="11"/>
  <c r="K31" i="11" s="1"/>
  <c r="L29" i="11"/>
  <c r="L31" i="11" s="1"/>
  <c r="M29" i="11"/>
  <c r="M31" i="11" s="1"/>
  <c r="N29" i="11"/>
  <c r="N31" i="11" s="1"/>
  <c r="O29" i="11"/>
  <c r="O31" i="11" s="1"/>
  <c r="P29" i="11"/>
  <c r="P31" i="11" s="1"/>
  <c r="Q29" i="11"/>
  <c r="Q31" i="11" s="1"/>
  <c r="R29" i="11"/>
  <c r="S29" i="11"/>
  <c r="AF29" i="11"/>
  <c r="AF31" i="11" s="1"/>
  <c r="AE29" i="11"/>
  <c r="AD29" i="11"/>
  <c r="AD33" i="11" s="1"/>
  <c r="AC29" i="11"/>
  <c r="AC33" i="11" s="1"/>
  <c r="AB29" i="11"/>
  <c r="AB33" i="11" s="1"/>
  <c r="AA29" i="11"/>
  <c r="AA33" i="11" s="1"/>
  <c r="Z29" i="11"/>
  <c r="Y29" i="11"/>
  <c r="X29" i="11"/>
  <c r="X33" i="11" s="1"/>
  <c r="W29" i="11"/>
  <c r="V29" i="11"/>
  <c r="U29" i="11"/>
  <c r="T29" i="11"/>
  <c r="AH29" i="11"/>
  <c r="AH31" i="11" s="1"/>
  <c r="AG9" i="11"/>
  <c r="BA9" i="10"/>
  <c r="BB9" i="10"/>
  <c r="BB13" i="10" s="1"/>
  <c r="BC9" i="10"/>
  <c r="BD9" i="10"/>
  <c r="BE9" i="10"/>
  <c r="BG9" i="10"/>
  <c r="W11" i="5"/>
  <c r="T29" i="12"/>
  <c r="S29" i="12"/>
  <c r="Q9" i="12"/>
  <c r="Q69" i="12" s="1"/>
  <c r="H33" i="10"/>
  <c r="H36" i="10" s="1"/>
  <c r="I33" i="10"/>
  <c r="I38" i="10" s="1"/>
  <c r="J33" i="10"/>
  <c r="J38" i="10" s="1"/>
  <c r="K33" i="10"/>
  <c r="K36" i="10" s="1"/>
  <c r="L33" i="10"/>
  <c r="L38" i="10" s="1"/>
  <c r="M33" i="10"/>
  <c r="M36" i="10" s="1"/>
  <c r="N33" i="10"/>
  <c r="N38" i="10" s="1"/>
  <c r="O33" i="10"/>
  <c r="O38" i="10" s="1"/>
  <c r="P33" i="10"/>
  <c r="P38" i="10" s="1"/>
  <c r="Q33" i="10"/>
  <c r="Q38" i="10" s="1"/>
  <c r="R33" i="10"/>
  <c r="S33" i="10"/>
  <c r="S36" i="10" s="1"/>
  <c r="T33" i="10"/>
  <c r="T38" i="10" s="1"/>
  <c r="U33" i="10"/>
  <c r="U38" i="10" s="1"/>
  <c r="V33" i="10"/>
  <c r="W33" i="10"/>
  <c r="W36" i="10" s="1"/>
  <c r="X33" i="10"/>
  <c r="X38" i="10" s="1"/>
  <c r="Y33" i="10"/>
  <c r="Y38" i="10" s="1"/>
  <c r="Z33" i="10"/>
  <c r="AA33" i="10"/>
  <c r="AA38" i="10" s="1"/>
  <c r="AB33" i="10"/>
  <c r="AB36" i="10" s="1"/>
  <c r="AC33" i="10"/>
  <c r="AC36" i="10" s="1"/>
  <c r="AD33" i="10"/>
  <c r="AD38" i="10" s="1"/>
  <c r="AE33" i="10"/>
  <c r="AE36" i="10" s="1"/>
  <c r="AF33" i="10"/>
  <c r="AF36" i="10" s="1"/>
  <c r="AG33" i="10"/>
  <c r="AH33" i="10"/>
  <c r="AH38" i="10" s="1"/>
  <c r="AI33" i="10"/>
  <c r="AI38" i="10" s="1"/>
  <c r="AJ33" i="10"/>
  <c r="AJ38" i="10" s="1"/>
  <c r="AK33" i="10"/>
  <c r="AK38" i="10" s="1"/>
  <c r="AL33" i="10"/>
  <c r="AL38" i="10" s="1"/>
  <c r="AM33" i="10"/>
  <c r="AM38" i="10" s="1"/>
  <c r="AN33" i="10"/>
  <c r="AN36" i="10" s="1"/>
  <c r="AO33" i="10"/>
  <c r="AP33" i="10"/>
  <c r="AP38" i="10" s="1"/>
  <c r="AQ33" i="10"/>
  <c r="AQ36" i="10" s="1"/>
  <c r="AR33" i="10"/>
  <c r="AS33" i="10"/>
  <c r="AS38" i="10" s="1"/>
  <c r="AT33" i="10"/>
  <c r="AT36" i="10" s="1"/>
  <c r="AU33" i="10"/>
  <c r="AV33" i="10"/>
  <c r="AW33" i="10"/>
  <c r="AX33" i="10"/>
  <c r="AY33" i="10"/>
  <c r="AY36" i="10" s="1"/>
  <c r="AZ33" i="10"/>
  <c r="BA33" i="10"/>
  <c r="BB33" i="10"/>
  <c r="BC33" i="10"/>
  <c r="BD33" i="10"/>
  <c r="BE33" i="10"/>
  <c r="BF33" i="10"/>
  <c r="BG33" i="10"/>
  <c r="AB25" i="4"/>
  <c r="BN11" i="4"/>
  <c r="D32" i="5"/>
  <c r="E32" i="5"/>
  <c r="F32" i="5"/>
  <c r="G32" i="5"/>
  <c r="I32" i="5"/>
  <c r="J32" i="5"/>
  <c r="K32" i="5"/>
  <c r="L32" i="5"/>
  <c r="N32" i="5"/>
  <c r="O32" i="5"/>
  <c r="P32" i="5"/>
  <c r="Q32" i="5"/>
  <c r="R32" i="5"/>
  <c r="S32" i="5"/>
  <c r="T32" i="5"/>
  <c r="U32" i="5"/>
  <c r="V32" i="5"/>
  <c r="W32" i="5"/>
  <c r="X32" i="5"/>
  <c r="Y32" i="5"/>
  <c r="D25" i="5"/>
  <c r="E25" i="5"/>
  <c r="F25" i="5"/>
  <c r="G25" i="5"/>
  <c r="I25" i="5"/>
  <c r="J25" i="5"/>
  <c r="K25" i="5"/>
  <c r="L25" i="5"/>
  <c r="N25" i="5"/>
  <c r="O25" i="5"/>
  <c r="P25" i="5"/>
  <c r="Q25" i="5"/>
  <c r="R25" i="5"/>
  <c r="S25" i="5"/>
  <c r="T25" i="5"/>
  <c r="U25" i="5"/>
  <c r="V25" i="5"/>
  <c r="W25" i="5"/>
  <c r="X25" i="5"/>
  <c r="Y25" i="5"/>
  <c r="D18" i="5"/>
  <c r="E18" i="5"/>
  <c r="F18" i="5"/>
  <c r="G18" i="5"/>
  <c r="I18" i="5"/>
  <c r="J18" i="5"/>
  <c r="K18" i="5"/>
  <c r="L18" i="5"/>
  <c r="N18" i="5"/>
  <c r="O18" i="5"/>
  <c r="P18" i="5"/>
  <c r="Q18" i="5"/>
  <c r="R18" i="5"/>
  <c r="S18" i="5"/>
  <c r="T18" i="5"/>
  <c r="U18" i="5"/>
  <c r="V18" i="5"/>
  <c r="W18" i="5"/>
  <c r="X18" i="5"/>
  <c r="D11" i="5"/>
  <c r="E11" i="5"/>
  <c r="F11" i="5"/>
  <c r="G11" i="5"/>
  <c r="I11" i="5"/>
  <c r="J11" i="5"/>
  <c r="K11" i="5"/>
  <c r="L11" i="5"/>
  <c r="N11" i="5"/>
  <c r="O11" i="5"/>
  <c r="P11" i="5"/>
  <c r="Q11" i="5"/>
  <c r="R11" i="5"/>
  <c r="S11" i="5"/>
  <c r="T11" i="5"/>
  <c r="U11" i="5"/>
  <c r="V11" i="5"/>
  <c r="D82" i="2"/>
  <c r="D84" i="2" s="1"/>
  <c r="E82" i="2"/>
  <c r="E84" i="2" s="1"/>
  <c r="F82" i="2"/>
  <c r="F84" i="2" s="1"/>
  <c r="G82" i="2"/>
  <c r="G84" i="2" s="1"/>
  <c r="H82" i="2"/>
  <c r="H84" i="2" s="1"/>
  <c r="I82" i="2"/>
  <c r="I84" i="2" s="1"/>
  <c r="J82" i="2"/>
  <c r="J84" i="2" s="1"/>
  <c r="K82" i="2"/>
  <c r="K84" i="2" s="1"/>
  <c r="L82" i="2"/>
  <c r="L84" i="2" s="1"/>
  <c r="M82" i="2"/>
  <c r="M84" i="2" s="1"/>
  <c r="N82" i="2"/>
  <c r="N84" i="2" s="1"/>
  <c r="O82" i="2"/>
  <c r="O84" i="2" s="1"/>
  <c r="P82" i="2"/>
  <c r="P84" i="2" s="1"/>
  <c r="Q82" i="2"/>
  <c r="Q84" i="2" s="1"/>
  <c r="R82" i="2"/>
  <c r="R84" i="2" s="1"/>
  <c r="S82" i="2"/>
  <c r="S84" i="2" s="1"/>
  <c r="T82" i="2"/>
  <c r="T84" i="2" s="1"/>
  <c r="U82" i="2"/>
  <c r="U84" i="2" s="1"/>
  <c r="V82" i="2"/>
  <c r="V84" i="2" s="1"/>
  <c r="Y82" i="2"/>
  <c r="Y84" i="2" s="1"/>
  <c r="Z82" i="2"/>
  <c r="Z84" i="2" s="1"/>
  <c r="AE82" i="2"/>
  <c r="AE84" i="2" s="1"/>
  <c r="AF82" i="2"/>
  <c r="AF84" i="2" s="1"/>
  <c r="AH82" i="2"/>
  <c r="AH84" i="2" s="1"/>
  <c r="AI82" i="2"/>
  <c r="AI84" i="2" s="1"/>
  <c r="AJ82" i="2"/>
  <c r="AJ84" i="2" s="1"/>
  <c r="AK82" i="2"/>
  <c r="AK84" i="2" s="1"/>
  <c r="AL82" i="2"/>
  <c r="AL84" i="2" s="1"/>
  <c r="AM82" i="2"/>
  <c r="AM84" i="2" s="1"/>
  <c r="AN82" i="2"/>
  <c r="AN84" i="2" s="1"/>
  <c r="AO82" i="2"/>
  <c r="AO84" i="2" s="1"/>
  <c r="AP82" i="2"/>
  <c r="AP84" i="2" s="1"/>
  <c r="AQ82" i="2"/>
  <c r="AQ84" i="2" s="1"/>
  <c r="AR82" i="2"/>
  <c r="AR84" i="2" s="1"/>
  <c r="AS82" i="2"/>
  <c r="AS84" i="2" s="1"/>
  <c r="AT82" i="2"/>
  <c r="AT84" i="2" s="1"/>
  <c r="AU82" i="2"/>
  <c r="AU84" i="2" s="1"/>
  <c r="AV82" i="2"/>
  <c r="AV84" i="2" s="1"/>
  <c r="AW82" i="2"/>
  <c r="AW84" i="2" s="1"/>
  <c r="AX82" i="2"/>
  <c r="AX84" i="2" s="1"/>
  <c r="AY82" i="2"/>
  <c r="AY84" i="2" s="1"/>
  <c r="AZ82" i="2"/>
  <c r="AZ84" i="2" s="1"/>
  <c r="BA82" i="2"/>
  <c r="BA84" i="2" s="1"/>
  <c r="F18" i="16" s="1"/>
  <c r="BB82" i="2"/>
  <c r="BB84" i="2" s="1"/>
  <c r="BC82" i="2"/>
  <c r="BC84" i="2" s="1"/>
  <c r="H18" i="16" s="1"/>
  <c r="BD82" i="2"/>
  <c r="BD84" i="2" s="1"/>
  <c r="BE82" i="2"/>
  <c r="BE84" i="2" s="1"/>
  <c r="BF82" i="2"/>
  <c r="BF84" i="2" s="1"/>
  <c r="K18" i="16" s="1"/>
  <c r="BG82" i="2"/>
  <c r="BG84" i="2" s="1"/>
  <c r="BH82" i="2"/>
  <c r="BH84" i="2" s="1"/>
  <c r="BI82" i="2"/>
  <c r="BI84" i="2" s="1"/>
  <c r="BJ82" i="2"/>
  <c r="BJ84" i="2" s="1"/>
  <c r="BK82" i="2"/>
  <c r="BK84" i="2" s="1"/>
  <c r="BL82" i="2"/>
  <c r="BL84" i="2" s="1"/>
  <c r="BM82" i="2"/>
  <c r="BM84" i="2" s="1"/>
  <c r="BN82" i="2"/>
  <c r="BN84" i="2" s="1"/>
  <c r="BO82" i="2"/>
  <c r="BO84" i="2" s="1"/>
  <c r="BP82" i="2"/>
  <c r="BP84" i="2" s="1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42" i="2"/>
  <c r="BP37" i="2"/>
  <c r="BN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O59" i="2"/>
  <c r="BP59" i="2"/>
  <c r="AL102" i="6"/>
  <c r="AL106" i="6" s="1"/>
  <c r="AL40" i="6"/>
  <c r="AL59" i="6" s="1"/>
  <c r="AL99" i="6" s="1"/>
  <c r="M43" i="5"/>
  <c r="M42" i="5"/>
  <c r="M36" i="5"/>
  <c r="M31" i="5"/>
  <c r="M30" i="5"/>
  <c r="M24" i="5"/>
  <c r="M23" i="5"/>
  <c r="M17" i="5"/>
  <c r="M16" i="5"/>
  <c r="M15" i="5"/>
  <c r="M14" i="5"/>
  <c r="M10" i="5"/>
  <c r="M9" i="5"/>
  <c r="H43" i="5"/>
  <c r="H42" i="5"/>
  <c r="H36" i="5"/>
  <c r="H31" i="5"/>
  <c r="H30" i="5"/>
  <c r="H24" i="5"/>
  <c r="H23" i="5"/>
  <c r="H17" i="5"/>
  <c r="H16" i="5"/>
  <c r="H15" i="5"/>
  <c r="H14" i="5"/>
  <c r="H10" i="5"/>
  <c r="H9" i="5"/>
  <c r="BN32" i="4"/>
  <c r="BN25" i="4"/>
  <c r="Q20" i="12" s="1"/>
  <c r="BN18" i="4"/>
  <c r="BM42" i="4"/>
  <c r="P12" i="12" s="1"/>
  <c r="BM43" i="4"/>
  <c r="P18" i="12" s="1"/>
  <c r="R18" i="12" s="1"/>
  <c r="AF102" i="6"/>
  <c r="AF106" i="6" s="1"/>
  <c r="H34" i="12"/>
  <c r="H80" i="12"/>
  <c r="F34" i="12"/>
  <c r="D34" i="12"/>
  <c r="H78" i="12"/>
  <c r="O80" i="12"/>
  <c r="G78" i="12"/>
  <c r="F78" i="12"/>
  <c r="E78" i="12"/>
  <c r="D78" i="12"/>
  <c r="H72" i="12"/>
  <c r="H71" i="12"/>
  <c r="O72" i="12"/>
  <c r="F72" i="12"/>
  <c r="E72" i="12"/>
  <c r="H69" i="12"/>
  <c r="F69" i="12"/>
  <c r="E69" i="12"/>
  <c r="D69" i="12"/>
  <c r="E43" i="12"/>
  <c r="E41" i="12"/>
  <c r="R24" i="12"/>
  <c r="R23" i="12"/>
  <c r="N69" i="12"/>
  <c r="AD34" i="11"/>
  <c r="AD87" i="11"/>
  <c r="AG82" i="11"/>
  <c r="AG79" i="11"/>
  <c r="AH78" i="11"/>
  <c r="AD80" i="11"/>
  <c r="AG70" i="11"/>
  <c r="AH71" i="11"/>
  <c r="AF69" i="11"/>
  <c r="AG64" i="11"/>
  <c r="AD62" i="11"/>
  <c r="AG56" i="11"/>
  <c r="AH34" i="11"/>
  <c r="AG48" i="11"/>
  <c r="AG49" i="11" s="1"/>
  <c r="AC45" i="11"/>
  <c r="AG45" i="11" s="1"/>
  <c r="AB45" i="11"/>
  <c r="AA45" i="11"/>
  <c r="Z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Y43" i="11"/>
  <c r="AG42" i="11"/>
  <c r="Y41" i="11"/>
  <c r="AG40" i="11"/>
  <c r="AG38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AH37" i="11"/>
  <c r="Y37" i="11"/>
  <c r="AG30" i="11"/>
  <c r="R30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AG23" i="11"/>
  <c r="AG43" i="11" s="1"/>
  <c r="AG22" i="11"/>
  <c r="AG21" i="11"/>
  <c r="AG18" i="11"/>
  <c r="AC14" i="11"/>
  <c r="AB14" i="11"/>
  <c r="AA14" i="11"/>
  <c r="Z14" i="11"/>
  <c r="Y14" i="11"/>
  <c r="X14" i="11"/>
  <c r="W14" i="11"/>
  <c r="V14" i="11"/>
  <c r="U14" i="11"/>
  <c r="T14" i="11"/>
  <c r="S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AC13" i="11"/>
  <c r="AB13" i="11"/>
  <c r="AA13" i="11"/>
  <c r="X13" i="11"/>
  <c r="AH17" i="11"/>
  <c r="AH25" i="11" s="1"/>
  <c r="AG12" i="11"/>
  <c r="AG17" i="11" s="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R10" i="11"/>
  <c r="R11" i="11" s="1"/>
  <c r="AF49" i="11"/>
  <c r="AS60" i="10"/>
  <c r="AR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AS59" i="10"/>
  <c r="AR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AS57" i="10"/>
  <c r="AR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AS49" i="10"/>
  <c r="AR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AU48" i="10"/>
  <c r="AS48" i="10"/>
  <c r="AR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AU46" i="10"/>
  <c r="AS46" i="10"/>
  <c r="AR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AY39" i="10"/>
  <c r="AX39" i="10"/>
  <c r="AW39" i="10"/>
  <c r="AU39" i="10"/>
  <c r="AS39" i="10"/>
  <c r="AR39" i="10"/>
  <c r="AQ39" i="10"/>
  <c r="AP39" i="10"/>
  <c r="AO39" i="10"/>
  <c r="AN39" i="10"/>
  <c r="AM39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G33" i="10"/>
  <c r="G38" i="10" s="1"/>
  <c r="F33" i="10"/>
  <c r="F38" i="10" s="1"/>
  <c r="E33" i="10"/>
  <c r="E38" i="10" s="1"/>
  <c r="D33" i="10"/>
  <c r="D38" i="10" s="1"/>
  <c r="D30" i="10"/>
  <c r="AY25" i="10"/>
  <c r="AY30" i="10" s="1"/>
  <c r="AX25" i="10"/>
  <c r="AX30" i="10" s="1"/>
  <c r="AW25" i="10"/>
  <c r="AW30" i="10" s="1"/>
  <c r="AV25" i="10"/>
  <c r="AV30" i="10" s="1"/>
  <c r="AS25" i="10"/>
  <c r="AR25" i="10"/>
  <c r="AR30" i="10" s="1"/>
  <c r="AQ25" i="10"/>
  <c r="AQ30" i="10" s="1"/>
  <c r="AP25" i="10"/>
  <c r="AP30" i="10" s="1"/>
  <c r="G25" i="10"/>
  <c r="G30" i="10" s="1"/>
  <c r="F25" i="10"/>
  <c r="F30" i="10" s="1"/>
  <c r="E25" i="10"/>
  <c r="E30" i="10" s="1"/>
  <c r="W13" i="10"/>
  <c r="R13" i="10"/>
  <c r="M13" i="10"/>
  <c r="H13" i="10"/>
  <c r="AU11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V10" i="10"/>
  <c r="AV11" i="10" s="1"/>
  <c r="AB81" i="9"/>
  <c r="AA81" i="9"/>
  <c r="Z81" i="9"/>
  <c r="Y81" i="9"/>
  <c r="X81" i="9"/>
  <c r="V81" i="9"/>
  <c r="U81" i="9"/>
  <c r="T81" i="9"/>
  <c r="S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W79" i="9"/>
  <c r="W81" i="9" s="1"/>
  <c r="R79" i="9"/>
  <c r="R81" i="9" s="1"/>
  <c r="AB71" i="9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G88" i="8"/>
  <c r="F88" i="8"/>
  <c r="E88" i="8"/>
  <c r="D88" i="8"/>
  <c r="H80" i="8"/>
  <c r="G78" i="8"/>
  <c r="F78" i="8"/>
  <c r="E78" i="8"/>
  <c r="D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G60" i="8"/>
  <c r="F60" i="8"/>
  <c r="E60" i="8"/>
  <c r="D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G39" i="8"/>
  <c r="F39" i="8"/>
  <c r="E39" i="8"/>
  <c r="D39" i="8"/>
  <c r="H38" i="8"/>
  <c r="H37" i="8"/>
  <c r="H36" i="8"/>
  <c r="H35" i="8"/>
  <c r="H34" i="8"/>
  <c r="H33" i="8"/>
  <c r="H32" i="8"/>
  <c r="H31" i="8"/>
  <c r="H30" i="8"/>
  <c r="H29" i="8"/>
  <c r="H28" i="8"/>
  <c r="G26" i="8"/>
  <c r="F26" i="8"/>
  <c r="E26" i="8"/>
  <c r="D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9" i="8"/>
  <c r="I92" i="7"/>
  <c r="G92" i="7"/>
  <c r="F92" i="7"/>
  <c r="I90" i="7"/>
  <c r="I88" i="7"/>
  <c r="I83" i="7"/>
  <c r="H83" i="7"/>
  <c r="G83" i="7"/>
  <c r="F83" i="7"/>
  <c r="E83" i="7"/>
  <c r="D83" i="7"/>
  <c r="I65" i="7"/>
  <c r="H65" i="7"/>
  <c r="G65" i="7"/>
  <c r="F65" i="7"/>
  <c r="E65" i="7"/>
  <c r="D65" i="7"/>
  <c r="I42" i="7"/>
  <c r="H42" i="7"/>
  <c r="G42" i="7"/>
  <c r="F42" i="7"/>
  <c r="E42" i="7"/>
  <c r="D42" i="7"/>
  <c r="I29" i="7"/>
  <c r="H29" i="7"/>
  <c r="E29" i="7"/>
  <c r="D29" i="7"/>
  <c r="F9" i="7"/>
  <c r="F29" i="7" s="1"/>
  <c r="X106" i="6"/>
  <c r="W106" i="6"/>
  <c r="V106" i="6"/>
  <c r="U106" i="6"/>
  <c r="S106" i="6"/>
  <c r="R106" i="6"/>
  <c r="P106" i="6"/>
  <c r="O106" i="6"/>
  <c r="N106" i="6"/>
  <c r="M106" i="6"/>
  <c r="L106" i="6"/>
  <c r="I106" i="6"/>
  <c r="H106" i="6"/>
  <c r="G106" i="6"/>
  <c r="F106" i="6"/>
  <c r="E106" i="6"/>
  <c r="D106" i="6"/>
  <c r="Y106" i="6"/>
  <c r="AD106" i="6"/>
  <c r="T102" i="6"/>
  <c r="T106" i="6" s="1"/>
  <c r="AB95" i="6"/>
  <c r="AB93" i="6"/>
  <c r="AB92" i="6"/>
  <c r="AB91" i="6"/>
  <c r="AB90" i="6"/>
  <c r="AB89" i="6"/>
  <c r="AB87" i="6"/>
  <c r="AB84" i="6"/>
  <c r="AB83" i="6"/>
  <c r="AB82" i="6"/>
  <c r="AB77" i="6"/>
  <c r="AB75" i="6"/>
  <c r="AB74" i="6"/>
  <c r="AB73" i="6"/>
  <c r="AB72" i="6"/>
  <c r="AB71" i="6"/>
  <c r="AB70" i="6"/>
  <c r="AB69" i="6"/>
  <c r="AB68" i="6"/>
  <c r="AB67" i="6"/>
  <c r="AB66" i="6"/>
  <c r="AB63" i="6"/>
  <c r="AB62" i="6"/>
  <c r="AB55" i="6"/>
  <c r="AB54" i="6"/>
  <c r="AB53" i="6"/>
  <c r="AB51" i="6"/>
  <c r="AB49" i="6"/>
  <c r="AB48" i="6"/>
  <c r="AB43" i="6"/>
  <c r="AB42" i="6"/>
  <c r="X40" i="6"/>
  <c r="X59" i="6" s="1"/>
  <c r="X99" i="6" s="1"/>
  <c r="W40" i="6"/>
  <c r="W59" i="6" s="1"/>
  <c r="W99" i="6" s="1"/>
  <c r="V40" i="6"/>
  <c r="V59" i="6" s="1"/>
  <c r="V99" i="6" s="1"/>
  <c r="S40" i="6"/>
  <c r="S59" i="6" s="1"/>
  <c r="S99" i="6" s="1"/>
  <c r="R40" i="6"/>
  <c r="R59" i="6" s="1"/>
  <c r="R99" i="6" s="1"/>
  <c r="P40" i="6"/>
  <c r="P59" i="6" s="1"/>
  <c r="P99" i="6" s="1"/>
  <c r="O40" i="6"/>
  <c r="O59" i="6" s="1"/>
  <c r="O99" i="6" s="1"/>
  <c r="N40" i="6"/>
  <c r="N59" i="6" s="1"/>
  <c r="N99" i="6" s="1"/>
  <c r="M40" i="6"/>
  <c r="M59" i="6" s="1"/>
  <c r="M99" i="6" s="1"/>
  <c r="L40" i="6"/>
  <c r="L59" i="6" s="1"/>
  <c r="L99" i="6" s="1"/>
  <c r="AB33" i="6"/>
  <c r="AB32" i="6"/>
  <c r="AB31" i="6"/>
  <c r="AB30" i="6"/>
  <c r="Z40" i="6"/>
  <c r="Z59" i="6" s="1"/>
  <c r="Z99" i="6" s="1"/>
  <c r="AB26" i="6"/>
  <c r="AB25" i="6"/>
  <c r="AB24" i="6"/>
  <c r="AB23" i="6"/>
  <c r="AB22" i="6"/>
  <c r="T22" i="6"/>
  <c r="U22" i="6" s="1"/>
  <c r="U40" i="6" s="1"/>
  <c r="U59" i="6" s="1"/>
  <c r="U99" i="6" s="1"/>
  <c r="AB21" i="6"/>
  <c r="AB20" i="6"/>
  <c r="AC40" i="6"/>
  <c r="AC59" i="6" s="1"/>
  <c r="AC99" i="6" s="1"/>
  <c r="Y40" i="6"/>
  <c r="Y59" i="6" s="1"/>
  <c r="Y99" i="6" s="1"/>
  <c r="AB16" i="6"/>
  <c r="I13" i="6"/>
  <c r="AK43" i="4"/>
  <c r="AT36" i="4"/>
  <c r="AS36" i="4"/>
  <c r="AR36" i="4"/>
  <c r="AQ36" i="4"/>
  <c r="AP36" i="4"/>
  <c r="AO36" i="4"/>
  <c r="AN36" i="4"/>
  <c r="AM36" i="4"/>
  <c r="AL36" i="4"/>
  <c r="AK36" i="4"/>
  <c r="AJ36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AK31" i="4"/>
  <c r="BJ32" i="4"/>
  <c r="AK30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J25" i="4"/>
  <c r="AI25" i="4"/>
  <c r="AH25" i="4"/>
  <c r="AG25" i="4"/>
  <c r="AF25" i="4"/>
  <c r="AE25" i="4"/>
  <c r="AD25" i="4"/>
  <c r="AC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BJ25" i="4"/>
  <c r="AK24" i="4"/>
  <c r="BK25" i="4"/>
  <c r="BI25" i="4"/>
  <c r="AK23" i="4"/>
  <c r="BG18" i="4"/>
  <c r="BF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BE17" i="4"/>
  <c r="BE18" i="4" s="1"/>
  <c r="AK16" i="4"/>
  <c r="BL18" i="4"/>
  <c r="BJ18" i="4"/>
  <c r="AK15" i="4"/>
  <c r="BH18" i="4"/>
  <c r="AK14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BK11" i="4"/>
  <c r="AK10" i="4"/>
  <c r="BI11" i="4"/>
  <c r="AP47" i="2"/>
  <c r="AO47" i="2"/>
  <c r="AN47" i="2"/>
  <c r="AG75" i="2"/>
  <c r="AG82" i="2" s="1"/>
  <c r="AG84" i="2" s="1"/>
  <c r="W75" i="2"/>
  <c r="W82" i="2" s="1"/>
  <c r="W84" i="2" s="1"/>
  <c r="AA75" i="2"/>
  <c r="AA82" i="2" s="1"/>
  <c r="AA84" i="2" s="1"/>
  <c r="X75" i="2"/>
  <c r="X82" i="2" s="1"/>
  <c r="X84" i="2" s="1"/>
  <c r="AB75" i="2"/>
  <c r="AB82" i="2" s="1"/>
  <c r="AB84" i="2" s="1"/>
  <c r="AC75" i="2"/>
  <c r="AC82" i="2" s="1"/>
  <c r="AC84" i="2" s="1"/>
  <c r="AD75" i="2"/>
  <c r="AD82" i="2" s="1"/>
  <c r="AD84" i="2" s="1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F80" i="12"/>
  <c r="AD69" i="11"/>
  <c r="AG68" i="11"/>
  <c r="AD71" i="11"/>
  <c r="AG73" i="11"/>
  <c r="AH89" i="11"/>
  <c r="AA36" i="10"/>
  <c r="T36" i="10"/>
  <c r="W38" i="10"/>
  <c r="I36" i="10"/>
  <c r="U36" i="10"/>
  <c r="Y36" i="10"/>
  <c r="AK36" i="10"/>
  <c r="AS36" i="10"/>
  <c r="N36" i="10"/>
  <c r="AF52" i="11"/>
  <c r="AF37" i="11"/>
  <c r="AF51" i="11"/>
  <c r="AF90" i="11"/>
  <c r="D72" i="12"/>
  <c r="AH81" i="11"/>
  <c r="E71" i="12"/>
  <c r="AF14" i="11"/>
  <c r="AF65" i="11" s="1"/>
  <c r="AD17" i="11"/>
  <c r="AD25" i="11" s="1"/>
  <c r="AD52" i="11"/>
  <c r="AD89" i="11"/>
  <c r="AB81" i="6"/>
  <c r="G80" i="12"/>
  <c r="AD81" i="11"/>
  <c r="AH52" i="11"/>
  <c r="AD90" i="11"/>
  <c r="AD14" i="11"/>
  <c r="AD65" i="11" s="1"/>
  <c r="AD60" i="11"/>
  <c r="AD13" i="11"/>
  <c r="E34" i="12"/>
  <c r="G69" i="12"/>
  <c r="AG10" i="11"/>
  <c r="AH62" i="11"/>
  <c r="AF43" i="11"/>
  <c r="AF60" i="11"/>
  <c r="AG59" i="11"/>
  <c r="AF78" i="11"/>
  <c r="AF72" i="11"/>
  <c r="AF89" i="11"/>
  <c r="AF87" i="11"/>
  <c r="AG86" i="11"/>
  <c r="AG87" i="11" s="1"/>
  <c r="AB27" i="6"/>
  <c r="AF17" i="11"/>
  <c r="AF25" i="11" s="1"/>
  <c r="AG50" i="11"/>
  <c r="AG53" i="11"/>
  <c r="AF62" i="11"/>
  <c r="AF63" i="11"/>
  <c r="BI32" i="4"/>
  <c r="AB52" i="6"/>
  <c r="BK32" i="4"/>
  <c r="AB17" i="6"/>
  <c r="AB19" i="6"/>
  <c r="AB106" i="6"/>
  <c r="BH11" i="4"/>
  <c r="AB50" i="6"/>
  <c r="AA106" i="6"/>
  <c r="P9" i="12"/>
  <c r="P69" i="12" s="1"/>
  <c r="N72" i="12"/>
  <c r="D71" i="12"/>
  <c r="BM32" i="4"/>
  <c r="AH90" i="11"/>
  <c r="AG39" i="11"/>
  <c r="AG44" i="11"/>
  <c r="BM11" i="4"/>
  <c r="BI18" i="4"/>
  <c r="BK18" i="4"/>
  <c r="BL32" i="4"/>
  <c r="AD40" i="6"/>
  <c r="AD59" i="6" s="1"/>
  <c r="AD99" i="6" s="1"/>
  <c r="AB28" i="6"/>
  <c r="AB65" i="6"/>
  <c r="AH72" i="11"/>
  <c r="BJ11" i="4"/>
  <c r="Z106" i="6"/>
  <c r="AH80" i="11"/>
  <c r="BH32" i="4"/>
  <c r="AD72" i="11"/>
  <c r="AB47" i="6"/>
  <c r="AB85" i="6"/>
  <c r="AF80" i="11"/>
  <c r="AF81" i="11"/>
  <c r="AG88" i="11"/>
  <c r="K38" i="10"/>
  <c r="AD41" i="11"/>
  <c r="AG41" i="11" s="1"/>
  <c r="AH51" i="11"/>
  <c r="E80" i="12"/>
  <c r="AB15" i="6"/>
  <c r="BL25" i="4"/>
  <c r="BL11" i="4"/>
  <c r="AB44" i="6"/>
  <c r="AB88" i="6"/>
  <c r="AG32" i="11"/>
  <c r="AG37" i="11" s="1"/>
  <c r="F74" i="12"/>
  <c r="AB13" i="6"/>
  <c r="AG24" i="11"/>
  <c r="AB46" i="6"/>
  <c r="AG19" i="11"/>
  <c r="AH63" i="11"/>
  <c r="BH25" i="4"/>
  <c r="AG20" i="11"/>
  <c r="N80" i="12"/>
  <c r="AB56" i="6"/>
  <c r="AB64" i="6"/>
  <c r="AB86" i="6"/>
  <c r="AB94" i="6"/>
  <c r="AC106" i="6"/>
  <c r="E74" i="12"/>
  <c r="AD43" i="11"/>
  <c r="AD49" i="11"/>
  <c r="BN42" i="4"/>
  <c r="Q12" i="12" s="1"/>
  <c r="BN43" i="4"/>
  <c r="R70" i="12"/>
  <c r="O78" i="12"/>
  <c r="G71" i="12"/>
  <c r="D74" i="12"/>
  <c r="G34" i="12"/>
  <c r="O71" i="12"/>
  <c r="AH69" i="11"/>
  <c r="R79" i="12"/>
  <c r="N78" i="12"/>
  <c r="G72" i="12"/>
  <c r="R64" i="12"/>
  <c r="N71" i="12"/>
  <c r="R82" i="12"/>
  <c r="R21" i="12"/>
  <c r="R73" i="12"/>
  <c r="F71" i="12"/>
  <c r="O69" i="12"/>
  <c r="R68" i="12"/>
  <c r="R22" i="12"/>
  <c r="R10" i="12"/>
  <c r="BM25" i="4"/>
  <c r="P20" i="12" s="1"/>
  <c r="AE40" i="6"/>
  <c r="AE59" i="6" s="1"/>
  <c r="AE99" i="6" s="1"/>
  <c r="AH49" i="11"/>
  <c r="N74" i="12"/>
  <c r="AF13" i="11"/>
  <c r="AH14" i="11"/>
  <c r="AH92" i="11" s="1"/>
  <c r="AF71" i="11"/>
  <c r="AB18" i="6"/>
  <c r="AB45" i="6"/>
  <c r="AG77" i="11"/>
  <c r="AD63" i="11"/>
  <c r="AG61" i="11"/>
  <c r="AH60" i="11"/>
  <c r="AF34" i="11"/>
  <c r="AD78" i="11"/>
  <c r="D80" i="12"/>
  <c r="AD51" i="11"/>
  <c r="AG91" i="11"/>
  <c r="AB29" i="6"/>
  <c r="AH87" i="11"/>
  <c r="AA40" i="6"/>
  <c r="AA59" i="6" s="1"/>
  <c r="AA99" i="6" s="1"/>
  <c r="AH13" i="11"/>
  <c r="AE106" i="6"/>
  <c r="BM18" i="4"/>
  <c r="AF40" i="6"/>
  <c r="AF59" i="6" s="1"/>
  <c r="AF99" i="6" s="1"/>
  <c r="P71" i="12"/>
  <c r="P72" i="12"/>
  <c r="Q80" i="12"/>
  <c r="Q71" i="12"/>
  <c r="P80" i="12"/>
  <c r="Q72" i="12"/>
  <c r="R19" i="12"/>
  <c r="H74" i="12"/>
  <c r="H38" i="10"/>
  <c r="G74" i="12"/>
  <c r="AF38" i="10"/>
  <c r="AR38" i="10"/>
  <c r="AR36" i="10"/>
  <c r="AV39" i="10"/>
  <c r="AM36" i="10"/>
  <c r="AG38" i="10"/>
  <c r="AG36" i="10"/>
  <c r="O74" i="12"/>
  <c r="AC86" i="2" l="1"/>
  <c r="AD86" i="2"/>
  <c r="AB97" i="6"/>
  <c r="Z38" i="10"/>
  <c r="Z36" i="10"/>
  <c r="AU36" i="10"/>
  <c r="AU38" i="10"/>
  <c r="AV36" i="10"/>
  <c r="AV38" i="10"/>
  <c r="AW38" i="10"/>
  <c r="AW36" i="10"/>
  <c r="AX36" i="10"/>
  <c r="AX38" i="10"/>
  <c r="M18" i="16"/>
  <c r="X86" i="2"/>
  <c r="T18" i="16"/>
  <c r="R18" i="16"/>
  <c r="AD45" i="12"/>
  <c r="AD30" i="12"/>
  <c r="AD31" i="12" s="1"/>
  <c r="L36" i="10"/>
  <c r="AG72" i="11"/>
  <c r="X36" i="10"/>
  <c r="AJ36" i="10"/>
  <c r="R14" i="11"/>
  <c r="AG80" i="11"/>
  <c r="AD83" i="11"/>
  <c r="N40" i="9"/>
  <c r="N75" i="9" s="1"/>
  <c r="Z40" i="9"/>
  <c r="Z75" i="9" s="1"/>
  <c r="BI20" i="4"/>
  <c r="BI27" i="4" s="1"/>
  <c r="BI34" i="4" s="1"/>
  <c r="BI39" i="4" s="1"/>
  <c r="O18" i="16"/>
  <c r="P78" i="12"/>
  <c r="S38" i="10"/>
  <c r="AG71" i="11"/>
  <c r="K40" i="9"/>
  <c r="K75" i="9" s="1"/>
  <c r="AQ38" i="10"/>
  <c r="G9" i="7"/>
  <c r="G29" i="7" s="1"/>
  <c r="AB40" i="9"/>
  <c r="AB75" i="9" s="1"/>
  <c r="AE38" i="10"/>
  <c r="L18" i="16"/>
  <c r="N44" i="2"/>
  <c r="J18" i="16"/>
  <c r="D41" i="8"/>
  <c r="D82" i="8" s="1"/>
  <c r="U18" i="16"/>
  <c r="I18" i="16"/>
  <c r="E44" i="2"/>
  <c r="Q44" i="2"/>
  <c r="S18" i="16"/>
  <c r="G18" i="16"/>
  <c r="Q18" i="16"/>
  <c r="E18" i="16"/>
  <c r="P18" i="16"/>
  <c r="D18" i="16"/>
  <c r="N18" i="16"/>
  <c r="AF83" i="11"/>
  <c r="AF54" i="11"/>
  <c r="AF92" i="11"/>
  <c r="P40" i="9"/>
  <c r="P75" i="9" s="1"/>
  <c r="AP20" i="4"/>
  <c r="AP27" i="4" s="1"/>
  <c r="AP34" i="4" s="1"/>
  <c r="AP39" i="4" s="1"/>
  <c r="H26" i="8"/>
  <c r="AG13" i="11"/>
  <c r="M44" i="2"/>
  <c r="AG86" i="2"/>
  <c r="AH20" i="4"/>
  <c r="AH27" i="4" s="1"/>
  <c r="AH34" i="4" s="1"/>
  <c r="AH39" i="4" s="1"/>
  <c r="O44" i="2"/>
  <c r="E36" i="10"/>
  <c r="D44" i="2"/>
  <c r="P44" i="2"/>
  <c r="F41" i="8"/>
  <c r="F82" i="8" s="1"/>
  <c r="O40" i="9"/>
  <c r="O75" i="9" s="1"/>
  <c r="AC38" i="10"/>
  <c r="AG51" i="11"/>
  <c r="F44" i="2"/>
  <c r="R44" i="2"/>
  <c r="D36" i="10"/>
  <c r="G44" i="2"/>
  <c r="AO20" i="4"/>
  <c r="AO27" i="4" s="1"/>
  <c r="AO34" i="4" s="1"/>
  <c r="AO39" i="4" s="1"/>
  <c r="H44" i="2"/>
  <c r="Q40" i="9"/>
  <c r="Q75" i="9" s="1"/>
  <c r="J20" i="5"/>
  <c r="J27" i="5" s="1"/>
  <c r="J34" i="5" s="1"/>
  <c r="U33" i="12"/>
  <c r="AD36" i="10"/>
  <c r="AG69" i="11"/>
  <c r="AP36" i="10"/>
  <c r="AB38" i="10"/>
  <c r="AQ20" i="4"/>
  <c r="AQ27" i="4" s="1"/>
  <c r="AQ34" i="4" s="1"/>
  <c r="AQ39" i="4" s="1"/>
  <c r="E44" i="7"/>
  <c r="AE20" i="4"/>
  <c r="AE27" i="4" s="1"/>
  <c r="AE34" i="4" s="1"/>
  <c r="AE39" i="4" s="1"/>
  <c r="AA86" i="2"/>
  <c r="K44" i="2"/>
  <c r="H20" i="4"/>
  <c r="H27" i="4" s="1"/>
  <c r="H34" i="4" s="1"/>
  <c r="H39" i="4" s="1"/>
  <c r="AF20" i="4"/>
  <c r="AF27" i="4" s="1"/>
  <c r="AF34" i="4" s="1"/>
  <c r="AF39" i="4" s="1"/>
  <c r="AD92" i="11"/>
  <c r="AH65" i="11"/>
  <c r="AH33" i="11"/>
  <c r="AD74" i="11"/>
  <c r="L44" i="2"/>
  <c r="W86" i="2"/>
  <c r="BF20" i="4"/>
  <c r="BF27" i="4" s="1"/>
  <c r="BF34" i="4" s="1"/>
  <c r="BF39" i="4" s="1"/>
  <c r="R31" i="11"/>
  <c r="AG52" i="11"/>
  <c r="H33" i="12"/>
  <c r="N33" i="12"/>
  <c r="I20" i="5"/>
  <c r="I27" i="5" s="1"/>
  <c r="I34" i="5" s="1"/>
  <c r="I39" i="5" s="1"/>
  <c r="N31" i="12"/>
  <c r="G33" i="12"/>
  <c r="Q20" i="5"/>
  <c r="Q27" i="5" s="1"/>
  <c r="M18" i="5"/>
  <c r="K31" i="12"/>
  <c r="I44" i="2"/>
  <c r="X40" i="9"/>
  <c r="X75" i="9" s="1"/>
  <c r="AL36" i="10"/>
  <c r="L40" i="9"/>
  <c r="L75" i="9" s="1"/>
  <c r="AF33" i="11"/>
  <c r="G41" i="8"/>
  <c r="G82" i="8" s="1"/>
  <c r="Q86" i="2"/>
  <c r="AG14" i="11"/>
  <c r="AF74" i="11"/>
  <c r="J36" i="10"/>
  <c r="AG81" i="11"/>
  <c r="BG20" i="4"/>
  <c r="BG27" i="4" s="1"/>
  <c r="BG34" i="4" s="1"/>
  <c r="BG39" i="4" s="1"/>
  <c r="AE86" i="2"/>
  <c r="S20" i="4"/>
  <c r="S27" i="4" s="1"/>
  <c r="S34" i="4" s="1"/>
  <c r="S39" i="4" s="1"/>
  <c r="AG20" i="4"/>
  <c r="AG27" i="4" s="1"/>
  <c r="AG34" i="4" s="1"/>
  <c r="AG39" i="4" s="1"/>
  <c r="AU20" i="4"/>
  <c r="AU27" i="4" s="1"/>
  <c r="AU34" i="4" s="1"/>
  <c r="AU39" i="4" s="1"/>
  <c r="F33" i="12"/>
  <c r="AB86" i="2"/>
  <c r="V40" i="9"/>
  <c r="V75" i="9" s="1"/>
  <c r="J40" i="9"/>
  <c r="J75" i="9" s="1"/>
  <c r="W40" i="9"/>
  <c r="W75" i="9" s="1"/>
  <c r="M32" i="5"/>
  <c r="AP86" i="2"/>
  <c r="U86" i="2"/>
  <c r="AZ20" i="4"/>
  <c r="AZ27" i="4" s="1"/>
  <c r="AZ34" i="4" s="1"/>
  <c r="AZ39" i="4" s="1"/>
  <c r="AO86" i="2"/>
  <c r="AH54" i="11"/>
  <c r="AN20" i="4"/>
  <c r="AN27" i="4" s="1"/>
  <c r="AN34" i="4" s="1"/>
  <c r="AN39" i="4" s="1"/>
  <c r="Y40" i="9"/>
  <c r="Y75" i="9" s="1"/>
  <c r="BP86" i="2"/>
  <c r="S86" i="2"/>
  <c r="E86" i="2"/>
  <c r="AM86" i="2"/>
  <c r="AG25" i="11"/>
  <c r="BC20" i="4"/>
  <c r="BC27" i="4" s="1"/>
  <c r="BC34" i="4" s="1"/>
  <c r="BC39" i="4" s="1"/>
  <c r="M40" i="9"/>
  <c r="M75" i="9" s="1"/>
  <c r="AA40" i="9"/>
  <c r="AA75" i="9" s="1"/>
  <c r="BN86" i="2"/>
  <c r="BN20" i="4"/>
  <c r="BN27" i="4" s="1"/>
  <c r="BN34" i="4" s="1"/>
  <c r="BN39" i="4" s="1"/>
  <c r="AG89" i="11"/>
  <c r="H88" i="8"/>
  <c r="M11" i="5"/>
  <c r="AX86" i="2"/>
  <c r="S20" i="5"/>
  <c r="S27" i="5" s="1"/>
  <c r="AD20" i="4"/>
  <c r="AD27" i="4" s="1"/>
  <c r="AD34" i="4" s="1"/>
  <c r="AD39" i="4" s="1"/>
  <c r="AI86" i="2"/>
  <c r="BJ86" i="2"/>
  <c r="AH86" i="2"/>
  <c r="M86" i="2"/>
  <c r="I44" i="7"/>
  <c r="E40" i="9"/>
  <c r="E75" i="9" s="1"/>
  <c r="F40" i="9"/>
  <c r="F75" i="9" s="1"/>
  <c r="E45" i="12"/>
  <c r="BH86" i="2"/>
  <c r="K86" i="2"/>
  <c r="K33" i="12"/>
  <c r="D33" i="12"/>
  <c r="M20" i="4"/>
  <c r="M27" i="4" s="1"/>
  <c r="M34" i="4" s="1"/>
  <c r="M39" i="4" s="1"/>
  <c r="U40" i="9"/>
  <c r="U75" i="9" s="1"/>
  <c r="M25" i="5"/>
  <c r="BF86" i="2"/>
  <c r="L20" i="5"/>
  <c r="L27" i="5" s="1"/>
  <c r="L34" i="5" s="1"/>
  <c r="L39" i="5" s="1"/>
  <c r="F31" i="12"/>
  <c r="V20" i="5"/>
  <c r="K20" i="5"/>
  <c r="Q20" i="4"/>
  <c r="Q27" i="4" s="1"/>
  <c r="Q34" i="4" s="1"/>
  <c r="Q39" i="4" s="1"/>
  <c r="AZ44" i="2"/>
  <c r="BK86" i="2"/>
  <c r="Z86" i="2"/>
  <c r="H86" i="2"/>
  <c r="N20" i="5"/>
  <c r="D20" i="5"/>
  <c r="BA20" i="4"/>
  <c r="BA27" i="4" s="1"/>
  <c r="BA34" i="4" s="1"/>
  <c r="BA39" i="4" s="1"/>
  <c r="BJ20" i="4"/>
  <c r="BJ27" i="4" s="1"/>
  <c r="BJ34" i="4" s="1"/>
  <c r="BJ39" i="4" s="1"/>
  <c r="BO44" i="2"/>
  <c r="AQ44" i="2"/>
  <c r="AT86" i="2"/>
  <c r="AL86" i="2"/>
  <c r="Y86" i="2"/>
  <c r="R20" i="5"/>
  <c r="R27" i="5" s="1"/>
  <c r="U20" i="5"/>
  <c r="V33" i="12"/>
  <c r="H25" i="5"/>
  <c r="BN44" i="2"/>
  <c r="AP44" i="2"/>
  <c r="AS86" i="2"/>
  <c r="AK86" i="2"/>
  <c r="V86" i="2"/>
  <c r="N86" i="2"/>
  <c r="F86" i="2"/>
  <c r="G86" i="2"/>
  <c r="O33" i="12"/>
  <c r="R20" i="12"/>
  <c r="R81" i="12"/>
  <c r="T20" i="4"/>
  <c r="T27" i="4" s="1"/>
  <c r="T34" i="4" s="1"/>
  <c r="T39" i="4" s="1"/>
  <c r="AB20" i="4"/>
  <c r="AB27" i="4" s="1"/>
  <c r="AB34" i="4" s="1"/>
  <c r="AB39" i="4" s="1"/>
  <c r="BM44" i="2"/>
  <c r="AO44" i="2"/>
  <c r="AR86" i="2"/>
  <c r="U20" i="4"/>
  <c r="U27" i="4" s="1"/>
  <c r="U34" i="4" s="1"/>
  <c r="U39" i="4" s="1"/>
  <c r="AC20" i="4"/>
  <c r="AC27" i="4" s="1"/>
  <c r="AC34" i="4" s="1"/>
  <c r="AC39" i="4" s="1"/>
  <c r="BE20" i="4"/>
  <c r="BE27" i="4" s="1"/>
  <c r="BE34" i="4" s="1"/>
  <c r="BE39" i="4" s="1"/>
  <c r="D44" i="7"/>
  <c r="H44" i="7"/>
  <c r="G40" i="9"/>
  <c r="G75" i="9" s="1"/>
  <c r="H32" i="5"/>
  <c r="BL44" i="2"/>
  <c r="T86" i="2"/>
  <c r="BC44" i="2"/>
  <c r="AE44" i="2"/>
  <c r="I40" i="9"/>
  <c r="I75" i="9" s="1"/>
  <c r="BB44" i="2"/>
  <c r="AD44" i="2"/>
  <c r="BM86" i="2"/>
  <c r="BE86" i="2"/>
  <c r="AW86" i="2"/>
  <c r="AF86" i="2"/>
  <c r="R86" i="2"/>
  <c r="J86" i="2"/>
  <c r="P20" i="5"/>
  <c r="AL20" i="4"/>
  <c r="AL27" i="4" s="1"/>
  <c r="AL34" i="4" s="1"/>
  <c r="AL39" i="4" s="1"/>
  <c r="AL42" i="4" s="1"/>
  <c r="AH74" i="11"/>
  <c r="AD54" i="11"/>
  <c r="AT20" i="4"/>
  <c r="AT27" i="4" s="1"/>
  <c r="AT34" i="4" s="1"/>
  <c r="AT39" i="4" s="1"/>
  <c r="AK32" i="4"/>
  <c r="R40" i="9"/>
  <c r="R75" i="9" s="1"/>
  <c r="BA44" i="2"/>
  <c r="AC44" i="2"/>
  <c r="BL86" i="2"/>
  <c r="BD86" i="2"/>
  <c r="I86" i="2"/>
  <c r="O86" i="2"/>
  <c r="O20" i="5"/>
  <c r="BI44" i="2"/>
  <c r="AW44" i="2"/>
  <c r="AK44" i="2"/>
  <c r="Y44" i="2"/>
  <c r="T20" i="5"/>
  <c r="F20" i="5"/>
  <c r="H11" i="5"/>
  <c r="BP44" i="2"/>
  <c r="T44" i="2"/>
  <c r="BH44" i="2"/>
  <c r="AV44" i="2"/>
  <c r="AJ44" i="2"/>
  <c r="X44" i="2"/>
  <c r="BO86" i="2"/>
  <c r="AV86" i="2"/>
  <c r="AJ86" i="2"/>
  <c r="L86" i="2"/>
  <c r="X33" i="12"/>
  <c r="S44" i="2"/>
  <c r="BG44" i="2"/>
  <c r="AU44" i="2"/>
  <c r="AI44" i="2"/>
  <c r="W44" i="2"/>
  <c r="AU86" i="2"/>
  <c r="Q29" i="12"/>
  <c r="Q14" i="12"/>
  <c r="Q11" i="12"/>
  <c r="W33" i="12"/>
  <c r="H18" i="5"/>
  <c r="BF44" i="2"/>
  <c r="AT44" i="2"/>
  <c r="AH44" i="2"/>
  <c r="V44" i="2"/>
  <c r="AG34" i="11"/>
  <c r="BE44" i="2"/>
  <c r="AS44" i="2"/>
  <c r="AG44" i="2"/>
  <c r="U44" i="2"/>
  <c r="BD44" i="2"/>
  <c r="AR44" i="2"/>
  <c r="AF44" i="2"/>
  <c r="BG86" i="2"/>
  <c r="W20" i="5"/>
  <c r="W27" i="5" s="1"/>
  <c r="AG60" i="11"/>
  <c r="O31" i="12"/>
  <c r="N20" i="4"/>
  <c r="N27" i="4" s="1"/>
  <c r="N34" i="4" s="1"/>
  <c r="N39" i="4" s="1"/>
  <c r="G36" i="10"/>
  <c r="P20" i="4"/>
  <c r="P27" i="4" s="1"/>
  <c r="P34" i="4" s="1"/>
  <c r="P39" i="4" s="1"/>
  <c r="AV20" i="4"/>
  <c r="AV27" i="4" s="1"/>
  <c r="AV34" i="4" s="1"/>
  <c r="AV39" i="4" s="1"/>
  <c r="D40" i="9"/>
  <c r="D75" i="9" s="1"/>
  <c r="AQ86" i="2"/>
  <c r="H39" i="8"/>
  <c r="BM20" i="4"/>
  <c r="BM27" i="4" s="1"/>
  <c r="BM34" i="4" s="1"/>
  <c r="BM39" i="4" s="1"/>
  <c r="H78" i="8"/>
  <c r="AH83" i="11"/>
  <c r="AG63" i="11"/>
  <c r="F36" i="10"/>
  <c r="O20" i="4"/>
  <c r="O27" i="4" s="1"/>
  <c r="O34" i="4" s="1"/>
  <c r="O39" i="4" s="1"/>
  <c r="AI20" i="4"/>
  <c r="AI27" i="4" s="1"/>
  <c r="AI34" i="4" s="1"/>
  <c r="AI39" i="4" s="1"/>
  <c r="AR20" i="4"/>
  <c r="AR27" i="4" s="1"/>
  <c r="AR34" i="4" s="1"/>
  <c r="AR39" i="4" s="1"/>
  <c r="AG90" i="11"/>
  <c r="AG78" i="11"/>
  <c r="P29" i="12"/>
  <c r="P14" i="12"/>
  <c r="P11" i="12"/>
  <c r="R9" i="12"/>
  <c r="R14" i="12" s="1"/>
  <c r="R65" i="12" s="1"/>
  <c r="J44" i="2"/>
  <c r="S40" i="9"/>
  <c r="S75" i="9" s="1"/>
  <c r="BI86" i="2"/>
  <c r="G20" i="5"/>
  <c r="AG29" i="11"/>
  <c r="H31" i="12"/>
  <c r="Q17" i="12"/>
  <c r="Q25" i="12" s="1"/>
  <c r="Q30" i="12" s="1"/>
  <c r="Q13" i="12"/>
  <c r="BK20" i="4"/>
  <c r="BK27" i="4" s="1"/>
  <c r="BK34" i="4" s="1"/>
  <c r="BK39" i="4" s="1"/>
  <c r="BH20" i="4"/>
  <c r="BH27" i="4" s="1"/>
  <c r="BH34" i="4" s="1"/>
  <c r="BH39" i="4" s="1"/>
  <c r="J20" i="4"/>
  <c r="J27" i="4" s="1"/>
  <c r="J34" i="4" s="1"/>
  <c r="J39" i="4" s="1"/>
  <c r="AK25" i="4"/>
  <c r="H60" i="8"/>
  <c r="T40" i="9"/>
  <c r="T75" i="9" s="1"/>
  <c r="L33" i="12"/>
  <c r="P17" i="12"/>
  <c r="P25" i="12" s="1"/>
  <c r="P30" i="12" s="1"/>
  <c r="P13" i="12"/>
  <c r="AN44" i="2"/>
  <c r="AB44" i="2"/>
  <c r="BC86" i="2"/>
  <c r="AZ86" i="2"/>
  <c r="AN86" i="2"/>
  <c r="P86" i="2"/>
  <c r="D86" i="2"/>
  <c r="E20" i="5"/>
  <c r="P32" i="12"/>
  <c r="P37" i="12" s="1"/>
  <c r="P45" i="12" s="1"/>
  <c r="U83" i="12"/>
  <c r="U65" i="12"/>
  <c r="BK44" i="2"/>
  <c r="AY44" i="2"/>
  <c r="AM44" i="2"/>
  <c r="AA44" i="2"/>
  <c r="BB86" i="2"/>
  <c r="AY86" i="2"/>
  <c r="J33" i="12"/>
  <c r="BJ44" i="2"/>
  <c r="AX44" i="2"/>
  <c r="AL44" i="2"/>
  <c r="Z44" i="2"/>
  <c r="BA86" i="2"/>
  <c r="D31" i="12"/>
  <c r="I33" i="12"/>
  <c r="T40" i="6"/>
  <c r="T59" i="6" s="1"/>
  <c r="T99" i="6" s="1"/>
  <c r="AB57" i="6"/>
  <c r="AB78" i="6"/>
  <c r="AC30" i="12"/>
  <c r="AC45" i="12"/>
  <c r="R72" i="12"/>
  <c r="R71" i="12"/>
  <c r="E31" i="12"/>
  <c r="M31" i="12"/>
  <c r="Y31" i="12"/>
  <c r="W31" i="12"/>
  <c r="S33" i="12"/>
  <c r="S31" i="12"/>
  <c r="T33" i="12"/>
  <c r="T31" i="12"/>
  <c r="AM20" i="4"/>
  <c r="AM27" i="4" s="1"/>
  <c r="AM34" i="4" s="1"/>
  <c r="AM39" i="4" s="1"/>
  <c r="AX20" i="4"/>
  <c r="AX27" i="4" s="1"/>
  <c r="AX34" i="4" s="1"/>
  <c r="AX39" i="4" s="1"/>
  <c r="V20" i="4"/>
  <c r="V27" i="4" s="1"/>
  <c r="V34" i="4" s="1"/>
  <c r="V39" i="4" s="1"/>
  <c r="L20" i="4"/>
  <c r="L27" i="4" s="1"/>
  <c r="L34" i="4" s="1"/>
  <c r="L39" i="4" s="1"/>
  <c r="AY20" i="4"/>
  <c r="AY27" i="4" s="1"/>
  <c r="AY34" i="4" s="1"/>
  <c r="AY39" i="4" s="1"/>
  <c r="K20" i="4"/>
  <c r="K27" i="4" s="1"/>
  <c r="K34" i="4" s="1"/>
  <c r="K39" i="4" s="1"/>
  <c r="W20" i="4"/>
  <c r="W27" i="4" s="1"/>
  <c r="W34" i="4" s="1"/>
  <c r="W39" i="4" s="1"/>
  <c r="Z29" i="12"/>
  <c r="Q32" i="12"/>
  <c r="E33" i="12"/>
  <c r="X31" i="12"/>
  <c r="L31" i="12"/>
  <c r="X20" i="4"/>
  <c r="X27" i="4" s="1"/>
  <c r="X34" i="4" s="1"/>
  <c r="X39" i="4" s="1"/>
  <c r="AA20" i="4"/>
  <c r="AA27" i="4" s="1"/>
  <c r="AA34" i="4" s="1"/>
  <c r="AA39" i="4" s="1"/>
  <c r="Y33" i="12"/>
  <c r="Y20" i="4"/>
  <c r="Y27" i="4" s="1"/>
  <c r="Y34" i="4" s="1"/>
  <c r="Y39" i="4" s="1"/>
  <c r="BD20" i="4"/>
  <c r="BD27" i="4" s="1"/>
  <c r="BD34" i="4" s="1"/>
  <c r="BD39" i="4" s="1"/>
  <c r="V31" i="12"/>
  <c r="J31" i="12"/>
  <c r="M33" i="12"/>
  <c r="AK11" i="4"/>
  <c r="AS20" i="4"/>
  <c r="AS27" i="4" s="1"/>
  <c r="AS34" i="4" s="1"/>
  <c r="AS39" i="4" s="1"/>
  <c r="BB20" i="4"/>
  <c r="BB27" i="4" s="1"/>
  <c r="BB34" i="4" s="1"/>
  <c r="BB39" i="4" s="1"/>
  <c r="U31" i="12"/>
  <c r="I31" i="12"/>
  <c r="Z20" i="4"/>
  <c r="Z27" i="4" s="1"/>
  <c r="Z34" i="4" s="1"/>
  <c r="Z39" i="4" s="1"/>
  <c r="BF9" i="10"/>
  <c r="G31" i="12"/>
  <c r="R20" i="4"/>
  <c r="R27" i="4" s="1"/>
  <c r="R34" i="4" s="1"/>
  <c r="R39" i="4" s="1"/>
  <c r="AJ20" i="4"/>
  <c r="AJ27" i="4" s="1"/>
  <c r="AJ34" i="4" s="1"/>
  <c r="AJ39" i="4" s="1"/>
  <c r="AW20" i="4"/>
  <c r="AW27" i="4" s="1"/>
  <c r="AW34" i="4" s="1"/>
  <c r="AW39" i="4" s="1"/>
  <c r="AK18" i="4"/>
  <c r="I20" i="4"/>
  <c r="I27" i="4" s="1"/>
  <c r="I34" i="4" s="1"/>
  <c r="I39" i="4" s="1"/>
  <c r="V37" i="12"/>
  <c r="V45" i="12" s="1"/>
  <c r="K37" i="12"/>
  <c r="K45" i="12" s="1"/>
  <c r="X37" i="12"/>
  <c r="X45" i="12" s="1"/>
  <c r="W37" i="12"/>
  <c r="W45" i="12" s="1"/>
  <c r="N37" i="12"/>
  <c r="N45" i="12" s="1"/>
  <c r="Z37" i="12"/>
  <c r="Z45" i="12" s="1"/>
  <c r="O37" i="12"/>
  <c r="O45" i="12" s="1"/>
  <c r="AA37" i="12"/>
  <c r="AA45" i="12" s="1"/>
  <c r="AG11" i="11"/>
  <c r="Q36" i="10"/>
  <c r="AH36" i="10"/>
  <c r="O36" i="10"/>
  <c r="AN38" i="10"/>
  <c r="P36" i="10"/>
  <c r="R12" i="12"/>
  <c r="AB40" i="6"/>
  <c r="V38" i="10"/>
  <c r="V36" i="10"/>
  <c r="AO38" i="10"/>
  <c r="AO36" i="10"/>
  <c r="M38" i="10"/>
  <c r="BL20" i="4"/>
  <c r="BL27" i="4" s="1"/>
  <c r="BL34" i="4" s="1"/>
  <c r="BL39" i="4" s="1"/>
  <c r="E41" i="8"/>
  <c r="AG62" i="11"/>
  <c r="Q78" i="12"/>
  <c r="R80" i="12"/>
  <c r="H40" i="9"/>
  <c r="H75" i="9" s="1"/>
  <c r="R38" i="10"/>
  <c r="R36" i="10"/>
  <c r="AI36" i="10"/>
  <c r="AG65" i="11" l="1"/>
  <c r="AG92" i="11"/>
  <c r="F44" i="7"/>
  <c r="G44" i="7" s="1"/>
  <c r="Q31" i="12"/>
  <c r="M20" i="5"/>
  <c r="M27" i="5" s="1"/>
  <c r="AG83" i="11"/>
  <c r="AG74" i="11"/>
  <c r="AG54" i="11"/>
  <c r="J39" i="5"/>
  <c r="R83" i="12"/>
  <c r="E27" i="5"/>
  <c r="E34" i="5" s="1"/>
  <c r="E39" i="5" s="1"/>
  <c r="G27" i="5"/>
  <c r="G34" i="5" s="1"/>
  <c r="G39" i="5" s="1"/>
  <c r="F27" i="5"/>
  <c r="F34" i="5" s="1"/>
  <c r="F39" i="5" s="1"/>
  <c r="T27" i="5"/>
  <c r="T34" i="5" s="1"/>
  <c r="T39" i="5" s="1"/>
  <c r="O27" i="5"/>
  <c r="P27" i="5"/>
  <c r="U27" i="5"/>
  <c r="D27" i="5"/>
  <c r="D34" i="5" s="1"/>
  <c r="D39" i="5" s="1"/>
  <c r="N27" i="5"/>
  <c r="K27" i="5"/>
  <c r="K34" i="5" s="1"/>
  <c r="K39" i="5" s="1"/>
  <c r="V27" i="5"/>
  <c r="AK20" i="4"/>
  <c r="AK27" i="4" s="1"/>
  <c r="AK34" i="4" s="1"/>
  <c r="AK39" i="4" s="1"/>
  <c r="AK42" i="4" s="1"/>
  <c r="R32" i="12"/>
  <c r="R37" i="12" s="1"/>
  <c r="R45" i="12" s="1"/>
  <c r="R13" i="12"/>
  <c r="R17" i="12"/>
  <c r="R25" i="12" s="1"/>
  <c r="R30" i="12" s="1"/>
  <c r="H20" i="5"/>
  <c r="H27" i="5" s="1"/>
  <c r="AG33" i="11"/>
  <c r="AG31" i="11"/>
  <c r="Q83" i="12"/>
  <c r="Q65" i="12"/>
  <c r="P33" i="12"/>
  <c r="P31" i="12"/>
  <c r="R11" i="12"/>
  <c r="P83" i="12"/>
  <c r="P65" i="12"/>
  <c r="P74" i="12"/>
  <c r="AB59" i="6"/>
  <c r="AB99" i="6" s="1"/>
  <c r="Q37" i="12"/>
  <c r="Q45" i="12" s="1"/>
  <c r="Q33" i="12"/>
  <c r="Z31" i="12"/>
  <c r="Z33" i="12"/>
  <c r="R69" i="12"/>
  <c r="R29" i="12"/>
  <c r="Q74" i="12"/>
  <c r="E82" i="8"/>
  <c r="H82" i="8" s="1"/>
  <c r="H41" i="8"/>
  <c r="R78" i="12"/>
  <c r="R33" i="12" l="1"/>
  <c r="H34" i="5"/>
  <c r="H39" i="5" s="1"/>
  <c r="M34" i="5"/>
  <c r="M39" i="5" s="1"/>
  <c r="R31" i="12"/>
  <c r="R74" i="12"/>
  <c r="Z25" i="5" l="1"/>
  <c r="Z32" i="5" l="1"/>
  <c r="AQ57" i="6"/>
  <c r="AQ78" i="6" l="1"/>
  <c r="Z18" i="5" l="1"/>
  <c r="U81" i="12" l="1"/>
  <c r="Y81" i="12"/>
  <c r="K63" i="12"/>
  <c r="V81" i="12"/>
  <c r="S81" i="12"/>
  <c r="W81" i="12"/>
  <c r="P60" i="12"/>
  <c r="AA63" i="12"/>
  <c r="AB63" i="12"/>
  <c r="W63" i="12"/>
  <c r="S63" i="12"/>
  <c r="E60" i="12"/>
  <c r="Q60" i="12"/>
  <c r="T63" i="12"/>
  <c r="U63" i="12"/>
  <c r="T49" i="12"/>
  <c r="X63" i="12"/>
  <c r="G60" i="12"/>
  <c r="O60" i="12"/>
  <c r="Z81" i="12"/>
  <c r="Z49" i="12"/>
  <c r="AB81" i="12"/>
  <c r="T81" i="12"/>
  <c r="L63" i="12"/>
  <c r="Z63" i="12"/>
  <c r="AA81" i="12"/>
  <c r="J49" i="12"/>
  <c r="Y63" i="12"/>
  <c r="J63" i="12"/>
  <c r="X81" i="12"/>
  <c r="F60" i="12"/>
  <c r="V63" i="12"/>
  <c r="AC64" i="12" l="1"/>
  <c r="AC82" i="12"/>
  <c r="U49" i="12"/>
  <c r="F63" i="12"/>
  <c r="F62" i="12"/>
  <c r="S49" i="12"/>
  <c r="O62" i="12"/>
  <c r="O63" i="12"/>
  <c r="F49" i="12"/>
  <c r="Q49" i="12"/>
  <c r="N49" i="12"/>
  <c r="R48" i="12"/>
  <c r="R49" i="12" s="1"/>
  <c r="P62" i="12"/>
  <c r="P63" i="12"/>
  <c r="V49" i="12"/>
  <c r="Q63" i="12"/>
  <c r="Q62" i="12"/>
  <c r="H56" i="12"/>
  <c r="AC80" i="12"/>
  <c r="AC81" i="12"/>
  <c r="K49" i="12"/>
  <c r="I63" i="12"/>
  <c r="M61" i="12"/>
  <c r="M63" i="12" s="1"/>
  <c r="D63" i="12"/>
  <c r="H61" i="12"/>
  <c r="D62" i="12"/>
  <c r="E63" i="12"/>
  <c r="E62" i="12"/>
  <c r="M59" i="12"/>
  <c r="R59" i="12"/>
  <c r="R60" i="12" s="1"/>
  <c r="N60" i="12"/>
  <c r="D60" i="12"/>
  <c r="H59" i="12"/>
  <c r="H60" i="12" s="1"/>
  <c r="M48" i="12"/>
  <c r="I49" i="12"/>
  <c r="L49" i="12"/>
  <c r="D49" i="12"/>
  <c r="O49" i="12"/>
  <c r="AC62" i="12"/>
  <c r="AC63" i="12"/>
  <c r="P49" i="12"/>
  <c r="R61" i="12"/>
  <c r="N63" i="12"/>
  <c r="N62" i="12"/>
  <c r="E49" i="12"/>
  <c r="G49" i="12"/>
  <c r="G63" i="12"/>
  <c r="G62" i="12"/>
  <c r="X49" i="12"/>
  <c r="R56" i="12"/>
  <c r="M56" i="12"/>
  <c r="K53" i="12"/>
  <c r="K54" i="12" s="1"/>
  <c r="L53" i="12"/>
  <c r="L54" i="12" s="1"/>
  <c r="P53" i="12"/>
  <c r="P54" i="12" s="1"/>
  <c r="S53" i="12"/>
  <c r="S54" i="12" s="1"/>
  <c r="V53" i="12"/>
  <c r="V54" i="12" s="1"/>
  <c r="W51" i="12" l="1"/>
  <c r="W52" i="12"/>
  <c r="U51" i="12"/>
  <c r="U52" i="12"/>
  <c r="Q51" i="12"/>
  <c r="Q52" i="12"/>
  <c r="R62" i="12"/>
  <c r="R63" i="12"/>
  <c r="AB51" i="12"/>
  <c r="AB52" i="12"/>
  <c r="Y49" i="12"/>
  <c r="Y53" i="12"/>
  <c r="Y54" i="12" s="1"/>
  <c r="X51" i="12"/>
  <c r="X52" i="12"/>
  <c r="J53" i="12"/>
  <c r="J54" i="12" s="1"/>
  <c r="J52" i="12"/>
  <c r="J51" i="12"/>
  <c r="P52" i="12"/>
  <c r="P51" i="12"/>
  <c r="I53" i="12"/>
  <c r="I54" i="12" s="1"/>
  <c r="I52" i="12"/>
  <c r="I51" i="12"/>
  <c r="M50" i="12"/>
  <c r="AA53" i="12"/>
  <c r="N52" i="12"/>
  <c r="N51" i="12"/>
  <c r="R50" i="12"/>
  <c r="Q53" i="12"/>
  <c r="Q54" i="12" s="1"/>
  <c r="W53" i="12"/>
  <c r="W54" i="12" s="1"/>
  <c r="W49" i="12"/>
  <c r="L52" i="12"/>
  <c r="L51" i="12"/>
  <c r="O52" i="12"/>
  <c r="O51" i="12"/>
  <c r="AC53" i="12"/>
  <c r="Z53" i="12"/>
  <c r="Z54" i="12" s="1"/>
  <c r="Z52" i="12"/>
  <c r="Z51" i="12"/>
  <c r="T53" i="12"/>
  <c r="T54" i="12" s="1"/>
  <c r="T51" i="12"/>
  <c r="T52" i="12"/>
  <c r="M49" i="12"/>
  <c r="Y52" i="12"/>
  <c r="Y51" i="12"/>
  <c r="AC52" i="12"/>
  <c r="AC51" i="12"/>
  <c r="AB53" i="12"/>
  <c r="O53" i="12"/>
  <c r="O54" i="12" s="1"/>
  <c r="H63" i="12"/>
  <c r="H62" i="12"/>
  <c r="U53" i="12"/>
  <c r="U54" i="12" s="1"/>
  <c r="V52" i="12"/>
  <c r="V51" i="12"/>
  <c r="AA51" i="12"/>
  <c r="AA52" i="12"/>
  <c r="S52" i="12"/>
  <c r="S51" i="12"/>
  <c r="K52" i="12"/>
  <c r="K51" i="12"/>
  <c r="X53" i="12"/>
  <c r="X54" i="12" s="1"/>
  <c r="N53" i="12"/>
  <c r="N54" i="12" s="1"/>
  <c r="D52" i="12" l="1"/>
  <c r="AA9" i="12"/>
  <c r="X11" i="5"/>
  <c r="X20" i="5" s="1"/>
  <c r="X27" i="5" s="1"/>
  <c r="AB9" i="12"/>
  <c r="Y11" i="5"/>
  <c r="Y20" i="5" s="1"/>
  <c r="Y27" i="5" s="1"/>
  <c r="V7" i="16"/>
  <c r="AC9" i="12"/>
  <c r="Z11" i="5"/>
  <c r="V8" i="16" s="1"/>
  <c r="M52" i="12"/>
  <c r="M51" i="12"/>
  <c r="F52" i="12"/>
  <c r="F51" i="12"/>
  <c r="F53" i="12"/>
  <c r="F54" i="12" s="1"/>
  <c r="G52" i="12"/>
  <c r="G51" i="12"/>
  <c r="G53" i="12"/>
  <c r="G54" i="12" s="1"/>
  <c r="M53" i="12"/>
  <c r="M54" i="12" s="1"/>
  <c r="H49" i="12"/>
  <c r="R53" i="12"/>
  <c r="R54" i="12" s="1"/>
  <c r="R51" i="12"/>
  <c r="R52" i="12"/>
  <c r="E52" i="12"/>
  <c r="E51" i="12"/>
  <c r="E53" i="12"/>
  <c r="E54" i="12" s="1"/>
  <c r="D53" i="12" l="1"/>
  <c r="D54" i="12" s="1"/>
  <c r="V21" i="16"/>
  <c r="W21" i="16"/>
  <c r="H50" i="12"/>
  <c r="H53" i="12" s="1"/>
  <c r="H54" i="12" s="1"/>
  <c r="D51" i="12"/>
  <c r="Z20" i="5"/>
  <c r="V9" i="16" s="1"/>
  <c r="AC13" i="12"/>
  <c r="AC11" i="12"/>
  <c r="AC29" i="12"/>
  <c r="AC14" i="12"/>
  <c r="AC78" i="12"/>
  <c r="AC60" i="12"/>
  <c r="AC49" i="12"/>
  <c r="AB11" i="12"/>
  <c r="AB29" i="12"/>
  <c r="AB13" i="12"/>
  <c r="AB14" i="12"/>
  <c r="AB49" i="12"/>
  <c r="AA29" i="12"/>
  <c r="AA13" i="12"/>
  <c r="AA14" i="12"/>
  <c r="AA11" i="12"/>
  <c r="AA49" i="12"/>
  <c r="H52" i="12" l="1"/>
  <c r="H51" i="12"/>
  <c r="AA31" i="12"/>
  <c r="AA33" i="12"/>
  <c r="AC34" i="12"/>
  <c r="AC83" i="12"/>
  <c r="AC65" i="12"/>
  <c r="AC54" i="12"/>
  <c r="AB31" i="12"/>
  <c r="AB33" i="12"/>
  <c r="AC33" i="12"/>
  <c r="AC31" i="12"/>
  <c r="AA83" i="12"/>
  <c r="AA65" i="12"/>
  <c r="AA54" i="12"/>
  <c r="Z27" i="5"/>
  <c r="AB65" i="12"/>
  <c r="AB83" i="12"/>
  <c r="AB54" i="12"/>
  <c r="AQ13" i="6" l="1"/>
  <c r="Z34" i="5"/>
  <c r="W17" i="16" l="1"/>
  <c r="AQ40" i="6"/>
  <c r="V17" i="16"/>
  <c r="V18" i="16" s="1"/>
  <c r="Z39" i="5"/>
  <c r="V10" i="16" s="1"/>
  <c r="W18" i="16" l="1"/>
  <c r="W19" i="16"/>
  <c r="AQ59" i="6"/>
  <c r="V19" i="16"/>
  <c r="AQ99" i="6" l="1"/>
  <c r="AQ106" i="6" l="1"/>
  <c r="AE81" i="12" l="1"/>
  <c r="AE80" i="12"/>
  <c r="AE62" i="12"/>
  <c r="AE63" i="12"/>
  <c r="AE82" i="12"/>
  <c r="AE52" i="12"/>
  <c r="AE51" i="12"/>
  <c r="AE53" i="12"/>
  <c r="AE64" i="12"/>
  <c r="X14" i="16" l="1"/>
  <c r="X20" i="16"/>
  <c r="X16" i="16"/>
  <c r="AB11" i="5"/>
  <c r="AE9" i="12"/>
  <c r="X7" i="16"/>
  <c r="X21" i="16" s="1"/>
  <c r="X8" i="16" l="1"/>
  <c r="AB20" i="5"/>
  <c r="AE60" i="12"/>
  <c r="AE49" i="12"/>
  <c r="AE78" i="12"/>
  <c r="AE29" i="12"/>
  <c r="AE14" i="12"/>
  <c r="AE11" i="12"/>
  <c r="AE13" i="12"/>
  <c r="X9" i="16" l="1"/>
  <c r="AB27" i="5"/>
  <c r="AE33" i="12"/>
  <c r="AE31" i="12"/>
  <c r="AE65" i="12"/>
  <c r="AE54" i="12"/>
  <c r="AE83" i="12"/>
  <c r="AE34" i="12"/>
  <c r="AS13" i="6" l="1"/>
  <c r="AS40" i="6" s="1"/>
  <c r="AS59" i="6" s="1"/>
  <c r="AS99" i="6" s="1"/>
  <c r="AB34" i="5"/>
  <c r="AB39" i="5" l="1"/>
  <c r="X10" i="16" s="1"/>
  <c r="X17" i="16"/>
  <c r="X18" i="16" l="1"/>
  <c r="X1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Vitor Moreira Lima</author>
  </authors>
  <commentList>
    <comment ref="AL20" authorId="0" shapeId="0" xr:uid="{FD5E2BEA-9FD9-413A-89AF-1509B87770A2}">
      <text>
        <r>
          <rPr>
            <b/>
            <sz val="9"/>
            <color indexed="81"/>
            <rFont val="Segoe UI"/>
            <family val="2"/>
          </rPr>
          <t>Soma de Provisãop/ perdas sobre créditos + Baixa de títulos contas a rec</t>
        </r>
      </text>
    </comment>
    <comment ref="AM20" authorId="0" shapeId="0" xr:uid="{1B4ECCEA-675F-402B-8970-B6057EE0E1BF}">
      <text>
        <r>
          <rPr>
            <b/>
            <sz val="9"/>
            <color indexed="81"/>
            <rFont val="Segoe UI"/>
            <family val="2"/>
          </rPr>
          <t>Soma de Provisãop/ perdas sobre créditos + Baixa de títulos contas a rec</t>
        </r>
      </text>
    </comment>
  </commentList>
</comments>
</file>

<file path=xl/sharedStrings.xml><?xml version="1.0" encoding="utf-8"?>
<sst xmlns="http://schemas.openxmlformats.org/spreadsheetml/2006/main" count="2506" uniqueCount="785">
  <si>
    <t>Caixa e equivalentes de caixa</t>
  </si>
  <si>
    <t>Estoques</t>
  </si>
  <si>
    <t>Imposto de renda e contribuição social diferidos</t>
  </si>
  <si>
    <t>Depósitos judiciais</t>
  </si>
  <si>
    <t>Investimentos</t>
  </si>
  <si>
    <t>TOTAL DO ATIVO</t>
  </si>
  <si>
    <t>CIRCULANTE</t>
  </si>
  <si>
    <t>NÃO CIRCULANTE</t>
  </si>
  <si>
    <t>3T13</t>
  </si>
  <si>
    <t>4T12</t>
  </si>
  <si>
    <t>3T12</t>
  </si>
  <si>
    <t>2T13</t>
  </si>
  <si>
    <t>2T12</t>
  </si>
  <si>
    <t>1T13</t>
  </si>
  <si>
    <t>1T12</t>
  </si>
  <si>
    <t>4T11</t>
  </si>
  <si>
    <t>3T11</t>
  </si>
  <si>
    <t>4T10</t>
  </si>
  <si>
    <t>2T11</t>
  </si>
  <si>
    <t>1T11</t>
  </si>
  <si>
    <t>3T10</t>
  </si>
  <si>
    <t>2T10</t>
  </si>
  <si>
    <t>1T10</t>
  </si>
  <si>
    <t>PATRIMÔNIO LÍQUIDO</t>
  </si>
  <si>
    <t>Capital social</t>
  </si>
  <si>
    <t>4T13</t>
  </si>
  <si>
    <t>1T14</t>
  </si>
  <si>
    <t>Outras contas a receber</t>
  </si>
  <si>
    <t>Impostos a recuperar</t>
  </si>
  <si>
    <t>Imobilizado</t>
  </si>
  <si>
    <t>Intangível</t>
  </si>
  <si>
    <t>Fornecedores</t>
  </si>
  <si>
    <t>Salários, provisões e encargos sociais a recolher</t>
  </si>
  <si>
    <t>Dividendos e juros sobre capital próprio a pagar</t>
  </si>
  <si>
    <t>Outras contas a pagar</t>
  </si>
  <si>
    <t>Total do passivo circulante</t>
  </si>
  <si>
    <t>Reservas de lucros</t>
  </si>
  <si>
    <t>Ajustes acumulados de conversão</t>
  </si>
  <si>
    <t>Proposta de distribuição de dividendo adicional</t>
  </si>
  <si>
    <t xml:space="preserve">Lucro líquido do período </t>
  </si>
  <si>
    <t>Empréstimos, financiamentos, debêntures e leasing a pagar</t>
  </si>
  <si>
    <t>Impostos, taxas e contribuições a recolher</t>
  </si>
  <si>
    <t>Contas a pagar-aquisição de empresas</t>
  </si>
  <si>
    <t>Provisões</t>
  </si>
  <si>
    <t>Despesas antecipadas</t>
  </si>
  <si>
    <t>Contas a receber de clientes</t>
  </si>
  <si>
    <t>Provisão para perdas sobre crédito</t>
  </si>
  <si>
    <t>Dividendos a receber</t>
  </si>
  <si>
    <t>Aplicações Financeiras - caixa restrito</t>
  </si>
  <si>
    <t>Parcelamento de débitos fiscais</t>
  </si>
  <si>
    <t>Derivativos</t>
  </si>
  <si>
    <t>Lucros acumulados</t>
  </si>
  <si>
    <t>Operações com derivativos (Swap)</t>
  </si>
  <si>
    <t>ATIVO (R$ milhares)</t>
  </si>
  <si>
    <t>PASSIVO (R$ milhares)</t>
  </si>
  <si>
    <t>2T14</t>
  </si>
  <si>
    <t>3T14</t>
  </si>
  <si>
    <t>4T14</t>
  </si>
  <si>
    <t>1T15</t>
  </si>
  <si>
    <t>2T15</t>
  </si>
  <si>
    <t>3T15</t>
  </si>
  <si>
    <t>Títulos e Valores Mobiliários</t>
  </si>
  <si>
    <t>4T15</t>
  </si>
  <si>
    <t>Ações em tesouraria*</t>
  </si>
  <si>
    <t>Reservas de capital*</t>
  </si>
  <si>
    <t>*Reclassificação, a partir de 2014, do ganho na operação de ações em tesouraria que anteriormente estavam classificadas em reservas de capital</t>
  </si>
  <si>
    <t>Patrimônio Líquido atribuível aos proprietários da Companhia</t>
  </si>
  <si>
    <t>Participações não controladoras</t>
  </si>
  <si>
    <t>Total  Patrimônio Líquido</t>
  </si>
  <si>
    <t>1T16</t>
  </si>
  <si>
    <t>2T16</t>
  </si>
  <si>
    <t>Ativo disponível para venda</t>
  </si>
  <si>
    <t>3T16</t>
  </si>
  <si>
    <t>4T16</t>
  </si>
  <si>
    <t>1T17</t>
  </si>
  <si>
    <t>2T17</t>
  </si>
  <si>
    <t>Créditos com partes relacionadas</t>
  </si>
  <si>
    <t>3T17</t>
  </si>
  <si>
    <t>Outros ativos</t>
  </si>
  <si>
    <t>4T17</t>
  </si>
  <si>
    <t>1T18</t>
  </si>
  <si>
    <t>2T18</t>
  </si>
  <si>
    <t>3T18</t>
  </si>
  <si>
    <t>4T18</t>
  </si>
  <si>
    <t>TOTAL DO PASSIVO E PATRIMÔNIO LÍQUIDO</t>
  </si>
  <si>
    <t xml:space="preserve"> </t>
  </si>
  <si>
    <r>
      <t xml:space="preserve">1T19 </t>
    </r>
    <r>
      <rPr>
        <b/>
        <vertAlign val="superscript"/>
        <sz val="11"/>
        <color indexed="9"/>
        <rFont val="Roboto Condensed"/>
      </rPr>
      <t>IFRS16</t>
    </r>
  </si>
  <si>
    <r>
      <t xml:space="preserve">2T19 </t>
    </r>
    <r>
      <rPr>
        <b/>
        <vertAlign val="superscript"/>
        <sz val="11"/>
        <color indexed="9"/>
        <rFont val="Roboto Condensed"/>
      </rPr>
      <t>IFRS16</t>
    </r>
  </si>
  <si>
    <r>
      <t xml:space="preserve">3T19 </t>
    </r>
    <r>
      <rPr>
        <b/>
        <vertAlign val="superscript"/>
        <sz val="11"/>
        <color indexed="9"/>
        <rFont val="Roboto Condensed"/>
      </rPr>
      <t>IFRS16</t>
    </r>
  </si>
  <si>
    <r>
      <t xml:space="preserve">4T19 </t>
    </r>
    <r>
      <rPr>
        <b/>
        <vertAlign val="superscript"/>
        <sz val="11"/>
        <color indexed="9"/>
        <rFont val="Roboto Condensed"/>
      </rPr>
      <t>IFRS16</t>
    </r>
  </si>
  <si>
    <r>
      <t xml:space="preserve">1T20 </t>
    </r>
    <r>
      <rPr>
        <b/>
        <vertAlign val="superscript"/>
        <sz val="11"/>
        <color indexed="9"/>
        <rFont val="Roboto Condensed"/>
      </rPr>
      <t>IFRS16</t>
    </r>
  </si>
  <si>
    <r>
      <t xml:space="preserve">2T20 </t>
    </r>
    <r>
      <rPr>
        <b/>
        <vertAlign val="superscript"/>
        <sz val="11"/>
        <color indexed="9"/>
        <rFont val="Roboto Condensed"/>
      </rPr>
      <t>IFRS16</t>
    </r>
  </si>
  <si>
    <r>
      <t xml:space="preserve">3T20 </t>
    </r>
    <r>
      <rPr>
        <b/>
        <vertAlign val="superscript"/>
        <sz val="11"/>
        <color indexed="9"/>
        <rFont val="Roboto Condensed"/>
      </rPr>
      <t>IFRS16</t>
    </r>
  </si>
  <si>
    <r>
      <t xml:space="preserve">4T20 </t>
    </r>
    <r>
      <rPr>
        <b/>
        <vertAlign val="superscript"/>
        <sz val="11"/>
        <color indexed="9"/>
        <rFont val="Roboto Condensed"/>
      </rPr>
      <t>IFRS16</t>
    </r>
  </si>
  <si>
    <r>
      <t xml:space="preserve">1T21 </t>
    </r>
    <r>
      <rPr>
        <b/>
        <vertAlign val="superscript"/>
        <sz val="11"/>
        <color indexed="9"/>
        <rFont val="Roboto Condensed"/>
      </rPr>
      <t>IFRS16</t>
    </r>
  </si>
  <si>
    <r>
      <t xml:space="preserve">2T21 </t>
    </r>
    <r>
      <rPr>
        <b/>
        <vertAlign val="superscript"/>
        <sz val="11"/>
        <color indexed="9"/>
        <rFont val="Roboto Condensed"/>
      </rPr>
      <t>IFRS16</t>
    </r>
  </si>
  <si>
    <r>
      <t xml:space="preserve">3T21 </t>
    </r>
    <r>
      <rPr>
        <b/>
        <vertAlign val="superscript"/>
        <sz val="11"/>
        <color indexed="9"/>
        <rFont val="Roboto Condensed"/>
      </rPr>
      <t>IFRS16</t>
    </r>
  </si>
  <si>
    <r>
      <t xml:space="preserve">4T21 </t>
    </r>
    <r>
      <rPr>
        <b/>
        <vertAlign val="superscript"/>
        <sz val="11"/>
        <color indexed="9"/>
        <rFont val="Roboto Condensed"/>
      </rPr>
      <t>IFRS16</t>
    </r>
  </si>
  <si>
    <r>
      <t xml:space="preserve">1T22 </t>
    </r>
    <r>
      <rPr>
        <b/>
        <vertAlign val="superscript"/>
        <sz val="11"/>
        <color indexed="9"/>
        <rFont val="Roboto Condensed"/>
      </rPr>
      <t>IFRS16</t>
    </r>
  </si>
  <si>
    <r>
      <t xml:space="preserve">2T22 </t>
    </r>
    <r>
      <rPr>
        <b/>
        <vertAlign val="superscript"/>
        <sz val="11"/>
        <color indexed="9"/>
        <rFont val="Roboto Condensed"/>
      </rPr>
      <t>IFRS16</t>
    </r>
  </si>
  <si>
    <t>Ativo de operações descontinuadas</t>
  </si>
  <si>
    <t>Passivo de operações descontinuadas</t>
  </si>
  <si>
    <t>Proprietários da Companhia</t>
  </si>
  <si>
    <t>Lucro Atribuível a:</t>
  </si>
  <si>
    <t>Lucro (prejuízo) do periodo</t>
  </si>
  <si>
    <t xml:space="preserve">Resultado líquido do período proveniente de oper. desc. </t>
  </si>
  <si>
    <t>Lucro líquido do período de operações descontinuadas</t>
  </si>
  <si>
    <t>Lucro líquido do período de operações continuadas</t>
  </si>
  <si>
    <t>Diferidos</t>
  </si>
  <si>
    <t>Correntes</t>
  </si>
  <si>
    <t>Imposto de renda e contribuição social</t>
  </si>
  <si>
    <t>Lucro (prejuízo) antes do IRCS</t>
  </si>
  <si>
    <t>Despesas financeiras</t>
  </si>
  <si>
    <t>Receitas financeiras</t>
  </si>
  <si>
    <t>Resultado financeiro</t>
  </si>
  <si>
    <t>Lucro operacional</t>
  </si>
  <si>
    <t>Resultado de equivalência patrimonial</t>
  </si>
  <si>
    <t>Outras receitas (despesas) operacionais, líquidas</t>
  </si>
  <si>
    <t>Despesas administrativas</t>
  </si>
  <si>
    <t>Despesas com vendas</t>
  </si>
  <si>
    <t>Receitas (despesas) operacionais</t>
  </si>
  <si>
    <t>Resultado bruto</t>
  </si>
  <si>
    <t>Custos</t>
  </si>
  <si>
    <t>Receita operacional líquida</t>
  </si>
  <si>
    <r>
      <t xml:space="preserve">2020 </t>
    </r>
    <r>
      <rPr>
        <b/>
        <vertAlign val="superscript"/>
        <sz val="11"/>
        <color indexed="9"/>
        <rFont val="Roboto Condensed"/>
      </rPr>
      <t>IFRS16</t>
    </r>
  </si>
  <si>
    <r>
      <t xml:space="preserve">2019 </t>
    </r>
    <r>
      <rPr>
        <b/>
        <vertAlign val="superscript"/>
        <sz val="11"/>
        <color indexed="9"/>
        <rFont val="Roboto Condensed"/>
      </rPr>
      <t>IFRS16</t>
    </r>
  </si>
  <si>
    <t>Demonstração dos Resultados (R$ milhares)</t>
  </si>
  <si>
    <r>
      <t xml:space="preserve">1T19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</si>
  <si>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</si>
  <si>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</si>
  <si>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4T19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</si>
  <si>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2019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</si>
  <si>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1T20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</si>
  <si>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</si>
  <si>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</si>
  <si>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4T20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</si>
  <si>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2020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</si>
  <si>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1T21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</si>
  <si>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</si>
  <si>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</si>
  <si>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4T21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</si>
  <si>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2021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</si>
  <si>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1T22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</si>
  <si>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2T22 </t>
    </r>
    <r>
      <rPr>
        <b/>
        <vertAlign val="superscript"/>
        <sz val="11"/>
        <color indexed="9"/>
        <rFont val="Fractul"/>
        <family val="3"/>
      </rPr>
      <t>IFRS16</t>
    </r>
  </si>
  <si>
    <t>Lucro antes do IR</t>
  </si>
  <si>
    <t>Ajustes para reconciliar o lucro (prejuízo) líquido do período com recursos provenientes de atividades operacionais:</t>
  </si>
  <si>
    <t>Depreciação</t>
  </si>
  <si>
    <t>Baixa de ativos</t>
  </si>
  <si>
    <t>Amortização</t>
  </si>
  <si>
    <t>Amortização do Fundo Criatec III</t>
  </si>
  <si>
    <t>Provisões para perdas sobre créditos</t>
  </si>
  <si>
    <t>Provisões para obsolescência de imobilizado</t>
  </si>
  <si>
    <t>Provisão para perdas de estoques</t>
  </si>
  <si>
    <t>Impairment</t>
  </si>
  <si>
    <t>Equivalência patrimonial</t>
  </si>
  <si>
    <t>Despesas de juros sobre debêntures, empréstimos e financiamentos</t>
  </si>
  <si>
    <t>Outras Obrigações com debêntures</t>
  </si>
  <si>
    <t>Juros e variação cambial de arrendamentos</t>
  </si>
  <si>
    <t>Juros e variação cambial de emprestimos</t>
  </si>
  <si>
    <t>Juros e Variação Cambial sobre Mútuos</t>
  </si>
  <si>
    <t>Opções de outorga reconhecidas</t>
  </si>
  <si>
    <t>Atualização de depósitos judiciais</t>
  </si>
  <si>
    <t>Outras variações cambiais</t>
  </si>
  <si>
    <t>Outros</t>
  </si>
  <si>
    <t>Fluxo de caixa das atividades operacionais:</t>
  </si>
  <si>
    <t>Pagamento de IR e CSLL</t>
  </si>
  <si>
    <t>Adiantamento de Clientes e Outras contas a pagar</t>
  </si>
  <si>
    <t>Pagamentos de riscos trabalhistas, cíveis e tributários</t>
  </si>
  <si>
    <t>Débito com partes relacionadas</t>
  </si>
  <si>
    <t>Variações nos ativos e passivos</t>
  </si>
  <si>
    <t>Caixa líquido gerado (consumido) pelas atividades operacionais</t>
  </si>
  <si>
    <t>Fluxo de caixa das atividades de investimento</t>
  </si>
  <si>
    <t>Aquisição de imobilizado</t>
  </si>
  <si>
    <t>Aquisição de investimentos e intangível</t>
  </si>
  <si>
    <t>Títulos e valores mobiliarios</t>
  </si>
  <si>
    <t>Aplicação financeira vinculada</t>
  </si>
  <si>
    <t>Outros investimentos avaliados a custo</t>
  </si>
  <si>
    <t>Aquisição de participação de não controladores</t>
  </si>
  <si>
    <t>Aquisição de participação Minoritária - Cubic</t>
  </si>
  <si>
    <t>Aquisição da participação minoritária - BCT</t>
  </si>
  <si>
    <t>Aquisição da Agrótopus</t>
  </si>
  <si>
    <t>Aquisição da BluPay</t>
  </si>
  <si>
    <t>Aquisição da Serbet, líquido de caixa adquirido</t>
  </si>
  <si>
    <t>Aquisição da Alpdex, líquido de caixa adquirido</t>
  </si>
  <si>
    <t>Aquisição da MITRA</t>
  </si>
  <si>
    <t xml:space="preserve">Outros  </t>
  </si>
  <si>
    <t>Caixa líquido gerado (consumido) pelas atividades de investimento</t>
  </si>
  <si>
    <t>Fluxos de caixa das atividades de financiamento</t>
  </si>
  <si>
    <t>Dividendos pagos</t>
  </si>
  <si>
    <t>Emissão de ações na controladora, líquido dos custos da transação</t>
  </si>
  <si>
    <t>Juros sobre capital próprio pagos</t>
  </si>
  <si>
    <t>Ações em tesouraria</t>
  </si>
  <si>
    <t>Pagamento de Arrendamento</t>
  </si>
  <si>
    <t>Pagamento de juros sobre arrendamento</t>
  </si>
  <si>
    <t>Captação de debêntures</t>
  </si>
  <si>
    <t>Pagamento de debêntures</t>
  </si>
  <si>
    <t>Pagamento de juros sobre debêntures</t>
  </si>
  <si>
    <t>Captação de Financiamentos</t>
  </si>
  <si>
    <t>Pagamentos de juros sobre financiamentos</t>
  </si>
  <si>
    <t>Pagamento de Financiamento</t>
  </si>
  <si>
    <t>Empréstimos</t>
  </si>
  <si>
    <t>Pagamento de empréstimos</t>
  </si>
  <si>
    <t>Pagamento de juros sobre empréstimos</t>
  </si>
  <si>
    <t>Caixa líquido gerado (consumido) pelas atividades de financiamento</t>
  </si>
  <si>
    <t>Aumento (redução) do caixa e equivalentes de caixa</t>
  </si>
  <si>
    <t>Saldos do caixa e equivalentes de caixa</t>
  </si>
  <si>
    <t>No início do exercício</t>
  </si>
  <si>
    <t>Ajuste acumulado de conversão</t>
  </si>
  <si>
    <t>No fim do exercício</t>
  </si>
  <si>
    <t>9M16</t>
  </si>
  <si>
    <t>Amortização mais valia dos estoques</t>
  </si>
  <si>
    <t>Provisões para riscos fiscais, previdenciários trabalhistas e cíveis</t>
  </si>
  <si>
    <t>Provisões para obsolescência</t>
  </si>
  <si>
    <t>Ganho na compra vantajosa</t>
  </si>
  <si>
    <t>Ganho na alienação de controlada</t>
  </si>
  <si>
    <t>Juros sobre debêntures, empréstimos e financiamentos</t>
  </si>
  <si>
    <t>Juros e Variação cambial de adiantamento e leasing</t>
  </si>
  <si>
    <t>Juros sobre aplicação financeira - caixa restrito</t>
  </si>
  <si>
    <t>Imposto sobre recebimento de dividendos de controladas no exterior</t>
  </si>
  <si>
    <t>Títulos e valores mobiliários</t>
  </si>
  <si>
    <t>Valores recebidos na alienação de investimentos</t>
  </si>
  <si>
    <t>Aumento nos saldos de títulos e valores mobiliários</t>
  </si>
  <si>
    <t>Dividendos recebidos</t>
  </si>
  <si>
    <t>Aquisição e venda de ações em tesouraria</t>
  </si>
  <si>
    <t>Liberação de caixa restrito</t>
  </si>
  <si>
    <t>Liquidação de derivativos</t>
  </si>
  <si>
    <t>Aquisição de coligadas - Inemator</t>
  </si>
  <si>
    <t>Aquisição de coligadas - Uram</t>
  </si>
  <si>
    <t>Aquisição da Fundamenture líquido do caixa adquirido</t>
  </si>
  <si>
    <t>Aquisição de ativos da Vmark</t>
  </si>
  <si>
    <t>Aquisição da PPI menos caixa líquido adquirido</t>
  </si>
  <si>
    <t>Aquisição de Ativos da Valid Secure Packaging</t>
  </si>
  <si>
    <t>Liquidação da contraprestação contingênte ScreenCheck</t>
  </si>
  <si>
    <t>Aquisição da ScreenCheck menos caixa liquido adquirido</t>
  </si>
  <si>
    <t xml:space="preserve">  Aquisição de Ativos da MSC</t>
  </si>
  <si>
    <t>Pagamento de IR referentes ao JSCP pagos</t>
  </si>
  <si>
    <t>Emissão de Ações na Controladora</t>
  </si>
  <si>
    <t>Pagamento de Leasing</t>
  </si>
  <si>
    <t>Captação de financiamentos</t>
  </si>
  <si>
    <t>Lucro Líquido  (prejuízo) do periodo</t>
  </si>
  <si>
    <t>Resultados Valid</t>
  </si>
  <si>
    <r>
      <t>1T19</t>
    </r>
    <r>
      <rPr>
        <b/>
        <vertAlign val="superscript"/>
        <sz val="11"/>
        <color indexed="9"/>
        <rFont val="Roboto Condensed"/>
      </rPr>
      <t>IFRS16</t>
    </r>
  </si>
  <si>
    <r>
      <t>2T19</t>
    </r>
    <r>
      <rPr>
        <b/>
        <vertAlign val="superscript"/>
        <sz val="11"/>
        <color indexed="9"/>
        <rFont val="Roboto Condensed"/>
      </rPr>
      <t>IFRS16</t>
    </r>
  </si>
  <si>
    <r>
      <t>3T19</t>
    </r>
    <r>
      <rPr>
        <b/>
        <vertAlign val="superscript"/>
        <sz val="11"/>
        <color indexed="9"/>
        <rFont val="Roboto Condensed"/>
      </rPr>
      <t>IFRS16</t>
    </r>
  </si>
  <si>
    <r>
      <t>4T19</t>
    </r>
    <r>
      <rPr>
        <b/>
        <vertAlign val="superscript"/>
        <sz val="11"/>
        <color indexed="9"/>
        <rFont val="Roboto Condensed"/>
      </rPr>
      <t>IFRS16</t>
    </r>
  </si>
  <si>
    <r>
      <t>1T20</t>
    </r>
    <r>
      <rPr>
        <b/>
        <vertAlign val="superscript"/>
        <sz val="11"/>
        <color indexed="9"/>
        <rFont val="Roboto Condensed"/>
      </rPr>
      <t>IFRS16</t>
    </r>
  </si>
  <si>
    <r>
      <t>2T20</t>
    </r>
    <r>
      <rPr>
        <b/>
        <vertAlign val="superscript"/>
        <sz val="11"/>
        <color indexed="9"/>
        <rFont val="Roboto Condensed"/>
      </rPr>
      <t>IFRS16</t>
    </r>
  </si>
  <si>
    <r>
      <t>3T20</t>
    </r>
    <r>
      <rPr>
        <b/>
        <vertAlign val="superscript"/>
        <sz val="11"/>
        <color indexed="9"/>
        <rFont val="Roboto Condensed"/>
      </rPr>
      <t>IFRS16</t>
    </r>
  </si>
  <si>
    <r>
      <t>4T20</t>
    </r>
    <r>
      <rPr>
        <b/>
        <vertAlign val="superscript"/>
        <sz val="11"/>
        <color indexed="9"/>
        <rFont val="Roboto Condensed"/>
      </rPr>
      <t>IFRS16</t>
    </r>
  </si>
  <si>
    <r>
      <t>2020</t>
    </r>
    <r>
      <rPr>
        <b/>
        <vertAlign val="superscript"/>
        <sz val="11"/>
        <color indexed="9"/>
        <rFont val="Roboto Condensed"/>
      </rPr>
      <t>IFRS16</t>
    </r>
  </si>
  <si>
    <r>
      <t>1T21</t>
    </r>
    <r>
      <rPr>
        <b/>
        <vertAlign val="superscript"/>
        <sz val="11"/>
        <color indexed="9"/>
        <rFont val="Roboto Condensed"/>
      </rPr>
      <t>IFRS16</t>
    </r>
  </si>
  <si>
    <t>Receita Líquida</t>
  </si>
  <si>
    <t>EBITDA Ajustado</t>
  </si>
  <si>
    <t>Margem</t>
  </si>
  <si>
    <t>Lucro Líquido Ajustado</t>
  </si>
  <si>
    <t>Reconciliação do EBITDA RS milhões</t>
  </si>
  <si>
    <t>Lucro Líquido do período</t>
  </si>
  <si>
    <t>(+) Pariticpaçãoes dos não controladores</t>
  </si>
  <si>
    <t>(+) IR e contr social</t>
  </si>
  <si>
    <t>(+) desp/rec financeira</t>
  </si>
  <si>
    <t>(+/-) depre e amortz</t>
  </si>
  <si>
    <t>(+/-) equivalência patrimonial</t>
  </si>
  <si>
    <t>(+) Outras (receitas) desp oper</t>
  </si>
  <si>
    <t>(+) despesas não recorrentes</t>
  </si>
  <si>
    <t>EBITDA</t>
  </si>
  <si>
    <t>(+) deprec e amortz</t>
  </si>
  <si>
    <t>(+/-) Equivalência patrimonial do minoritário</t>
  </si>
  <si>
    <t>Identificação (R$ Milhões)</t>
  </si>
  <si>
    <t>Receita Líquida Identificação</t>
  </si>
  <si>
    <t>Receita Líquida Certificadora</t>
  </si>
  <si>
    <t>% Receita Líquida</t>
  </si>
  <si>
    <t>% EBITDA Total</t>
  </si>
  <si>
    <t>Volume de Vendas</t>
  </si>
  <si>
    <t>Volume Identificação (milhões)</t>
  </si>
  <si>
    <t>Volume Certificadora (milhares)</t>
  </si>
  <si>
    <t xml:space="preserve">Mobile (R$ milhões) </t>
  </si>
  <si>
    <t xml:space="preserve">% Receita Líquida </t>
  </si>
  <si>
    <t>Volume de Vendas (milhões)</t>
  </si>
  <si>
    <t>*valor da equivalencia patrimonial Mult</t>
  </si>
  <si>
    <t>*valor da equivalencia patrimonial Incard</t>
  </si>
  <si>
    <t>Total equivalência patrimonial</t>
  </si>
  <si>
    <t>Meios de Pagamento ( R$ Milhões)</t>
  </si>
  <si>
    <t>Resultados Reportados Valid</t>
  </si>
  <si>
    <r>
      <t>2T21</t>
    </r>
    <r>
      <rPr>
        <b/>
        <vertAlign val="superscript"/>
        <sz val="11"/>
        <color indexed="9"/>
        <rFont val="Roboto Condensed"/>
      </rPr>
      <t>IFRS16</t>
    </r>
  </si>
  <si>
    <r>
      <t>3T21</t>
    </r>
    <r>
      <rPr>
        <b/>
        <vertAlign val="superscript"/>
        <sz val="11"/>
        <color indexed="9"/>
        <rFont val="Roboto Condensed"/>
      </rPr>
      <t>IFRS16</t>
    </r>
  </si>
  <si>
    <r>
      <t>4T21</t>
    </r>
    <r>
      <rPr>
        <b/>
        <vertAlign val="superscript"/>
        <sz val="11"/>
        <color indexed="9"/>
        <rFont val="Roboto Condensed"/>
      </rPr>
      <t>IFRS16</t>
    </r>
  </si>
  <si>
    <r>
      <t>2021</t>
    </r>
    <r>
      <rPr>
        <b/>
        <vertAlign val="superscript"/>
        <sz val="11"/>
        <color indexed="9"/>
        <rFont val="Roboto Condensed"/>
      </rPr>
      <t>IFRS16</t>
    </r>
  </si>
  <si>
    <r>
      <t>1T22</t>
    </r>
    <r>
      <rPr>
        <b/>
        <vertAlign val="superscript"/>
        <sz val="11"/>
        <color indexed="9"/>
        <rFont val="Roboto Condensed"/>
      </rPr>
      <t>IFRS16</t>
    </r>
  </si>
  <si>
    <t>Lucro Líquido</t>
  </si>
  <si>
    <t>OPEX</t>
  </si>
  <si>
    <t>Resultados Normalizados Valid</t>
  </si>
  <si>
    <t>Valid Government Solutions - VGS (R$ Milhões)</t>
  </si>
  <si>
    <t>% OPEX Total</t>
  </si>
  <si>
    <t>Volume de vendas (milhões)</t>
  </si>
  <si>
    <t>Valid Business Solutions - VBS (R$ Milhões)</t>
  </si>
  <si>
    <t>Valid Digital Solutions - VDS (R$ Milhões)</t>
  </si>
  <si>
    <t>USA (R$ Milhões)</t>
  </si>
  <si>
    <t>Telco Global (R$ Milhões)</t>
  </si>
  <si>
    <r>
      <t>2T22</t>
    </r>
    <r>
      <rPr>
        <b/>
        <vertAlign val="superscript"/>
        <sz val="11"/>
        <color indexed="9"/>
        <rFont val="Roboto Condensed"/>
      </rPr>
      <t>IFRS16</t>
    </r>
  </si>
  <si>
    <t>Identificação - ID (R$ Milhões)</t>
  </si>
  <si>
    <t>Banking e Meios de Pagamento - PAY (R$ Milhões)</t>
  </si>
  <si>
    <t>MOBILE (R$ Milhões)</t>
  </si>
  <si>
    <r>
      <t xml:space="preserve">3T22 </t>
    </r>
    <r>
      <rPr>
        <b/>
        <vertAlign val="superscript"/>
        <sz val="11"/>
        <color indexed="9"/>
        <rFont val="Roboto Condensed"/>
      </rPr>
      <t>IFRS16</t>
    </r>
  </si>
  <si>
    <r>
      <t xml:space="preserve">3T22 </t>
    </r>
    <r>
      <rPr>
        <b/>
        <vertAlign val="superscript"/>
        <sz val="11"/>
        <color indexed="9"/>
        <rFont val="Fractul"/>
        <family val="3"/>
      </rPr>
      <t>IFRS16</t>
    </r>
  </si>
  <si>
    <r>
      <t>3T22</t>
    </r>
    <r>
      <rPr>
        <b/>
        <vertAlign val="superscript"/>
        <sz val="11"/>
        <color indexed="9"/>
        <rFont val="Roboto Condensed"/>
      </rPr>
      <t>IFRS16</t>
    </r>
  </si>
  <si>
    <r>
      <t xml:space="preserve">4T22 </t>
    </r>
    <r>
      <rPr>
        <b/>
        <vertAlign val="superscript"/>
        <sz val="11"/>
        <color indexed="9"/>
        <rFont val="Roboto Condensed"/>
      </rPr>
      <t>IFRS16</t>
    </r>
  </si>
  <si>
    <r>
      <t xml:space="preserve">4T22 </t>
    </r>
    <r>
      <rPr>
        <b/>
        <vertAlign val="superscript"/>
        <sz val="11"/>
        <color indexed="9"/>
        <rFont val="Fractul"/>
        <family val="3"/>
      </rPr>
      <t>IFRS16</t>
    </r>
  </si>
  <si>
    <r>
      <t>4T22</t>
    </r>
    <r>
      <rPr>
        <b/>
        <vertAlign val="superscript"/>
        <sz val="11"/>
        <color indexed="9"/>
        <rFont val="Roboto Condensed"/>
      </rPr>
      <t>IFRS16</t>
    </r>
  </si>
  <si>
    <t>Aquisição da V e ViaSoft</t>
  </si>
  <si>
    <r>
      <t>2022</t>
    </r>
    <r>
      <rPr>
        <b/>
        <vertAlign val="superscript"/>
        <sz val="11"/>
        <color indexed="9"/>
        <rFont val="Roboto Condensed"/>
      </rPr>
      <t>IFRS16</t>
    </r>
  </si>
  <si>
    <r>
      <t xml:space="preserve">1T23 </t>
    </r>
    <r>
      <rPr>
        <b/>
        <vertAlign val="superscript"/>
        <sz val="11"/>
        <color indexed="9"/>
        <rFont val="Fractul"/>
        <family val="3"/>
      </rPr>
      <t>IFRS16</t>
    </r>
  </si>
  <si>
    <t>N/A</t>
  </si>
  <si>
    <r>
      <t>1T23</t>
    </r>
    <r>
      <rPr>
        <b/>
        <vertAlign val="superscript"/>
        <sz val="11"/>
        <color indexed="9"/>
        <rFont val="Roboto Condensed"/>
      </rPr>
      <t>IFRS16</t>
    </r>
  </si>
  <si>
    <r>
      <t xml:space="preserve">1T23 </t>
    </r>
    <r>
      <rPr>
        <b/>
        <vertAlign val="superscript"/>
        <sz val="11"/>
        <color indexed="9"/>
        <rFont val="Roboto Condensed"/>
      </rPr>
      <t>IFRS16</t>
    </r>
  </si>
  <si>
    <r>
      <t xml:space="preserve">2T23 </t>
    </r>
    <r>
      <rPr>
        <b/>
        <vertAlign val="superscript"/>
        <sz val="11"/>
        <color indexed="9"/>
        <rFont val="Roboto Condensed"/>
      </rPr>
      <t>IFRS16</t>
    </r>
  </si>
  <si>
    <r>
      <t xml:space="preserve">2T23 </t>
    </r>
    <r>
      <rPr>
        <b/>
        <vertAlign val="superscript"/>
        <sz val="11"/>
        <color indexed="9"/>
        <rFont val="Fractul"/>
        <family val="3"/>
      </rPr>
      <t>IFRS16</t>
    </r>
  </si>
  <si>
    <r>
      <t>2T23</t>
    </r>
    <r>
      <rPr>
        <b/>
        <vertAlign val="superscript"/>
        <sz val="11"/>
        <color indexed="9"/>
        <rFont val="Roboto Condensed"/>
      </rPr>
      <t>IFRS16</t>
    </r>
  </si>
  <si>
    <r>
      <t xml:space="preserve">3T23 </t>
    </r>
    <r>
      <rPr>
        <b/>
        <vertAlign val="superscript"/>
        <sz val="11"/>
        <color indexed="9"/>
        <rFont val="Roboto Condensed"/>
      </rPr>
      <t>IFRS16</t>
    </r>
  </si>
  <si>
    <r>
      <t xml:space="preserve">3T23 </t>
    </r>
    <r>
      <rPr>
        <b/>
        <vertAlign val="superscript"/>
        <sz val="11"/>
        <color indexed="9"/>
        <rFont val="Fractul"/>
        <family val="3"/>
      </rPr>
      <t>IFRS16</t>
    </r>
  </si>
  <si>
    <r>
      <t>3T23</t>
    </r>
    <r>
      <rPr>
        <b/>
        <vertAlign val="superscript"/>
        <sz val="11"/>
        <color indexed="9"/>
        <rFont val="Roboto Condensed"/>
      </rPr>
      <t>IFRS16</t>
    </r>
  </si>
  <si>
    <r>
      <t xml:space="preserve">4T23 </t>
    </r>
    <r>
      <rPr>
        <b/>
        <vertAlign val="superscript"/>
        <sz val="11"/>
        <color indexed="9"/>
        <rFont val="Roboto Condensed"/>
      </rPr>
      <t>IFRS16</t>
    </r>
  </si>
  <si>
    <r>
      <t xml:space="preserve">4T23 </t>
    </r>
    <r>
      <rPr>
        <b/>
        <vertAlign val="superscript"/>
        <sz val="11"/>
        <color indexed="9"/>
        <rFont val="Fractul"/>
        <family val="3"/>
      </rPr>
      <t>IFRS16</t>
    </r>
  </si>
  <si>
    <r>
      <t>4T23</t>
    </r>
    <r>
      <rPr>
        <b/>
        <vertAlign val="superscript"/>
        <sz val="11"/>
        <color indexed="9"/>
        <rFont val="Roboto Condensed"/>
      </rPr>
      <t>IFRS16</t>
    </r>
  </si>
  <si>
    <t xml:space="preserve">Margem e Indicadores </t>
  </si>
  <si>
    <t>Margem Bruta (%)</t>
  </si>
  <si>
    <t>Margem EBIT (%)</t>
  </si>
  <si>
    <t>Margem Líquida (%)</t>
  </si>
  <si>
    <t>Liquidez Corrente</t>
  </si>
  <si>
    <t>Dívida Total Bruta (mil)</t>
  </si>
  <si>
    <t>Dívida Total Líquida (mil)</t>
  </si>
  <si>
    <t>Dívida Líquida/EBITDA 12M</t>
  </si>
  <si>
    <t>P/L</t>
  </si>
  <si>
    <t>EV/EBITDA LTM</t>
  </si>
  <si>
    <t>EV/SALES LTM</t>
  </si>
  <si>
    <t>EV</t>
  </si>
  <si>
    <t>Dívida Bruta/EBITDA 12M</t>
  </si>
  <si>
    <t>Lucro Líquido LTM</t>
  </si>
  <si>
    <r>
      <t xml:space="preserve">1T21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</si>
  <si>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2T21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</si>
  <si>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3T21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</si>
  <si>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4T21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</si>
  <si>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1T22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</si>
  <si>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2T22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</si>
  <si>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3T22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</si>
  <si>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4T22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</si>
  <si>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1T23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</si>
  <si>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2T23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</si>
  <si>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3T23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</si>
  <si>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4T23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</si>
  <si>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1T24 </t>
    </r>
    <r>
      <rPr>
        <b/>
        <vertAlign val="superscript"/>
        <sz val="11"/>
        <color indexed="9"/>
        <rFont val="Roboto Condensed"/>
      </rPr>
      <t>IFRS16</t>
    </r>
  </si>
  <si>
    <t>-</t>
  </si>
  <si>
    <t xml:space="preserve">    Outros ativos financeiros</t>
  </si>
  <si>
    <r>
      <t>1T24</t>
    </r>
    <r>
      <rPr>
        <b/>
        <vertAlign val="superscript"/>
        <sz val="11"/>
        <color indexed="9"/>
        <rFont val="Fractul"/>
        <family val="3"/>
      </rPr>
      <t>IFRS16</t>
    </r>
  </si>
  <si>
    <t xml:space="preserve">  Ajuste a valor presente</t>
  </si>
  <si>
    <t>Receita/Custo na Alienação de Controladoras</t>
  </si>
  <si>
    <r>
      <t xml:space="preserve">2T24 </t>
    </r>
    <r>
      <rPr>
        <b/>
        <vertAlign val="superscript"/>
        <sz val="11"/>
        <color indexed="9"/>
        <rFont val="Roboto Condensed"/>
      </rPr>
      <t>IFRS16</t>
    </r>
  </si>
  <si>
    <r>
      <t xml:space="preserve">3T24 </t>
    </r>
    <r>
      <rPr>
        <b/>
        <vertAlign val="superscript"/>
        <sz val="11"/>
        <color indexed="9"/>
        <rFont val="Roboto Condensed"/>
      </rPr>
      <t>IFRS16</t>
    </r>
  </si>
  <si>
    <t>Aquisição líquido do caixa adquirido</t>
  </si>
  <si>
    <r>
      <t xml:space="preserve">1T25 </t>
    </r>
    <r>
      <rPr>
        <b/>
        <vertAlign val="superscript"/>
        <sz val="11"/>
        <color indexed="9"/>
        <rFont val="Roboto Condensed"/>
      </rPr>
      <t>IFRS16</t>
    </r>
  </si>
  <si>
    <r>
      <t xml:space="preserve">2T25 </t>
    </r>
    <r>
      <rPr>
        <b/>
        <vertAlign val="superscript"/>
        <sz val="11"/>
        <color indexed="9"/>
        <rFont val="Roboto Condensed"/>
      </rPr>
      <t>IFRS16</t>
    </r>
  </si>
  <si>
    <t>Créditos e atualizações financeiras sobre impostos</t>
  </si>
  <si>
    <t>Operações com derivativos (swap)</t>
  </si>
  <si>
    <t>Reversão de provisão - venda imóvel SBC</t>
  </si>
  <si>
    <r>
      <t>1T25</t>
    </r>
    <r>
      <rPr>
        <b/>
        <vertAlign val="superscript"/>
        <sz val="11"/>
        <color indexed="9"/>
        <rFont val="Fractul"/>
        <family val="3"/>
      </rPr>
      <t>IFRS16</t>
    </r>
  </si>
  <si>
    <r>
      <t>2T25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</si>
  <si>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4T24 </t>
    </r>
    <r>
      <rPr>
        <b/>
        <vertAlign val="superscript"/>
        <sz val="11"/>
        <color indexed="9"/>
        <rFont val="Roboto Condensed"/>
      </rPr>
      <t>IFRS16</t>
    </r>
  </si>
  <si>
    <r>
      <t>1T24</t>
    </r>
    <r>
      <rPr>
        <b/>
        <vertAlign val="superscript"/>
        <sz val="11"/>
        <color indexed="9"/>
        <rFont val="Roboto Condensed"/>
      </rPr>
      <t>IFRS16</t>
    </r>
  </si>
  <si>
    <r>
      <t>2T24</t>
    </r>
    <r>
      <rPr>
        <b/>
        <vertAlign val="superscript"/>
        <sz val="11"/>
        <color indexed="9"/>
        <rFont val="Roboto Condensed"/>
      </rPr>
      <t>IFRS16</t>
    </r>
  </si>
  <si>
    <r>
      <t>3T24</t>
    </r>
    <r>
      <rPr>
        <b/>
        <vertAlign val="superscript"/>
        <sz val="11"/>
        <color indexed="9"/>
        <rFont val="Roboto Condensed"/>
      </rPr>
      <t>IFRS16</t>
    </r>
  </si>
  <si>
    <r>
      <t>4T24</t>
    </r>
    <r>
      <rPr>
        <b/>
        <vertAlign val="superscript"/>
        <sz val="11"/>
        <color indexed="9"/>
        <rFont val="Roboto Condensed"/>
      </rPr>
      <t>IFRS16</t>
    </r>
  </si>
  <si>
    <r>
      <t>1T25</t>
    </r>
    <r>
      <rPr>
        <b/>
        <vertAlign val="superscript"/>
        <sz val="11"/>
        <color indexed="9"/>
        <rFont val="Roboto Condensed"/>
      </rPr>
      <t>IFRS16</t>
    </r>
  </si>
  <si>
    <r>
      <t>2T25</t>
    </r>
    <r>
      <rPr>
        <b/>
        <vertAlign val="superscript"/>
        <sz val="11"/>
        <color indexed="9"/>
        <rFont val="Roboto Condensed"/>
      </rPr>
      <t>IFRS16</t>
    </r>
  </si>
  <si>
    <r>
      <t xml:space="preserve">4T24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</si>
  <si>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2T24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</si>
  <si>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3T24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</si>
  <si>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3T25 </t>
    </r>
    <r>
      <rPr>
        <b/>
        <vertAlign val="superscript"/>
        <sz val="11"/>
        <color indexed="9"/>
        <rFont val="Roboto Condensed"/>
      </rPr>
      <t>IFRS16</t>
    </r>
  </si>
  <si>
    <r>
      <t>3T25</t>
    </r>
    <r>
      <rPr>
        <b/>
        <vertAlign val="superscript"/>
        <sz val="11"/>
        <color indexed="9"/>
        <rFont val="Roboto Condensed"/>
      </rPr>
      <t>IFRS16</t>
    </r>
  </si>
  <si>
    <r>
      <t>3T25</t>
    </r>
    <r>
      <rPr>
        <b/>
        <vertAlign val="superscript"/>
        <sz val="11"/>
        <color indexed="9"/>
        <rFont val="Fractul"/>
        <family val="3"/>
      </rPr>
      <t>IFRS16</t>
    </r>
  </si>
  <si>
    <t>Pagamento de earn out</t>
  </si>
  <si>
    <t>Captação de Empréstimos</t>
  </si>
  <si>
    <r>
      <t>1T24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</si>
  <si>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2T24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</si>
  <si>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3T24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</si>
  <si>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4T24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</si>
  <si>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1T25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</si>
  <si>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2T25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</si>
  <si>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3T25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</si>
  <si>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t>ROE</t>
  </si>
  <si>
    <r>
      <t xml:space="preserve">4T25 </t>
    </r>
    <r>
      <rPr>
        <b/>
        <vertAlign val="superscript"/>
        <sz val="11"/>
        <color indexed="9"/>
        <rFont val="Roboto Condensed"/>
      </rPr>
      <t>IFRS16</t>
    </r>
  </si>
  <si>
    <r>
      <t>4T25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</si>
  <si>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4T25</t>
    </r>
    <r>
      <rPr>
        <b/>
        <vertAlign val="superscript"/>
        <sz val="11"/>
        <color indexed="9"/>
        <rFont val="Fractul"/>
        <family val="3"/>
      </rPr>
      <t>IFRS16</t>
    </r>
  </si>
  <si>
    <r>
      <t>4T25</t>
    </r>
    <r>
      <rPr>
        <b/>
        <vertAlign val="superscript"/>
        <sz val="11"/>
        <color indexed="9"/>
        <rFont val="Roboto Condensed"/>
      </rPr>
      <t>IFRS16</t>
    </r>
  </si>
  <si>
    <t>Net Operating Revenue</t>
  </si>
  <si>
    <t>Costs</t>
  </si>
  <si>
    <t>Gross Result</t>
  </si>
  <si>
    <t>Operating Income (Expenses)</t>
  </si>
  <si>
    <t>Selling Expenses</t>
  </si>
  <si>
    <t>Administrative Expenses</t>
  </si>
  <si>
    <t>Other Operating Income (Expenses), Net</t>
  </si>
  <si>
    <t>Equity Method Result</t>
  </si>
  <si>
    <t>Operating Profit</t>
  </si>
  <si>
    <t>Financial Result</t>
  </si>
  <si>
    <t>Financial Income</t>
  </si>
  <si>
    <t>Financial Expenses</t>
  </si>
  <si>
    <t>Profit (Loss) Before Income Tax and Social Contribution</t>
  </si>
  <si>
    <t>Income Tax and Social Contribution</t>
  </si>
  <si>
    <t>Current</t>
  </si>
  <si>
    <t>Deferred</t>
  </si>
  <si>
    <t>Net Income for the Period from Continuing Operations</t>
  </si>
  <si>
    <t>Net Income for the Period from Discontinued Operations</t>
  </si>
  <si>
    <t>Net Result for the Period from Discontinued Operations</t>
  </si>
  <si>
    <t>Profit (Loss) for the Period</t>
  </si>
  <si>
    <t>Net Income Attributable to:</t>
  </si>
  <si>
    <t>Owners of the Company</t>
  </si>
  <si>
    <t>Non-controlling Interests</t>
  </si>
  <si>
    <t>Income Statement (R$ thousands)</t>
  </si>
  <si>
    <t>Gross Profit</t>
  </si>
  <si>
    <t>ASSETS (R$ thousands)</t>
  </si>
  <si>
    <t>CURRENT</t>
  </si>
  <si>
    <t>Cash and Cash Equivalents</t>
  </si>
  <si>
    <t>Securities</t>
  </si>
  <si>
    <t>Trade Accounts Receivable</t>
  </si>
  <si>
    <t>Provision for Credit Losses</t>
  </si>
  <si>
    <t>Taxes Recoverable</t>
  </si>
  <si>
    <t>Inventories</t>
  </si>
  <si>
    <t>Dividends Receivable</t>
  </si>
  <si>
    <t>Other Accounts Receivable</t>
  </si>
  <si>
    <t>Other Assets</t>
  </si>
  <si>
    <t>Asset Held for Sale</t>
  </si>
  <si>
    <t>Derivative Transactions (Swap)</t>
  </si>
  <si>
    <t>Restricted Cash – Financial Investments</t>
  </si>
  <si>
    <t>Prepaid Expenses</t>
  </si>
  <si>
    <t>Assets from Discontinued Operations</t>
  </si>
  <si>
    <t>NON-CURRENT</t>
  </si>
  <si>
    <t>Judicial Deposits</t>
  </si>
  <si>
    <t>Deferred Income Tax and Social Contribution</t>
  </si>
  <si>
    <t>Related Party Credits</t>
  </si>
  <si>
    <t>Other Financial Assets</t>
  </si>
  <si>
    <t>Investments</t>
  </si>
  <si>
    <t>Property, Plant and Equipment</t>
  </si>
  <si>
    <t>Intangible Assets</t>
  </si>
  <si>
    <t>TOTAL ASSETS</t>
  </si>
  <si>
    <t>LIABILITIES (R$ thousands)</t>
  </si>
  <si>
    <t>Suppliers</t>
  </si>
  <si>
    <t>Loans, Financing, Debentures and Leases Payable</t>
  </si>
  <si>
    <t>Salaries, Provisions and Social Charges Payable</t>
  </si>
  <si>
    <t>Taxes, Fees and Contributions Payable</t>
  </si>
  <si>
    <t>Dividends and Interest on Equity Payable</t>
  </si>
  <si>
    <t>Accounts Payable – Business Acquisition</t>
  </si>
  <si>
    <t>Tax Debt Installments</t>
  </si>
  <si>
    <t>Derivatives</t>
  </si>
  <si>
    <t>Other Accounts Payable</t>
  </si>
  <si>
    <t>Liabilities from Discontinued Operations</t>
  </si>
  <si>
    <t>Total Current Liabilities</t>
  </si>
  <si>
    <t>Provisions</t>
  </si>
  <si>
    <t>EQUITY</t>
  </si>
  <si>
    <t>Share Capital</t>
  </si>
  <si>
    <t>Treasury Shares*</t>
  </si>
  <si>
    <t>Capital Reserves*</t>
  </si>
  <si>
    <t>Profit Reserves</t>
  </si>
  <si>
    <t>Cumulative Translation Adjustments</t>
  </si>
  <si>
    <t>Proposed Additional Dividend Distribution</t>
  </si>
  <si>
    <t>Retained Earnings</t>
  </si>
  <si>
    <t>Net Income for the Period</t>
  </si>
  <si>
    <t>Equity Attributable to Owners of the Company</t>
  </si>
  <si>
    <t>Total Equity</t>
  </si>
  <si>
    <t>TOTAL LIABILITIES AND EQUITY</t>
  </si>
  <si>
    <t>*Reclassification, starting in 2014, of the gain on treasury share transactions that were previously classified as capital reserves.</t>
  </si>
  <si>
    <t>Margins and Indicators</t>
  </si>
  <si>
    <t>Net Revenue</t>
  </si>
  <si>
    <t>Gross Margin (%)</t>
  </si>
  <si>
    <t>EBIT Margin (%)</t>
  </si>
  <si>
    <t>Net Margin (%)</t>
  </si>
  <si>
    <t>Current Liquidity</t>
  </si>
  <si>
    <t>Total Gross Debt (thousand)</t>
  </si>
  <si>
    <t>Total Net Debt (thousand)</t>
  </si>
  <si>
    <t>Gross Debt / EBITDA 12M</t>
  </si>
  <si>
    <t>Net Debt / EBITDA 12M</t>
  </si>
  <si>
    <t>Net Income LTM</t>
  </si>
  <si>
    <t>P/E</t>
  </si>
  <si>
    <t>EV / EBITDA LTM</t>
  </si>
  <si>
    <t>EV / SALES LTM</t>
  </si>
  <si>
    <t>Net Income (Loss) for the Period</t>
  </si>
  <si>
    <t>Adjustments to reconcile net income (loss) for the period with cash provided by operating activities:</t>
  </si>
  <si>
    <t>Depreciation</t>
  </si>
  <si>
    <t>Asset Write-off</t>
  </si>
  <si>
    <t>Amortization</t>
  </si>
  <si>
    <t>Provisions for Tax, Labor, Social Security and Civil Risks</t>
  </si>
  <si>
    <t>Provisions for Credit Losses</t>
  </si>
  <si>
    <t>Provisions for Obsolescence</t>
  </si>
  <si>
    <t>Bargain Purchase Gain</t>
  </si>
  <si>
    <t>Equity Method</t>
  </si>
  <si>
    <t>Interest on Debentures, Loans and Financing</t>
  </si>
  <si>
    <t>Recognized Grant Options</t>
  </si>
  <si>
    <t>Interest and Exchange Variation on Advances and Leases</t>
  </si>
  <si>
    <t>Interest and Exchange Variation on Intercompany Loans</t>
  </si>
  <si>
    <t>Interest on Restricted Cash Investments</t>
  </si>
  <si>
    <t>Cash Flow from Operating Activities:</t>
  </si>
  <si>
    <t>Accounts Receivable from Customers</t>
  </si>
  <si>
    <t>Payment of Income Tax and Social Contribution</t>
  </si>
  <si>
    <t>Changes in Assets and Liabilities</t>
  </si>
  <si>
    <t>Net Cash Provided (Used) by Operating Activities</t>
  </si>
  <si>
    <t>Cash Flow from Investing Activities</t>
  </si>
  <si>
    <t>Acquisition of Property, Plant and Equipment</t>
  </si>
  <si>
    <t>Acquisition of Investments and Intangible Assets</t>
  </si>
  <si>
    <t>Dividends Received</t>
  </si>
  <si>
    <t>Acquisition and Sale of Treasury Shares</t>
  </si>
  <si>
    <t>Release of Restricted Cash</t>
  </si>
  <si>
    <t>Settlement of Derivatives</t>
  </si>
  <si>
    <t>Acquisition of Vmark Assets</t>
  </si>
  <si>
    <t>Acquisition of PPI less Net Cash Acquired</t>
  </si>
  <si>
    <t>Acquisition of Valid Secure Packaging Assets</t>
  </si>
  <si>
    <t>Settlement of Contingent Consideration – ScreenCheck</t>
  </si>
  <si>
    <t>Acquisition of ScreenCheck less Net Cash Acquired</t>
  </si>
  <si>
    <t>Acquisition of MSC Assets</t>
  </si>
  <si>
    <t>Net Cash Provided (Used) by Investing Activities</t>
  </si>
  <si>
    <t>Cash Flows from Financing Activities</t>
  </si>
  <si>
    <t>Dividends Paid</t>
  </si>
  <si>
    <t>Interest on Equity Paid</t>
  </si>
  <si>
    <t>Treasury Shares</t>
  </si>
  <si>
    <t>Lease Payments</t>
  </si>
  <si>
    <t>Debenture Issuance</t>
  </si>
  <si>
    <t>Debenture Payments</t>
  </si>
  <si>
    <t>Interest Payments on Debentures</t>
  </si>
  <si>
    <t>Loan Financing Raised</t>
  </si>
  <si>
    <t>Interest Payments on Financing</t>
  </si>
  <si>
    <t>Financing Payments</t>
  </si>
  <si>
    <t>Loans Raised</t>
  </si>
  <si>
    <t>Loan Payments</t>
  </si>
  <si>
    <t>Interest Payments on Loans</t>
  </si>
  <si>
    <t>Net Cash Provided (Used) by Financing Activities</t>
  </si>
  <si>
    <t>Cumulative Translation Adjustment</t>
  </si>
  <si>
    <t>Increase (Decrease) in Cash and Cash Equivalents</t>
  </si>
  <si>
    <t>Cash and Cash Equivalents Balances</t>
  </si>
  <si>
    <t>At Beginning of Year</t>
  </si>
  <si>
    <t>At End of Year</t>
  </si>
  <si>
    <t>Income Before Income Tax</t>
  </si>
  <si>
    <t>Increase in Securities Balances</t>
  </si>
  <si>
    <t>Acquisition of Associates – Inemator</t>
  </si>
  <si>
    <t>Acquisition of Associates – Uram</t>
  </si>
  <si>
    <t>Acquisition of Fundamenture, net of cash acquired</t>
  </si>
  <si>
    <t>Payment of Income Tax related to Interest on Equity Paid</t>
  </si>
  <si>
    <t>Issuance of Shares in Parent Company</t>
  </si>
  <si>
    <t>Profit before Income Tax</t>
  </si>
  <si>
    <t>Write-off of assets</t>
  </si>
  <si>
    <t>Amortization of inventory fair value adjustment</t>
  </si>
  <si>
    <t>Provisions for tax, social security, labor, and civil risks</t>
  </si>
  <si>
    <t>Provisions for credit losses</t>
  </si>
  <si>
    <t>Provisions for obsolescence</t>
  </si>
  <si>
    <t>Deferred income tax and social contribution</t>
  </si>
  <si>
    <t>Gain on bargain purchase</t>
  </si>
  <si>
    <t>Gain on disposal of subsidiary</t>
  </si>
  <si>
    <t>Equity in earnings of subsidiaries</t>
  </si>
  <si>
    <t>Interest on debentures, loans, and financing</t>
  </si>
  <si>
    <t>Recognized grant options</t>
  </si>
  <si>
    <t>Interest and foreign exchange variation on advances and leases</t>
  </si>
  <si>
    <t>Interest and foreign exchange variation on loans</t>
  </si>
  <si>
    <t>Interest on restricted cash investments</t>
  </si>
  <si>
    <t>Tax on dividends received from foreign subsidiaries</t>
  </si>
  <si>
    <t>Cash flow from operating activities:</t>
  </si>
  <si>
    <t>Accounts receivable from customers</t>
  </si>
  <si>
    <t>Marketable securities</t>
  </si>
  <si>
    <t>Recoverable taxes</t>
  </si>
  <si>
    <t>Judicial deposits</t>
  </si>
  <si>
    <t>Other receivables</t>
  </si>
  <si>
    <t>Salaries, provisions, and social charges payable</t>
  </si>
  <si>
    <t>Taxes, fees, and contributions payable</t>
  </si>
  <si>
    <t>Income tax and social contribution payments</t>
  </si>
  <si>
    <t>Other payables</t>
  </si>
  <si>
    <t>Changes in assets and liabilities</t>
  </si>
  <si>
    <t>Net cash provided by (used in) operating activities</t>
  </si>
  <si>
    <t>Cash flow from investing activities</t>
  </si>
  <si>
    <t>Acquisition of property, plant and equipment</t>
  </si>
  <si>
    <t>Acquisition of investments and intangible assets</t>
  </si>
  <si>
    <t>Proceeds from disposal of investments</t>
  </si>
  <si>
    <t>Increase in balances of marketable securities</t>
  </si>
  <si>
    <t>Dividends received</t>
  </si>
  <si>
    <t>Other cost-based investments</t>
  </si>
  <si>
    <t>Acquisition and sale of treasury shares</t>
  </si>
  <si>
    <t>Release of restricted cash</t>
  </si>
  <si>
    <t>Settlement of derivatives</t>
  </si>
  <si>
    <t>Acquisition of affiliates – Inemator</t>
  </si>
  <si>
    <t>Acquisition of affiliates – Uram</t>
  </si>
  <si>
    <t>Acquisition of Fundamenture net of cash acquired</t>
  </si>
  <si>
    <t>Acquisition of Vmark assets</t>
  </si>
  <si>
    <t>Acquisition of PPI net of cash acquired</t>
  </si>
  <si>
    <t>Acquisition of Valid Secure Packaging assets</t>
  </si>
  <si>
    <t>Settlement of contingent consideration – ScreenCheck</t>
  </si>
  <si>
    <t>Acquisition of ScreenCheck net of cash acquired</t>
  </si>
  <si>
    <t>Acquisition of MSC assets</t>
  </si>
  <si>
    <t>Net cash provided by (used in) investing activities</t>
  </si>
  <si>
    <t>Cash flows from financing activities</t>
  </si>
  <si>
    <t>Dividends paid</t>
  </si>
  <si>
    <t>Interest on equity paid</t>
  </si>
  <si>
    <t>Income tax paid on interest on equity</t>
  </si>
  <si>
    <t>Issuance of shares by the Parent Company</t>
  </si>
  <si>
    <t>Treasury shares</t>
  </si>
  <si>
    <t>Lease payments</t>
  </si>
  <si>
    <t>Issuance of debentures</t>
  </si>
  <si>
    <t>Repayment of debentures</t>
  </si>
  <si>
    <t>Interest paid on debentures</t>
  </si>
  <si>
    <t>Borrowings raised</t>
  </si>
  <si>
    <t>Interest paid on borrowings</t>
  </si>
  <si>
    <t>Repayment of borrowings</t>
  </si>
  <si>
    <t>Loans raised</t>
  </si>
  <si>
    <t>Loan repayments</t>
  </si>
  <si>
    <t>Interest paid on loans</t>
  </si>
  <si>
    <t>Net cash provided by (used in) financing activities</t>
  </si>
  <si>
    <t>Increase (decrease) in cash and cash equivalents</t>
  </si>
  <si>
    <t>Cash and cash equivalents balances</t>
  </si>
  <si>
    <t>At the beginning of the year</t>
  </si>
  <si>
    <t>Cumulative translation adjustment</t>
  </si>
  <si>
    <t>At the end of the year</t>
  </si>
  <si>
    <t>Amortization of Criatec III Fund</t>
  </si>
  <si>
    <t>Provisions for impairment of property, plant and equipment</t>
  </si>
  <si>
    <t>Provision for inventory losses</t>
  </si>
  <si>
    <t>Interest expense on debentures, loans, and financing</t>
  </si>
  <si>
    <t>Other obligations related to debentures</t>
  </si>
  <si>
    <t>Interest and foreign exchange variation on leases</t>
  </si>
  <si>
    <t>Interest and foreign exchange variation on intercompany loans</t>
  </si>
  <si>
    <t>Recognized stock option plans</t>
  </si>
  <si>
    <t>Present value adjustment</t>
  </si>
  <si>
    <t>Update of judicial deposits</t>
  </si>
  <si>
    <t>Gain/loss on disposal of subsidiaries</t>
  </si>
  <si>
    <t>Other foreign exchange variations</t>
  </si>
  <si>
    <t>Financial credits and updates on taxes</t>
  </si>
  <si>
    <t>Derivative transactions (swap)</t>
  </si>
  <si>
    <t>Reversal of provision – sale of SBC property</t>
  </si>
  <si>
    <t>Others</t>
  </si>
  <si>
    <t>Related-party receivables</t>
  </si>
  <si>
    <t>Customer advances and other payables</t>
  </si>
  <si>
    <t>Payments of labor, civil, and tax risks</t>
  </si>
  <si>
    <t>Earn-out payments</t>
  </si>
  <si>
    <t>Related-party payables</t>
  </si>
  <si>
    <t>Restricted financial investments</t>
  </si>
  <si>
    <t>Acquisition of V and VSoft</t>
  </si>
  <si>
    <t>Acquisition of non-controlling interests</t>
  </si>
  <si>
    <t>Acquisition of minority interest – Cubic</t>
  </si>
  <si>
    <t>Acquisition net of cash acquired</t>
  </si>
  <si>
    <t>Acquisition of minority interest – BCT</t>
  </si>
  <si>
    <t>Acquisition of Agrótopus</t>
  </si>
  <si>
    <t>Acquisition of BluPay</t>
  </si>
  <si>
    <t>Acquisition of Serbet, net of cash acquired</t>
  </si>
  <si>
    <t>Acquisition of Alpdex, net of cash acquired</t>
  </si>
  <si>
    <t>Acquisition of MITRA</t>
  </si>
  <si>
    <t>Issuance of shares by the Parent Company, net of transaction costs</t>
  </si>
  <si>
    <t>Interest paid on leases</t>
  </si>
  <si>
    <t>Valid Results</t>
  </si>
  <si>
    <t>Adjusted EBITDA</t>
  </si>
  <si>
    <t>Margin</t>
  </si>
  <si>
    <t>Adjusted Net Income</t>
  </si>
  <si>
    <t>EBITDA Reconciliation (R$ million)</t>
  </si>
  <si>
    <t>Net income for the period</t>
  </si>
  <si>
    <t>(+) Non-controlling interests</t>
  </si>
  <si>
    <t>(+) Income tax and social contribution</t>
  </si>
  <si>
    <t>(+) Financial expenses/income</t>
  </si>
  <si>
    <t>(+/-) Depreciation and amortization</t>
  </si>
  <si>
    <t>(+/-) Equity in earnings of subsidiaries</t>
  </si>
  <si>
    <t>(+) Other operating (income) expenses</t>
  </si>
  <si>
    <t>(+) Non-recurring expenses</t>
  </si>
  <si>
    <t>(+) Depreciation and amortization</t>
  </si>
  <si>
    <t>(+/-) Minority equity in earnings</t>
  </si>
  <si>
    <t>Identification Segment (R$ million)</t>
  </si>
  <si>
    <t>Net Revenue – Identification</t>
  </si>
  <si>
    <t>Net Revenue – Certification</t>
  </si>
  <si>
    <t>% of Net Revenue</t>
  </si>
  <si>
    <t>% of Total EBITDA</t>
  </si>
  <si>
    <t>Sales Volume</t>
  </si>
  <si>
    <t>Identification Volume (millions)</t>
  </si>
  <si>
    <t>Certification Volume (thousands)</t>
  </si>
  <si>
    <t>Mobile Segment (R$ million)</t>
  </si>
  <si>
    <t>Sales Volume (millions)</t>
  </si>
  <si>
    <t>Equity in earnings – Mult</t>
  </si>
  <si>
    <t>Equity in earnings – Incard</t>
  </si>
  <si>
    <t>Total equity in earnings</t>
  </si>
  <si>
    <t>Payment Solutions Segment (R$ million)</t>
  </si>
  <si>
    <t>Net Income</t>
  </si>
  <si>
    <t>Normalized Results – Valid</t>
  </si>
  <si>
    <t>Valid Government Solutions – VGS (R$ million)</t>
  </si>
  <si>
    <t>% of Total OPEX</t>
  </si>
  <si>
    <t>Valid Business Solutions – VBS (R$ million)</t>
  </si>
  <si>
    <t>Valid Digital Solutions – VDS (R$ million)</t>
  </si>
  <si>
    <t>USA (R$ million)</t>
  </si>
  <si>
    <t>Telco Global (R$ million)</t>
  </si>
  <si>
    <t>Identification – ID (R$ million)</t>
  </si>
  <si>
    <t>Banking and Payment Solutions – PAY (R$ million)</t>
  </si>
  <si>
    <t>MOBILE (R$ million)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</si>
  <si>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</si>
  <si>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</si>
  <si>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</si>
  <si>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</si>
  <si>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</si>
  <si>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</si>
  <si>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</si>
  <si>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</si>
  <si>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</si>
  <si>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</si>
  <si>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</si>
  <si>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</si>
  <si>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</si>
  <si>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</si>
  <si>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</si>
  <si>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</si>
  <si>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</si>
  <si>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</si>
  <si>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</si>
  <si>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</si>
  <si>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</si>
  <si>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</si>
  <si>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</si>
  <si>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</si>
  <si>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</si>
  <si>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</si>
  <si>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</si>
  <si>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</si>
  <si>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</si>
  <si>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</si>
  <si>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</si>
  <si>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</si>
  <si>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</si>
  <si>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</si>
  <si>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</si>
  <si>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</si>
  <si>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r>
      <t>1Q19</t>
    </r>
    <r>
      <rPr>
        <b/>
        <vertAlign val="superscript"/>
        <sz val="11"/>
        <color theme="0"/>
        <rFont val="Roboto Condensed"/>
      </rPr>
      <t xml:space="preserve"> IFRS16</t>
    </r>
  </si>
  <si>
    <r>
      <t>2Q19</t>
    </r>
    <r>
      <rPr>
        <b/>
        <vertAlign val="superscript"/>
        <sz val="11"/>
        <color theme="0"/>
        <rFont val="Roboto Condensed"/>
      </rPr>
      <t xml:space="preserve"> IFRS16</t>
    </r>
  </si>
  <si>
    <r>
      <t>3Q19</t>
    </r>
    <r>
      <rPr>
        <b/>
        <vertAlign val="superscript"/>
        <sz val="11"/>
        <color theme="0"/>
        <rFont val="Roboto Condensed"/>
      </rPr>
      <t xml:space="preserve"> IFRS16</t>
    </r>
  </si>
  <si>
    <r>
      <t>4Q19</t>
    </r>
    <r>
      <rPr>
        <b/>
        <vertAlign val="superscript"/>
        <sz val="11"/>
        <color theme="0"/>
        <rFont val="Roboto Condensed"/>
      </rPr>
      <t xml:space="preserve"> IFRS16</t>
    </r>
  </si>
  <si>
    <r>
      <t xml:space="preserve">1Q20 </t>
    </r>
    <r>
      <rPr>
        <b/>
        <vertAlign val="superscript"/>
        <sz val="11"/>
        <color theme="0"/>
        <rFont val="Roboto Condensed"/>
      </rPr>
      <t>IFRS16</t>
    </r>
  </si>
  <si>
    <r>
      <t xml:space="preserve">2Q20 </t>
    </r>
    <r>
      <rPr>
        <b/>
        <vertAlign val="superscript"/>
        <sz val="11"/>
        <color theme="0"/>
        <rFont val="Roboto Condensed"/>
      </rPr>
      <t>IFRS16</t>
    </r>
  </si>
  <si>
    <r>
      <t xml:space="preserve">3Q20 </t>
    </r>
    <r>
      <rPr>
        <b/>
        <vertAlign val="superscript"/>
        <sz val="11"/>
        <color theme="0"/>
        <rFont val="Roboto Condensed"/>
      </rPr>
      <t>IFRS16</t>
    </r>
  </si>
  <si>
    <r>
      <t>4Q20</t>
    </r>
    <r>
      <rPr>
        <b/>
        <vertAlign val="superscript"/>
        <sz val="11"/>
        <color theme="0"/>
        <rFont val="Roboto Condensed"/>
      </rPr>
      <t xml:space="preserve"> IFRS16</t>
    </r>
  </si>
  <si>
    <r>
      <t>1Q21</t>
    </r>
    <r>
      <rPr>
        <b/>
        <vertAlign val="superscript"/>
        <sz val="11"/>
        <color theme="0"/>
        <rFont val="Roboto Condensed"/>
      </rPr>
      <t xml:space="preserve"> IFRS16</t>
    </r>
  </si>
  <si>
    <r>
      <t xml:space="preserve">2Q21 </t>
    </r>
    <r>
      <rPr>
        <b/>
        <vertAlign val="superscript"/>
        <sz val="11"/>
        <color theme="0"/>
        <rFont val="Roboto Condensed"/>
      </rPr>
      <t>IFRS16</t>
    </r>
  </si>
  <si>
    <r>
      <t xml:space="preserve">3Q21 </t>
    </r>
    <r>
      <rPr>
        <b/>
        <vertAlign val="superscript"/>
        <sz val="11"/>
        <color theme="0"/>
        <rFont val="Roboto Condensed"/>
      </rPr>
      <t>IFRS16</t>
    </r>
  </si>
  <si>
    <r>
      <t xml:space="preserve">4Q21 </t>
    </r>
    <r>
      <rPr>
        <b/>
        <vertAlign val="superscript"/>
        <sz val="11"/>
        <color theme="0"/>
        <rFont val="Roboto Condensed"/>
      </rPr>
      <t>IFRS16</t>
    </r>
  </si>
  <si>
    <r>
      <t xml:space="preserve">1Q22 </t>
    </r>
    <r>
      <rPr>
        <b/>
        <vertAlign val="superscript"/>
        <sz val="11"/>
        <color theme="0"/>
        <rFont val="Roboto Condensed"/>
      </rPr>
      <t>IFRS16</t>
    </r>
  </si>
  <si>
    <r>
      <t xml:space="preserve">2Q22 </t>
    </r>
    <r>
      <rPr>
        <b/>
        <vertAlign val="superscript"/>
        <sz val="11"/>
        <color theme="0"/>
        <rFont val="Roboto Condensed"/>
      </rPr>
      <t>IFRS16</t>
    </r>
  </si>
  <si>
    <r>
      <t xml:space="preserve">3Q22 </t>
    </r>
    <r>
      <rPr>
        <b/>
        <vertAlign val="superscript"/>
        <sz val="11"/>
        <color theme="0"/>
        <rFont val="Roboto Condensed"/>
      </rPr>
      <t>IFRS16</t>
    </r>
  </si>
  <si>
    <r>
      <t xml:space="preserve">4Q22 </t>
    </r>
    <r>
      <rPr>
        <b/>
        <vertAlign val="superscript"/>
        <sz val="11"/>
        <color theme="0"/>
        <rFont val="Roboto Condensed"/>
      </rPr>
      <t>IFRS16</t>
    </r>
  </si>
  <si>
    <r>
      <t xml:space="preserve">1Q21 </t>
    </r>
    <r>
      <rPr>
        <b/>
        <vertAlign val="superscript"/>
        <sz val="11"/>
        <color theme="0"/>
        <rFont val="Roboto Condensed"/>
      </rPr>
      <t>IFRS16</t>
    </r>
  </si>
  <si>
    <r>
      <t xml:space="preserve">1Q23 </t>
    </r>
    <r>
      <rPr>
        <b/>
        <vertAlign val="superscript"/>
        <sz val="11"/>
        <color theme="0"/>
        <rFont val="Roboto Condensed"/>
      </rPr>
      <t>IFRS16</t>
    </r>
  </si>
  <si>
    <r>
      <t xml:space="preserve">2Q23 </t>
    </r>
    <r>
      <rPr>
        <b/>
        <vertAlign val="superscript"/>
        <sz val="11"/>
        <color theme="0"/>
        <rFont val="Roboto Condensed"/>
      </rPr>
      <t>IFRS16</t>
    </r>
  </si>
  <si>
    <r>
      <t xml:space="preserve">3Q23 </t>
    </r>
    <r>
      <rPr>
        <b/>
        <vertAlign val="superscript"/>
        <sz val="11"/>
        <color theme="0"/>
        <rFont val="Roboto Condensed"/>
      </rPr>
      <t>IFRS16</t>
    </r>
  </si>
  <si>
    <r>
      <t xml:space="preserve">4Q23 </t>
    </r>
    <r>
      <rPr>
        <b/>
        <vertAlign val="superscript"/>
        <sz val="11"/>
        <color theme="0"/>
        <rFont val="Roboto Condensed"/>
      </rPr>
      <t>IFRS16</t>
    </r>
  </si>
  <si>
    <r>
      <t xml:space="preserve">1Q24 </t>
    </r>
    <r>
      <rPr>
        <b/>
        <vertAlign val="superscript"/>
        <sz val="11"/>
        <color theme="0"/>
        <rFont val="Roboto Condensed"/>
      </rPr>
      <t>IFRS16</t>
    </r>
  </si>
  <si>
    <r>
      <t xml:space="preserve">2Q24 </t>
    </r>
    <r>
      <rPr>
        <b/>
        <vertAlign val="superscript"/>
        <sz val="11"/>
        <color theme="0"/>
        <rFont val="Roboto Condensed"/>
      </rPr>
      <t>IFRS16</t>
    </r>
  </si>
  <si>
    <r>
      <t xml:space="preserve">3Q24 </t>
    </r>
    <r>
      <rPr>
        <b/>
        <vertAlign val="superscript"/>
        <sz val="11"/>
        <color theme="0"/>
        <rFont val="Roboto Condensed"/>
      </rPr>
      <t>IFRS16</t>
    </r>
  </si>
  <si>
    <r>
      <t xml:space="preserve">4Q24 </t>
    </r>
    <r>
      <rPr>
        <b/>
        <vertAlign val="superscript"/>
        <sz val="11"/>
        <color theme="0"/>
        <rFont val="Roboto Condensed"/>
      </rPr>
      <t>IFRS16</t>
    </r>
  </si>
  <si>
    <r>
      <t xml:space="preserve">1Q25 </t>
    </r>
    <r>
      <rPr>
        <b/>
        <vertAlign val="superscript"/>
        <sz val="11"/>
        <color theme="0"/>
        <rFont val="Roboto Condensed"/>
      </rPr>
      <t>IFRS16</t>
    </r>
  </si>
  <si>
    <r>
      <t xml:space="preserve">2Q25 </t>
    </r>
    <r>
      <rPr>
        <b/>
        <vertAlign val="superscript"/>
        <sz val="11"/>
        <color theme="0"/>
        <rFont val="Roboto Condensed"/>
      </rPr>
      <t>IFRS16</t>
    </r>
  </si>
  <si>
    <r>
      <t xml:space="preserve">3Q25 </t>
    </r>
    <r>
      <rPr>
        <b/>
        <vertAlign val="superscript"/>
        <sz val="11"/>
        <color theme="0"/>
        <rFont val="Roboto Condensed"/>
      </rPr>
      <t>IFRS16</t>
    </r>
  </si>
  <si>
    <r>
      <t xml:space="preserve">4Q25 </t>
    </r>
    <r>
      <rPr>
        <b/>
        <vertAlign val="superscript"/>
        <sz val="11"/>
        <color theme="0"/>
        <rFont val="Roboto Condensed"/>
      </rPr>
      <t>IFRS16</t>
    </r>
  </si>
  <si>
    <r>
      <t xml:space="preserve">1Q21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</si>
  <si>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2Q21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</si>
  <si>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3Q21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</si>
  <si>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4Q21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</si>
  <si>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1Q22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</si>
  <si>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2Q22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</si>
  <si>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3Q22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</si>
  <si>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4Q22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</si>
  <si>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1Q23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</si>
  <si>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2Q23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</si>
  <si>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3Q23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</si>
  <si>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4Q23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</si>
  <si>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1Q24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</si>
  <si>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2Q24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</si>
  <si>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3Q24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</si>
  <si>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4Q24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</si>
  <si>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1Q25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</si>
  <si>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2Q25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</si>
  <si>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3Q25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</si>
  <si>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4Q25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</si>
  <si>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>1Q22</t>
    </r>
    <r>
      <rPr>
        <b/>
        <vertAlign val="superscript"/>
        <sz val="11"/>
        <color indexed="9"/>
        <rFont val="Roboto Condensed"/>
      </rPr>
      <t>IFRS16</t>
    </r>
  </si>
  <si>
    <t>Provisão de earn-out</t>
  </si>
  <si>
    <t>Earn-out provision</t>
  </si>
  <si>
    <t>Pagamento de obrigações por aquisição de investimentos</t>
  </si>
  <si>
    <t>Payment of investment acquisition obligation</t>
  </si>
  <si>
    <r>
      <t xml:space="preserve">1Q26 </t>
    </r>
    <r>
      <rPr>
        <b/>
        <vertAlign val="superscript"/>
        <sz val="11"/>
        <color theme="0"/>
        <rFont val="Roboto Condensed"/>
      </rPr>
      <t>IFRS16</t>
    </r>
  </si>
  <si>
    <r>
      <t xml:space="preserve">1T26 </t>
    </r>
    <r>
      <rPr>
        <b/>
        <vertAlign val="superscript"/>
        <sz val="11"/>
        <color indexed="9"/>
        <rFont val="Roboto Condensed"/>
      </rPr>
      <t>IFRS16</t>
    </r>
  </si>
  <si>
    <r>
      <t xml:space="preserve">1Q26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</si>
  <si>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>1T26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</si>
  <si>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t>Pagamento de Swap</t>
  </si>
  <si>
    <r>
      <t>1T26</t>
    </r>
    <r>
      <rPr>
        <b/>
        <vertAlign val="superscript"/>
        <sz val="11"/>
        <color indexed="9"/>
        <rFont val="Fractul"/>
        <family val="3"/>
      </rPr>
      <t>IFRS16</t>
    </r>
  </si>
  <si>
    <r>
      <t>1T26</t>
    </r>
    <r>
      <rPr>
        <b/>
        <vertAlign val="superscript"/>
        <sz val="11"/>
        <color indexed="9"/>
        <rFont val="Roboto Condensed"/>
      </rPr>
      <t>IFRS16</t>
    </r>
  </si>
  <si>
    <t>Payment of SWAP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</si>
</sst>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0.0"/>
    <numFmt numFmtId="167" formatCode="0.0%"/>
    <numFmt numFmtId="168" formatCode="0.00000"/>
    <numFmt numFmtId="169" formatCode="0.0000"/>
    <numFmt numFmtId="170" formatCode="0.000"/>
    <numFmt numFmtId="171" formatCode="_(#,##0_)_%;\(#,##0\)_%;_(&quot;–&quot;_)_%;_(@_)_%"/>
    <numFmt numFmtId="172" formatCode="_(#,##0%_);\(#,##0%\);_(&quot;–&quot;_)_%;_(@_)_%"/>
    <numFmt numFmtId="173" formatCode="_-* #,##0_-;\-* #,##0_-;_-* &quot;-&quot;??_-;_-@_-"/>
    <numFmt numFmtId="174" formatCode="0.0\x"/>
    <numFmt numFmtId="175" formatCode="_-* #,##0.0_-;\-* #,##0.0_-;_-* &quot;-&quot;_-;_-@_-"/>
    <numFmt numFmtId="176" formatCode="_-* #,##0.0000_-;\-* #,##0.0000_-;_-* &quot;-&quot;_-;_-@_-"/>
  </numFmts>
  <fonts count="52">
    <font>
      <sz val="11"/>
      <color theme="1"/>
      <name val="Calibri"/>
      <family val="2"/>
      <scheme val="minor"/>
    </font>
    <font>
      <sz val="11"/>
      <name val="Roboto Condensed"/>
    </font>
    <font>
      <b/>
      <vertAlign val="superscript"/>
      <sz val="11"/>
      <color indexed="9"/>
      <name val="Roboto Condensed"/>
    </font>
    <font>
      <b/>
      <vertAlign val="superscript"/>
      <sz val="11"/>
      <color indexed="9"/>
      <name val="Fractul"/>
      <family val="3"/>
    </font>
    <font>
      <b/>
      <sz val="11"/>
      <name val="Roboto Condensed"/>
    </font>
    <font>
      <b/>
      <vertAlign val="superscript"/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Roboto Condensed"/>
    </font>
    <font>
      <b/>
      <sz val="11"/>
      <color theme="1"/>
      <name val="Roboto Condensed"/>
    </font>
    <font>
      <b/>
      <sz val="11"/>
      <color theme="0"/>
      <name val="Roboto Condensed"/>
    </font>
    <font>
      <sz val="11"/>
      <color theme="0"/>
      <name val="Roboto Condensed"/>
    </font>
    <font>
      <sz val="11"/>
      <name val="Calibri"/>
      <family val="2"/>
      <scheme val="minor"/>
    </font>
    <font>
      <b/>
      <sz val="11"/>
      <color theme="0"/>
      <name val="Fractul"/>
      <family val="3"/>
    </font>
    <font>
      <sz val="11"/>
      <color theme="1"/>
      <name val="Fractul"/>
      <family val="3"/>
    </font>
    <font>
      <b/>
      <i/>
      <sz val="11"/>
      <color theme="1"/>
      <name val="Roboto Condensed"/>
    </font>
    <font>
      <sz val="11"/>
      <color rgb="FFFF0000"/>
      <name val="Roboto Condensed"/>
    </font>
    <font>
      <i/>
      <sz val="11"/>
      <color theme="1"/>
      <name val="Roboto Condensed"/>
    </font>
    <font>
      <i/>
      <sz val="10"/>
      <color theme="1"/>
      <name val="Roboto Condensed"/>
    </font>
    <font>
      <sz val="10"/>
      <color theme="1"/>
      <name val="Roboto Condensed"/>
    </font>
    <font>
      <i/>
      <sz val="11"/>
      <color theme="1"/>
      <name val="Calibri"/>
      <family val="2"/>
      <scheme val="minor"/>
    </font>
    <font>
      <sz val="9"/>
      <color theme="1"/>
      <name val="Roboto Condensed"/>
    </font>
    <font>
      <i/>
      <sz val="9"/>
      <color theme="1"/>
      <name val="Roboto Condensed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1"/>
      <color rgb="FF000000"/>
      <name val="Roboto Condensed"/>
    </font>
    <font>
      <sz val="11"/>
      <color rgb="FF000000"/>
      <name val="Roboto Condensed"/>
    </font>
    <font>
      <sz val="11"/>
      <color rgb="FF000000"/>
      <name val="Calibri"/>
      <family val="2"/>
      <scheme val="minor"/>
    </font>
    <font>
      <b/>
      <sz val="11"/>
      <color rgb="FFFFFFFF"/>
      <name val="Roboto Condensed"/>
    </font>
    <font>
      <i/>
      <sz val="11"/>
      <name val="Calibri"/>
      <family val="2"/>
      <scheme val="minor"/>
    </font>
    <font>
      <b/>
      <vertAlign val="superscript"/>
      <sz val="11"/>
      <color theme="0"/>
      <name val="Roboto Condensed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1010D"/>
        <bgColor indexed="64"/>
      </patternFill>
    </fill>
    <fill>
      <patternFill patternType="solid">
        <fgColor rgb="FF323232"/>
        <bgColor indexed="64"/>
      </patternFill>
    </fill>
    <fill>
      <patternFill patternType="solid">
        <fgColor rgb="FF00BBEE"/>
        <bgColor indexed="64"/>
      </patternFill>
    </fill>
    <fill>
      <patternFill patternType="solid">
        <fgColor rgb="FF645FAA"/>
        <bgColor indexed="64"/>
      </patternFill>
    </fill>
    <fill>
      <patternFill patternType="solid">
        <fgColor rgb="FF43BB85"/>
        <bgColor indexed="64"/>
      </patternFill>
    </fill>
    <fill>
      <patternFill patternType="solid">
        <fgColor rgb="FF43028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BE11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10" fillId="28" borderId="4" applyNumberFormat="0" applyAlignment="0" applyProtection="0"/>
    <xf numFmtId="0" fontId="11" fillId="29" borderId="5" applyNumberFormat="0" applyAlignment="0" applyProtection="0"/>
    <xf numFmtId="0" fontId="14" fillId="0" borderId="0" applyNumberFormat="0" applyFill="0" applyBorder="0" applyAlignment="0" applyProtection="0"/>
    <xf numFmtId="0" fontId="9" fillId="27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3" fillId="30" borderId="4" applyNumberFormat="0" applyAlignment="0" applyProtection="0"/>
    <xf numFmtId="0" fontId="12" fillId="0" borderId="6" applyNumberFormat="0" applyFill="0" applyAlignment="0" applyProtection="0"/>
    <xf numFmtId="0" fontId="18" fillId="31" borderId="0" applyNumberFormat="0" applyBorder="0" applyAlignment="0" applyProtection="0"/>
    <xf numFmtId="0" fontId="6" fillId="32" borderId="10" applyNumberFormat="0" applyFont="0" applyAlignment="0" applyProtection="0"/>
    <xf numFmtId="0" fontId="19" fillId="28" borderId="11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18">
    <xf numFmtId="0" fontId="0" fillId="0" borderId="0" xfId="0"/>
    <xf numFmtId="0" fontId="0" fillId="33" borderId="0" xfId="0" applyFill="1"/>
    <xf numFmtId="0" fontId="0" fillId="0" borderId="0" xfId="0" applyAlignment="1">
      <alignment vertical="center"/>
    </xf>
    <xf numFmtId="41" fontId="22" fillId="0" borderId="0" xfId="0" applyNumberFormat="1" applyFont="1" applyAlignment="1">
      <alignment vertical="center"/>
    </xf>
    <xf numFmtId="0" fontId="1" fillId="33" borderId="0" xfId="0" applyFont="1" applyFill="1"/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33" borderId="0" xfId="0" applyFont="1" applyFill="1" applyAlignment="1">
      <alignment vertical="center"/>
    </xf>
    <xf numFmtId="41" fontId="22" fillId="33" borderId="0" xfId="0" applyNumberFormat="1" applyFont="1" applyFill="1" applyAlignment="1">
      <alignment horizontal="right" vertical="center"/>
    </xf>
    <xf numFmtId="0" fontId="1" fillId="33" borderId="0" xfId="0" applyFont="1" applyFill="1" applyAlignment="1">
      <alignment vertical="center"/>
    </xf>
    <xf numFmtId="164" fontId="22" fillId="33" borderId="0" xfId="0" applyNumberFormat="1" applyFont="1" applyFill="1" applyAlignment="1">
      <alignment vertical="center"/>
    </xf>
    <xf numFmtId="0" fontId="23" fillId="33" borderId="0" xfId="0" applyFont="1" applyFill="1" applyAlignment="1">
      <alignment vertical="center"/>
    </xf>
    <xf numFmtId="3" fontId="22" fillId="33" borderId="0" xfId="0" applyNumberFormat="1" applyFont="1" applyFill="1" applyAlignment="1">
      <alignment vertical="center"/>
    </xf>
    <xf numFmtId="41" fontId="22" fillId="33" borderId="0" xfId="0" applyNumberFormat="1" applyFont="1" applyFill="1" applyAlignment="1">
      <alignment vertical="center"/>
    </xf>
    <xf numFmtId="41" fontId="23" fillId="33" borderId="0" xfId="0" applyNumberFormat="1" applyFont="1" applyFill="1" applyAlignment="1">
      <alignment vertical="center"/>
    </xf>
    <xf numFmtId="0" fontId="24" fillId="34" borderId="0" xfId="0" applyFont="1" applyFill="1" applyAlignment="1">
      <alignment vertical="center"/>
    </xf>
    <xf numFmtId="41" fontId="24" fillId="34" borderId="0" xfId="0" applyNumberFormat="1" applyFont="1" applyFill="1" applyAlignment="1">
      <alignment vertical="center"/>
    </xf>
    <xf numFmtId="0" fontId="22" fillId="0" borderId="0" xfId="0" applyFont="1" applyAlignment="1">
      <alignment vertical="center" wrapText="1"/>
    </xf>
    <xf numFmtId="3" fontId="22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41" fontId="1" fillId="33" borderId="0" xfId="0" applyNumberFormat="1" applyFont="1" applyFill="1" applyAlignment="1">
      <alignment vertical="center"/>
    </xf>
    <xf numFmtId="0" fontId="26" fillId="33" borderId="0" xfId="0" applyFont="1" applyFill="1"/>
    <xf numFmtId="43" fontId="6" fillId="0" borderId="0" xfId="41"/>
    <xf numFmtId="0" fontId="24" fillId="35" borderId="0" xfId="0" applyFont="1" applyFill="1" applyAlignment="1">
      <alignment vertical="center"/>
    </xf>
    <xf numFmtId="0" fontId="24" fillId="35" borderId="0" xfId="0" applyFont="1" applyFill="1" applyAlignment="1">
      <alignment horizontal="center" vertical="center"/>
    </xf>
    <xf numFmtId="0" fontId="26" fillId="0" borderId="0" xfId="0" applyFont="1"/>
    <xf numFmtId="41" fontId="22" fillId="0" borderId="0" xfId="0" applyNumberFormat="1" applyFont="1" applyAlignment="1">
      <alignment horizontal="right" vertical="center"/>
    </xf>
    <xf numFmtId="41" fontId="23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3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1" fontId="23" fillId="33" borderId="0" xfId="0" applyNumberFormat="1" applyFont="1" applyFill="1" applyAlignment="1">
      <alignment horizontal="center" vertical="center"/>
    </xf>
    <xf numFmtId="3" fontId="23" fillId="33" borderId="0" xfId="0" applyNumberFormat="1" applyFont="1" applyFill="1" applyAlignment="1">
      <alignment vertical="center"/>
    </xf>
    <xf numFmtId="3" fontId="22" fillId="33" borderId="0" xfId="0" applyNumberFormat="1" applyFont="1" applyFill="1" applyAlignment="1">
      <alignment horizontal="center" vertical="center"/>
    </xf>
    <xf numFmtId="166" fontId="0" fillId="0" borderId="0" xfId="0" applyNumberFormat="1"/>
    <xf numFmtId="3" fontId="22" fillId="0" borderId="0" xfId="0" applyNumberFormat="1" applyFont="1" applyAlignment="1">
      <alignment horizontal="center" vertical="center"/>
    </xf>
    <xf numFmtId="0" fontId="24" fillId="35" borderId="0" xfId="0" applyFont="1" applyFill="1" applyAlignment="1">
      <alignment horizontal="left" vertical="center"/>
    </xf>
    <xf numFmtId="0" fontId="26" fillId="33" borderId="0" xfId="0" applyFont="1" applyFill="1" applyAlignment="1">
      <alignment horizontal="center"/>
    </xf>
    <xf numFmtId="0" fontId="1" fillId="33" borderId="0" xfId="0" applyFont="1" applyFill="1" applyAlignment="1">
      <alignment horizontal="center" vertical="center"/>
    </xf>
    <xf numFmtId="0" fontId="27" fillId="36" borderId="0" xfId="0" applyFont="1" applyFill="1" applyAlignment="1">
      <alignment vertical="center"/>
    </xf>
    <xf numFmtId="0" fontId="28" fillId="0" borderId="0" xfId="0" applyFont="1"/>
    <xf numFmtId="41" fontId="0" fillId="0" borderId="0" xfId="0" applyNumberFormat="1"/>
    <xf numFmtId="0" fontId="29" fillId="0" borderId="0" xfId="0" applyFont="1" applyAlignment="1">
      <alignment vertical="center" wrapText="1"/>
    </xf>
    <xf numFmtId="0" fontId="11" fillId="33" borderId="0" xfId="0" applyFont="1" applyFill="1" applyAlignment="1">
      <alignment horizontal="center"/>
    </xf>
    <xf numFmtId="0" fontId="2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1" fontId="23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3" fontId="23" fillId="0" borderId="0" xfId="0" applyNumberFormat="1" applyFont="1" applyAlignment="1">
      <alignment vertical="center"/>
    </xf>
    <xf numFmtId="41" fontId="22" fillId="0" borderId="1" xfId="0" applyNumberFormat="1" applyFont="1" applyBorder="1" applyAlignment="1">
      <alignment vertical="center"/>
    </xf>
    <xf numFmtId="3" fontId="30" fillId="0" borderId="0" xfId="0" applyNumberFormat="1" applyFont="1" applyAlignment="1">
      <alignment vertical="center"/>
    </xf>
    <xf numFmtId="0" fontId="24" fillId="37" borderId="0" xfId="0" applyFont="1" applyFill="1" applyAlignment="1">
      <alignment horizontal="left" vertical="center" wrapText="1"/>
    </xf>
    <xf numFmtId="0" fontId="24" fillId="37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41" applyNumberFormat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167" fontId="32" fillId="0" borderId="0" xfId="0" applyNumberFormat="1" applyFont="1" applyAlignment="1">
      <alignment horizontal="center" vertical="center"/>
    </xf>
    <xf numFmtId="167" fontId="32" fillId="0" borderId="0" xfId="39" applyNumberFormat="1" applyFont="1" applyAlignment="1">
      <alignment horizontal="center" vertical="center"/>
    </xf>
    <xf numFmtId="167" fontId="33" fillId="0" borderId="0" xfId="0" applyNumberFormat="1" applyFont="1" applyAlignment="1">
      <alignment horizontal="center" vertical="center"/>
    </xf>
    <xf numFmtId="167" fontId="34" fillId="0" borderId="0" xfId="39" applyNumberFormat="1" applyFont="1" applyAlignment="1">
      <alignment horizontal="center"/>
    </xf>
    <xf numFmtId="166" fontId="22" fillId="0" borderId="0" xfId="0" applyNumberFormat="1" applyFont="1" applyAlignment="1">
      <alignment horizontal="center" vertical="center"/>
    </xf>
    <xf numFmtId="0" fontId="24" fillId="38" borderId="0" xfId="0" applyFont="1" applyFill="1" applyAlignment="1">
      <alignment vertical="center"/>
    </xf>
    <xf numFmtId="0" fontId="25" fillId="38" borderId="0" xfId="0" applyFont="1" applyFill="1" applyAlignment="1">
      <alignment vertical="center"/>
    </xf>
    <xf numFmtId="0" fontId="22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indent="2"/>
    </xf>
    <xf numFmtId="0" fontId="24" fillId="39" borderId="0" xfId="0" applyFont="1" applyFill="1" applyAlignment="1">
      <alignment vertical="center"/>
    </xf>
    <xf numFmtId="0" fontId="11" fillId="39" borderId="0" xfId="0" applyFont="1" applyFill="1" applyAlignment="1">
      <alignment vertical="center"/>
    </xf>
    <xf numFmtId="167" fontId="31" fillId="0" borderId="0" xfId="39" applyNumberFormat="1" applyFont="1" applyAlignment="1">
      <alignment horizontal="center" vertical="center"/>
    </xf>
    <xf numFmtId="167" fontId="22" fillId="0" borderId="0" xfId="39" applyNumberFormat="1" applyFont="1" applyAlignment="1">
      <alignment horizontal="center" vertical="center"/>
    </xf>
    <xf numFmtId="167" fontId="33" fillId="0" borderId="0" xfId="39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4" fillId="40" borderId="0" xfId="0" applyFont="1" applyFill="1" applyAlignment="1">
      <alignment horizontal="left" vertical="center"/>
    </xf>
    <xf numFmtId="0" fontId="11" fillId="40" borderId="0" xfId="0" applyFont="1" applyFill="1" applyAlignment="1">
      <alignment horizontal="right" vertical="center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7" fontId="6" fillId="0" borderId="0" xfId="39" applyNumberFormat="1" applyFont="1"/>
    <xf numFmtId="167" fontId="34" fillId="0" borderId="0" xfId="39" applyNumberFormat="1" applyFont="1" applyFill="1" applyAlignment="1">
      <alignment horizontal="center"/>
    </xf>
    <xf numFmtId="0" fontId="24" fillId="41" borderId="0" xfId="0" applyFont="1" applyFill="1" applyAlignment="1">
      <alignment horizontal="left" vertical="center" wrapText="1"/>
    </xf>
    <xf numFmtId="0" fontId="24" fillId="41" borderId="0" xfId="0" applyFont="1" applyFill="1" applyAlignment="1">
      <alignment horizontal="center" vertical="center"/>
    </xf>
    <xf numFmtId="0" fontId="24" fillId="42" borderId="0" xfId="0" applyFont="1" applyFill="1" applyAlignment="1">
      <alignment vertical="center"/>
    </xf>
    <xf numFmtId="0" fontId="25" fillId="42" borderId="0" xfId="0" applyFont="1" applyFill="1" applyAlignment="1">
      <alignment vertical="center"/>
    </xf>
    <xf numFmtId="0" fontId="24" fillId="43" borderId="0" xfId="0" applyFont="1" applyFill="1" applyAlignment="1">
      <alignment vertical="center"/>
    </xf>
    <xf numFmtId="0" fontId="11" fillId="43" borderId="0" xfId="0" applyFont="1" applyFill="1" applyAlignment="1">
      <alignment vertical="center"/>
    </xf>
    <xf numFmtId="0" fontId="24" fillId="44" borderId="0" xfId="0" applyFont="1" applyFill="1" applyAlignment="1">
      <alignment horizontal="left" vertical="center"/>
    </xf>
    <xf numFmtId="0" fontId="11" fillId="44" borderId="0" xfId="0" applyFont="1" applyFill="1" applyAlignment="1">
      <alignment horizontal="right" vertical="center"/>
    </xf>
    <xf numFmtId="0" fontId="24" fillId="45" borderId="0" xfId="0" applyFont="1" applyFill="1" applyAlignment="1">
      <alignment horizontal="left" vertical="center"/>
    </xf>
    <xf numFmtId="0" fontId="11" fillId="45" borderId="0" xfId="0" applyFont="1" applyFill="1" applyAlignment="1">
      <alignment horizontal="right" vertical="center"/>
    </xf>
    <xf numFmtId="0" fontId="24" fillId="46" borderId="0" xfId="0" applyFont="1" applyFill="1" applyAlignment="1">
      <alignment horizontal="left" vertical="center"/>
    </xf>
    <xf numFmtId="0" fontId="11" fillId="46" borderId="0" xfId="0" applyFont="1" applyFill="1" applyAlignment="1">
      <alignment horizontal="right" vertical="center"/>
    </xf>
    <xf numFmtId="0" fontId="25" fillId="47" borderId="0" xfId="0" applyFont="1" applyFill="1" applyAlignment="1">
      <alignment vertical="center"/>
    </xf>
    <xf numFmtId="0" fontId="24" fillId="47" borderId="0" xfId="0" applyFont="1" applyFill="1" applyAlignment="1">
      <alignment horizontal="center" vertical="center"/>
    </xf>
    <xf numFmtId="0" fontId="24" fillId="47" borderId="0" xfId="0" applyFont="1" applyFill="1" applyAlignment="1">
      <alignment vertical="center"/>
    </xf>
    <xf numFmtId="41" fontId="24" fillId="47" borderId="2" xfId="0" applyNumberFormat="1" applyFont="1" applyFill="1" applyBorder="1" applyAlignment="1">
      <alignment vertical="center"/>
    </xf>
    <xf numFmtId="41" fontId="24" fillId="47" borderId="0" xfId="0" applyNumberFormat="1" applyFont="1" applyFill="1" applyAlignment="1">
      <alignment vertical="center"/>
    </xf>
    <xf numFmtId="41" fontId="24" fillId="47" borderId="3" xfId="0" applyNumberFormat="1" applyFont="1" applyFill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33" borderId="0" xfId="0" applyFont="1" applyFill="1"/>
    <xf numFmtId="0" fontId="24" fillId="48" borderId="0" xfId="0" applyFont="1" applyFill="1" applyAlignment="1">
      <alignment vertical="center"/>
    </xf>
    <xf numFmtId="0" fontId="25" fillId="48" borderId="0" xfId="0" applyFont="1" applyFill="1" applyAlignment="1">
      <alignment vertical="center"/>
    </xf>
    <xf numFmtId="0" fontId="24" fillId="49" borderId="0" xfId="0" applyFont="1" applyFill="1" applyAlignment="1">
      <alignment horizontal="left" vertical="center"/>
    </xf>
    <xf numFmtId="0" fontId="11" fillId="49" borderId="0" xfId="0" applyFont="1" applyFill="1" applyAlignment="1">
      <alignment horizontal="right" vertical="center"/>
    </xf>
    <xf numFmtId="0" fontId="24" fillId="50" borderId="0" xfId="0" applyFont="1" applyFill="1" applyAlignment="1">
      <alignment horizontal="left" vertical="center"/>
    </xf>
    <xf numFmtId="0" fontId="11" fillId="50" borderId="0" xfId="0" applyFont="1" applyFill="1" applyAlignment="1">
      <alignment horizontal="right" vertical="center"/>
    </xf>
    <xf numFmtId="166" fontId="23" fillId="33" borderId="0" xfId="0" applyNumberFormat="1" applyFont="1" applyFill="1" applyAlignment="1">
      <alignment horizontal="center" vertical="center"/>
    </xf>
    <xf numFmtId="3" fontId="0" fillId="0" borderId="0" xfId="0" applyNumberFormat="1"/>
    <xf numFmtId="0" fontId="37" fillId="33" borderId="0" xfId="0" applyFont="1" applyFill="1"/>
    <xf numFmtId="0" fontId="38" fillId="0" borderId="0" xfId="0" applyFont="1"/>
    <xf numFmtId="167" fontId="37" fillId="33" borderId="0" xfId="0" applyNumberFormat="1" applyFont="1" applyFill="1"/>
    <xf numFmtId="167" fontId="38" fillId="0" borderId="0" xfId="0" applyNumberFormat="1" applyFont="1"/>
    <xf numFmtId="0" fontId="38" fillId="33" borderId="0" xfId="0" applyFont="1" applyFill="1"/>
    <xf numFmtId="0" fontId="37" fillId="33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28" fillId="51" borderId="0" xfId="0" applyFont="1" applyFill="1"/>
    <xf numFmtId="0" fontId="0" fillId="51" borderId="0" xfId="0" applyFill="1"/>
    <xf numFmtId="4" fontId="37" fillId="33" borderId="0" xfId="0" applyNumberFormat="1" applyFont="1" applyFill="1" applyAlignment="1">
      <alignment vertical="center"/>
    </xf>
    <xf numFmtId="3" fontId="37" fillId="33" borderId="0" xfId="0" applyNumberFormat="1" applyFont="1" applyFill="1"/>
    <xf numFmtId="14" fontId="37" fillId="33" borderId="0" xfId="0" applyNumberFormat="1" applyFont="1" applyFill="1" applyAlignment="1">
      <alignment vertical="center"/>
    </xf>
    <xf numFmtId="3" fontId="41" fillId="33" borderId="0" xfId="0" applyNumberFormat="1" applyFont="1" applyFill="1"/>
    <xf numFmtId="4" fontId="41" fillId="33" borderId="0" xfId="0" applyNumberFormat="1" applyFont="1" applyFill="1" applyAlignment="1">
      <alignment vertical="center"/>
    </xf>
    <xf numFmtId="164" fontId="41" fillId="33" borderId="0" xfId="0" applyNumberFormat="1" applyFont="1" applyFill="1"/>
    <xf numFmtId="41" fontId="24" fillId="42" borderId="0" xfId="0" applyNumberFormat="1" applyFont="1" applyFill="1" applyAlignment="1">
      <alignment vertical="center"/>
    </xf>
    <xf numFmtId="0" fontId="37" fillId="0" borderId="0" xfId="0" applyFont="1"/>
    <xf numFmtId="4" fontId="37" fillId="0" borderId="0" xfId="0" applyNumberFormat="1" applyFont="1" applyAlignment="1">
      <alignment vertical="center"/>
    </xf>
    <xf numFmtId="3" fontId="38" fillId="0" borderId="0" xfId="0" applyNumberFormat="1" applyFont="1" applyAlignment="1">
      <alignment wrapText="1"/>
    </xf>
    <xf numFmtId="3" fontId="37" fillId="0" borderId="0" xfId="0" applyNumberFormat="1" applyFont="1"/>
    <xf numFmtId="14" fontId="37" fillId="0" borderId="0" xfId="0" applyNumberFormat="1" applyFont="1" applyAlignment="1">
      <alignment vertical="center"/>
    </xf>
    <xf numFmtId="3" fontId="41" fillId="0" borderId="0" xfId="0" applyNumberFormat="1" applyFont="1"/>
    <xf numFmtId="41" fontId="41" fillId="0" borderId="0" xfId="0" applyNumberFormat="1" applyFont="1"/>
    <xf numFmtId="4" fontId="41" fillId="0" borderId="0" xfId="0" applyNumberFormat="1" applyFont="1" applyAlignment="1">
      <alignment vertical="center"/>
    </xf>
    <xf numFmtId="164" fontId="41" fillId="0" borderId="0" xfId="0" applyNumberFormat="1" applyFont="1"/>
    <xf numFmtId="3" fontId="22" fillId="0" borderId="0" xfId="0" applyNumberFormat="1" applyFont="1"/>
    <xf numFmtId="0" fontId="23" fillId="52" borderId="0" xfId="0" applyFont="1" applyFill="1" applyAlignment="1">
      <alignment vertical="center"/>
    </xf>
    <xf numFmtId="164" fontId="22" fillId="52" borderId="0" xfId="0" applyNumberFormat="1" applyFont="1" applyFill="1" applyAlignment="1">
      <alignment vertical="center"/>
    </xf>
    <xf numFmtId="0" fontId="22" fillId="52" borderId="0" xfId="0" applyFont="1" applyFill="1" applyAlignment="1">
      <alignment vertical="center"/>
    </xf>
    <xf numFmtId="0" fontId="0" fillId="52" borderId="0" xfId="0" applyFill="1"/>
    <xf numFmtId="41" fontId="22" fillId="52" borderId="0" xfId="0" applyNumberFormat="1" applyFont="1" applyFill="1" applyAlignment="1">
      <alignment horizontal="right" vertical="center"/>
    </xf>
    <xf numFmtId="3" fontId="22" fillId="52" borderId="0" xfId="0" applyNumberFormat="1" applyFont="1" applyFill="1" applyAlignment="1">
      <alignment vertical="center"/>
    </xf>
    <xf numFmtId="3" fontId="22" fillId="52" borderId="0" xfId="0" applyNumberFormat="1" applyFont="1" applyFill="1" applyAlignment="1">
      <alignment horizontal="center" vertical="center"/>
    </xf>
    <xf numFmtId="0" fontId="22" fillId="52" borderId="0" xfId="0" applyFont="1" applyFill="1" applyAlignment="1">
      <alignment horizontal="center" vertical="center"/>
    </xf>
    <xf numFmtId="0" fontId="0" fillId="52" borderId="0" xfId="0" applyFill="1" applyAlignment="1">
      <alignment horizontal="center"/>
    </xf>
    <xf numFmtId="3" fontId="23" fillId="52" borderId="0" xfId="0" applyNumberFormat="1" applyFont="1" applyFill="1" applyAlignment="1">
      <alignment vertical="center"/>
    </xf>
    <xf numFmtId="3" fontId="23" fillId="52" borderId="0" xfId="0" applyNumberFormat="1" applyFont="1" applyFill="1" applyAlignment="1">
      <alignment horizontal="center" vertical="center"/>
    </xf>
    <xf numFmtId="164" fontId="23" fillId="52" borderId="0" xfId="0" applyNumberFormat="1" applyFont="1" applyFill="1" applyAlignment="1">
      <alignment horizontal="center" vertical="center"/>
    </xf>
    <xf numFmtId="0" fontId="44" fillId="33" borderId="0" xfId="0" applyFont="1" applyFill="1"/>
    <xf numFmtId="0" fontId="43" fillId="0" borderId="0" xfId="0" applyFont="1"/>
    <xf numFmtId="0" fontId="23" fillId="52" borderId="0" xfId="0" applyFont="1" applyFill="1" applyAlignment="1">
      <alignment vertical="center" wrapText="1"/>
    </xf>
    <xf numFmtId="41" fontId="23" fillId="52" borderId="0" xfId="0" applyNumberFormat="1" applyFont="1" applyFill="1" applyAlignment="1">
      <alignment vertical="center"/>
    </xf>
    <xf numFmtId="0" fontId="0" fillId="33" borderId="0" xfId="0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41" fontId="0" fillId="33" borderId="0" xfId="0" applyNumberFormat="1" applyFill="1"/>
    <xf numFmtId="0" fontId="34" fillId="0" borderId="0" xfId="0" applyFont="1"/>
    <xf numFmtId="167" fontId="0" fillId="0" borderId="0" xfId="39" applyNumberFormat="1" applyFont="1" applyFill="1" applyAlignment="1">
      <alignment horizontal="center"/>
    </xf>
    <xf numFmtId="167" fontId="22" fillId="0" borderId="0" xfId="39" applyNumberFormat="1" applyFont="1"/>
    <xf numFmtId="167" fontId="22" fillId="33" borderId="0" xfId="39" applyNumberFormat="1" applyFont="1" applyFill="1" applyAlignment="1">
      <alignment horizontal="center" vertical="center"/>
    </xf>
    <xf numFmtId="164" fontId="22" fillId="33" borderId="0" xfId="0" applyNumberFormat="1" applyFont="1" applyFill="1" applyAlignment="1">
      <alignment horizontal="center" vertical="center"/>
    </xf>
    <xf numFmtId="171" fontId="38" fillId="0" borderId="0" xfId="0" applyNumberFormat="1" applyFont="1" applyAlignment="1">
      <alignment vertical="center"/>
    </xf>
    <xf numFmtId="171" fontId="38" fillId="0" borderId="0" xfId="0" applyNumberFormat="1" applyFont="1" applyAlignment="1">
      <alignment horizontal="center" vertical="center"/>
    </xf>
    <xf numFmtId="172" fontId="38" fillId="0" borderId="0" xfId="0" applyNumberFormat="1" applyFont="1" applyAlignment="1">
      <alignment vertical="center"/>
    </xf>
    <xf numFmtId="3" fontId="4" fillId="33" borderId="0" xfId="0" applyNumberFormat="1" applyFont="1" applyFill="1" applyAlignment="1">
      <alignment horizontal="center" vertical="center"/>
    </xf>
    <xf numFmtId="3" fontId="1" fillId="33" borderId="0" xfId="0" applyNumberFormat="1" applyFont="1" applyFill="1" applyAlignment="1">
      <alignment horizontal="center" vertical="center"/>
    </xf>
    <xf numFmtId="0" fontId="26" fillId="52" borderId="0" xfId="0" applyFont="1" applyFill="1"/>
    <xf numFmtId="3" fontId="1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41" fontId="47" fillId="53" borderId="0" xfId="0" applyNumberFormat="1" applyFont="1" applyFill="1" applyAlignment="1">
      <alignment horizontal="right" vertical="center"/>
    </xf>
    <xf numFmtId="41" fontId="46" fillId="0" borderId="0" xfId="0" applyNumberFormat="1" applyFont="1" applyAlignment="1">
      <alignment horizontal="right" vertical="center"/>
    </xf>
    <xf numFmtId="0" fontId="48" fillId="0" borderId="0" xfId="0" applyFont="1"/>
    <xf numFmtId="41" fontId="47" fillId="0" borderId="0" xfId="0" applyNumberFormat="1" applyFont="1" applyAlignment="1">
      <alignment horizontal="right" vertical="center"/>
    </xf>
    <xf numFmtId="0" fontId="48" fillId="54" borderId="0" xfId="0" applyFont="1" applyFill="1"/>
    <xf numFmtId="41" fontId="46" fillId="0" borderId="0" xfId="0" applyNumberFormat="1" applyFont="1" applyAlignment="1">
      <alignment vertical="center"/>
    </xf>
    <xf numFmtId="41" fontId="49" fillId="55" borderId="0" xfId="0" applyNumberFormat="1" applyFont="1" applyFill="1" applyAlignment="1">
      <alignment vertical="center"/>
    </xf>
    <xf numFmtId="0" fontId="48" fillId="0" borderId="0" xfId="0" applyFont="1" applyAlignment="1">
      <alignment horizontal="right"/>
    </xf>
    <xf numFmtId="41" fontId="47" fillId="0" borderId="0" xfId="0" applyNumberFormat="1" applyFont="1" applyAlignment="1">
      <alignment vertical="center"/>
    </xf>
    <xf numFmtId="0" fontId="48" fillId="53" borderId="0" xfId="0" applyFont="1" applyFill="1"/>
    <xf numFmtId="0" fontId="1" fillId="0" borderId="0" xfId="0" applyFont="1"/>
    <xf numFmtId="3" fontId="1" fillId="0" borderId="0" xfId="0" applyNumberFormat="1" applyFont="1"/>
    <xf numFmtId="41" fontId="46" fillId="52" borderId="0" xfId="0" applyNumberFormat="1" applyFont="1" applyFill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52" borderId="0" xfId="0" applyNumberFormat="1" applyFont="1" applyFill="1" applyAlignment="1">
      <alignment vertical="center"/>
    </xf>
    <xf numFmtId="41" fontId="1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4" fillId="33" borderId="0" xfId="0" applyNumberFormat="1" applyFont="1" applyFill="1" applyAlignment="1">
      <alignment horizontal="center" vertical="center"/>
    </xf>
    <xf numFmtId="167" fontId="50" fillId="0" borderId="0" xfId="39" applyNumberFormat="1" applyFont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3" fontId="46" fillId="53" borderId="0" xfId="0" applyNumberFormat="1" applyFont="1" applyFill="1" applyAlignment="1">
      <alignment horizontal="center" vertical="center"/>
    </xf>
    <xf numFmtId="167" fontId="47" fillId="53" borderId="0" xfId="39" applyNumberFormat="1" applyFont="1" applyFill="1" applyBorder="1" applyAlignment="1">
      <alignment horizontal="center" vertical="center"/>
    </xf>
    <xf numFmtId="164" fontId="47" fillId="53" borderId="0" xfId="0" applyNumberFormat="1" applyFont="1" applyFill="1" applyAlignment="1">
      <alignment horizontal="center" vertical="center"/>
    </xf>
    <xf numFmtId="3" fontId="47" fillId="53" borderId="0" xfId="0" applyNumberFormat="1" applyFont="1" applyFill="1" applyAlignment="1">
      <alignment horizontal="center" vertical="center"/>
    </xf>
    <xf numFmtId="9" fontId="47" fillId="53" borderId="0" xfId="39" applyFont="1" applyFill="1" applyAlignment="1">
      <alignment horizontal="center" vertical="center"/>
    </xf>
    <xf numFmtId="173" fontId="48" fillId="0" borderId="0" xfId="41" applyNumberFormat="1" applyFont="1"/>
    <xf numFmtId="3" fontId="47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38" fillId="0" borderId="0" xfId="0" applyNumberFormat="1" applyFont="1"/>
    <xf numFmtId="173" fontId="38" fillId="0" borderId="0" xfId="41" applyNumberFormat="1" applyFont="1"/>
    <xf numFmtId="174" fontId="22" fillId="33" borderId="0" xfId="0" applyNumberFormat="1" applyFont="1" applyFill="1" applyAlignment="1">
      <alignment horizontal="center" vertical="center"/>
    </xf>
    <xf numFmtId="174" fontId="47" fillId="53" borderId="0" xfId="0" applyNumberFormat="1" applyFont="1" applyFill="1" applyAlignment="1">
      <alignment horizontal="center" vertical="center"/>
    </xf>
    <xf numFmtId="0" fontId="39" fillId="43" borderId="0" xfId="0" applyFont="1" applyFill="1" applyAlignment="1">
      <alignment horizontal="center" vertical="center"/>
    </xf>
    <xf numFmtId="0" fontId="40" fillId="43" borderId="0" xfId="0" applyFont="1" applyFill="1" applyAlignment="1">
      <alignment vertical="center"/>
    </xf>
    <xf numFmtId="175" fontId="46" fillId="0" borderId="0" xfId="0" applyNumberFormat="1" applyFont="1" applyAlignment="1">
      <alignment horizontal="right" vertical="center"/>
    </xf>
    <xf numFmtId="176" fontId="0" fillId="0" borderId="0" xfId="0" applyNumberFormat="1"/>
    <xf numFmtId="4" fontId="38" fillId="0" borderId="0" xfId="0" applyNumberFormat="1" applyFont="1"/>
    <xf numFmtId="0" fontId="22" fillId="0" borderId="0" xfId="0" applyFont="1" applyAlignment="1">
      <alignment horizontal="left" vertical="center" wrapText="1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Porcentagem" xfId="39" builtinId="5"/>
    <cellStyle name="Title" xfId="40" xr:uid="{00000000-0005-0000-0000-000028000000}"/>
    <cellStyle name="Vírgula" xfId="41" builtinId="3"/>
    <cellStyle name="Vírgula 6" xfId="42" xr:uid="{00000000-0005-0000-0000-00002A000000}"/>
    <cellStyle name="Warning Text" xfId="43" xr:uid="{00000000-0005-0000-0000-00002B000000}"/>
  </cellStyles>
  <dxfs count="0"/>
  <tableStyles count="0" defaultTableStyle="TableStyleMedium2" defaultPivotStyle="PivotStyleLight16"/>
  <colors>
    <mruColors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sultados Valid Vis&#227;o 2022'!A1"/><Relationship Id="rId13" Type="http://schemas.microsoft.com/office/2007/relationships/hdphoto" Target="../media/hdphoto1.wdp"/><Relationship Id="rId3" Type="http://schemas.openxmlformats.org/officeDocument/2006/relationships/hyperlink" Target="#DRE!A1"/><Relationship Id="rId7" Type="http://schemas.openxmlformats.org/officeDocument/2006/relationships/hyperlink" Target="#'Resultados Valid Vis&#227;o 2021'!A1"/><Relationship Id="rId12" Type="http://schemas.openxmlformats.org/officeDocument/2006/relationships/image" Target="../media/image2.png"/><Relationship Id="rId2" Type="http://schemas.openxmlformats.org/officeDocument/2006/relationships/hyperlink" Target="#Balan&#231;o!A1"/><Relationship Id="rId1" Type="http://schemas.openxmlformats.org/officeDocument/2006/relationships/image" Target="../media/image1.png"/><Relationship Id="rId6" Type="http://schemas.openxmlformats.org/officeDocument/2006/relationships/hyperlink" Target="#'Resultados Valid Vis&#227;o at&#233; 2020'!A1"/><Relationship Id="rId11" Type="http://schemas.openxmlformats.org/officeDocument/2006/relationships/hyperlink" Target="#'DFC 17-24'!A1"/><Relationship Id="rId5" Type="http://schemas.openxmlformats.org/officeDocument/2006/relationships/hyperlink" Target="#'DFC 10-14'!A1"/><Relationship Id="rId10" Type="http://schemas.openxmlformats.org/officeDocument/2006/relationships/hyperlink" Target="#'DFC 16'!A1"/><Relationship Id="rId4" Type="http://schemas.openxmlformats.org/officeDocument/2006/relationships/hyperlink" Target="#'DRE Op Continuada'!A1"/><Relationship Id="rId9" Type="http://schemas.openxmlformats.org/officeDocument/2006/relationships/hyperlink" Target="#'DFC 15'!A1"/><Relationship Id="rId14" Type="http://schemas.openxmlformats.org/officeDocument/2006/relationships/hyperlink" Target="#'DFC 26-30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lanilha1!A1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0</xdr:rowOff>
    </xdr:from>
    <xdr:to>
      <xdr:col>9</xdr:col>
      <xdr:colOff>133350</xdr:colOff>
      <xdr:row>8</xdr:row>
      <xdr:rowOff>28575</xdr:rowOff>
    </xdr:to>
    <xdr:pic>
      <xdr:nvPicPr>
        <xdr:cNvPr id="22612" name="Imagem 11" descr="Ícone&#10;&#10;Descrição gerada automaticamente">
          <a:extLst>
            <a:ext uri="{FF2B5EF4-FFF2-40B4-BE49-F238E27FC236}">
              <a16:creationId xmlns:a16="http://schemas.microsoft.com/office/drawing/2014/main" id="{52404125-6B4F-0892-65D7-649770918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7"/>
        <a:stretch>
          <a:fillRect/>
        </a:stretch>
      </xdr:blipFill>
      <xdr:spPr bwMode="auto">
        <a:xfrm>
          <a:off x="3409950" y="0"/>
          <a:ext cx="22098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179063</xdr:colOff>
      <xdr:row>2</xdr:row>
      <xdr:rowOff>316</xdr:rowOff>
    </xdr:from>
    <xdr:ext cx="4651081" cy="655885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F78DFBA0-C470-3DBE-FBAE-84454D1914CE}"/>
            </a:ext>
          </a:extLst>
        </xdr:cNvPr>
        <xdr:cNvSpPr txBox="1"/>
      </xdr:nvSpPr>
      <xdr:spPr>
        <a:xfrm>
          <a:off x="5965501" y="357504"/>
          <a:ext cx="4651081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3600" b="1">
              <a:solidFill>
                <a:schemeClr val="bg1"/>
              </a:solidFill>
              <a:latin typeface="Fractul" panose="02000500000000000000" pitchFamily="50" charset="0"/>
            </a:rPr>
            <a:t>Planilha Dinâmica 1T26</a:t>
          </a:r>
        </a:p>
      </xdr:txBody>
    </xdr:sp>
    <xdr:clientData/>
  </xdr:oneCellAnchor>
  <xdr:twoCellAnchor>
    <xdr:from>
      <xdr:col>0</xdr:col>
      <xdr:colOff>555765</xdr:colOff>
      <xdr:row>9</xdr:row>
      <xdr:rowOff>83617</xdr:rowOff>
    </xdr:from>
    <xdr:to>
      <xdr:col>4</xdr:col>
      <xdr:colOff>576572</xdr:colOff>
      <xdr:row>13</xdr:row>
      <xdr:rowOff>13270</xdr:rowOff>
    </xdr:to>
    <xdr:sp macro="" textlink="">
      <xdr:nvSpPr>
        <xdr:cNvPr id="5" name="Retângulo de cantos arredondado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73108-090F-63AF-554C-D25C9B8113CB}"/>
            </a:ext>
          </a:extLst>
        </xdr:cNvPr>
        <xdr:cNvSpPr/>
      </xdr:nvSpPr>
      <xdr:spPr>
        <a:xfrm>
          <a:off x="577990" y="1726680"/>
          <a:ext cx="2592557" cy="659903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Balanço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Patrimonial</a:t>
          </a:r>
          <a:endParaRPr lang="pt-BR" sz="1300" b="1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326416</xdr:colOff>
      <xdr:row>14</xdr:row>
      <xdr:rowOff>20114</xdr:rowOff>
    </xdr:from>
    <xdr:to>
      <xdr:col>9</xdr:col>
      <xdr:colOff>341075</xdr:colOff>
      <xdr:row>17</xdr:row>
      <xdr:rowOff>138675</xdr:rowOff>
    </xdr:to>
    <xdr:sp macro="" textlink="">
      <xdr:nvSpPr>
        <xdr:cNvPr id="6" name="Retângulo de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82965F-43A9-710F-BCB1-62640BA3B0AC}"/>
            </a:ext>
          </a:extLst>
        </xdr:cNvPr>
        <xdr:cNvSpPr/>
      </xdr:nvSpPr>
      <xdr:spPr>
        <a:xfrm>
          <a:off x="3560154" y="2575989"/>
          <a:ext cx="2573678" cy="666249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de Resultado</a:t>
          </a:r>
          <a:endParaRPr lang="pt-BR" sz="1300" b="1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303714</xdr:colOff>
      <xdr:row>9</xdr:row>
      <xdr:rowOff>98747</xdr:rowOff>
    </xdr:from>
    <xdr:to>
      <xdr:col>9</xdr:col>
      <xdr:colOff>325029</xdr:colOff>
      <xdr:row>13</xdr:row>
      <xdr:rowOff>95293</xdr:rowOff>
    </xdr:to>
    <xdr:sp macro="" textlink="">
      <xdr:nvSpPr>
        <xdr:cNvPr id="7" name="Retângulo de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252B00-C2DE-3C38-35AF-60201C33522A}"/>
            </a:ext>
          </a:extLst>
        </xdr:cNvPr>
        <xdr:cNvSpPr/>
      </xdr:nvSpPr>
      <xdr:spPr>
        <a:xfrm>
          <a:off x="3339808" y="1813247"/>
          <a:ext cx="2450190" cy="758546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de Resultado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(apenas operações continuadas)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69550</xdr:colOff>
      <xdr:row>18</xdr:row>
      <xdr:rowOff>28049</xdr:rowOff>
    </xdr:from>
    <xdr:to>
      <xdr:col>14</xdr:col>
      <xdr:colOff>237720</xdr:colOff>
      <xdr:row>21</xdr:row>
      <xdr:rowOff>140264</xdr:rowOff>
    </xdr:to>
    <xdr:sp macro="" textlink="">
      <xdr:nvSpPr>
        <xdr:cNvPr id="8" name="Retângulo de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ED2DD0-E74D-C3F6-A985-D32DDE528893}"/>
            </a:ext>
          </a:extLst>
        </xdr:cNvPr>
        <xdr:cNvSpPr/>
      </xdr:nvSpPr>
      <xdr:spPr>
        <a:xfrm>
          <a:off x="6498925" y="3314174"/>
          <a:ext cx="2739920" cy="659903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Fluxo de Caixa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(2010-2014)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577231</xdr:colOff>
      <xdr:row>19</xdr:row>
      <xdr:rowOff>8208</xdr:rowOff>
    </xdr:from>
    <xdr:to>
      <xdr:col>19</xdr:col>
      <xdr:colOff>173324</xdr:colOff>
      <xdr:row>23</xdr:row>
      <xdr:rowOff>154781</xdr:rowOff>
    </xdr:to>
    <xdr:sp macro="" textlink="">
      <xdr:nvSpPr>
        <xdr:cNvPr id="9" name="Retângulo de cantos arredondados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2AE263-8FF5-6D6C-F9E8-2A07A4D17E94}"/>
            </a:ext>
          </a:extLst>
        </xdr:cNvPr>
        <xdr:cNvSpPr/>
      </xdr:nvSpPr>
      <xdr:spPr>
        <a:xfrm>
          <a:off x="9078294" y="3627708"/>
          <a:ext cx="2632186" cy="908573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Resultado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Unidades de Negócio</a:t>
          </a:r>
        </a:p>
        <a:p>
          <a:pPr algn="ctr"/>
          <a:r>
            <a:rPr lang="pt-BR" sz="12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(visão até 2020)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590194</xdr:colOff>
      <xdr:row>14</xdr:row>
      <xdr:rowOff>1909</xdr:rowOff>
    </xdr:from>
    <xdr:to>
      <xdr:col>19</xdr:col>
      <xdr:colOff>205021</xdr:colOff>
      <xdr:row>18</xdr:row>
      <xdr:rowOff>83344</xdr:rowOff>
    </xdr:to>
    <xdr:sp macro="" textlink="">
      <xdr:nvSpPr>
        <xdr:cNvPr id="10" name="Retângulo de cantos arredondados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85F183-BD10-42E4-891C-137167C4FFE0}"/>
            </a:ext>
          </a:extLst>
        </xdr:cNvPr>
        <xdr:cNvSpPr/>
      </xdr:nvSpPr>
      <xdr:spPr>
        <a:xfrm>
          <a:off x="9091257" y="2668909"/>
          <a:ext cx="2650920" cy="843435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Resultado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Unidades de Negócio</a:t>
          </a:r>
        </a:p>
        <a:p>
          <a:pPr algn="ctr"/>
          <a:r>
            <a:rPr lang="pt-BR" sz="12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(visão 2021)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24992</xdr:colOff>
      <xdr:row>9</xdr:row>
      <xdr:rowOff>95702</xdr:rowOff>
    </xdr:from>
    <xdr:to>
      <xdr:col>19</xdr:col>
      <xdr:colOff>214280</xdr:colOff>
      <xdr:row>13</xdr:row>
      <xdr:rowOff>95293</xdr:rowOff>
    </xdr:to>
    <xdr:sp macro="" textlink="">
      <xdr:nvSpPr>
        <xdr:cNvPr id="11" name="Retângulo de cantos arredondados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587FFFA-08C7-320D-FD2D-404C63B89760}"/>
            </a:ext>
          </a:extLst>
        </xdr:cNvPr>
        <xdr:cNvSpPr/>
      </xdr:nvSpPr>
      <xdr:spPr>
        <a:xfrm>
          <a:off x="9133273" y="1810202"/>
          <a:ext cx="2618163" cy="761591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Resultado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Unidades de Negócio</a:t>
          </a:r>
        </a:p>
        <a:p>
          <a:pPr algn="ctr"/>
          <a:r>
            <a:rPr lang="pt-BR" sz="12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(visão Atual)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45736</xdr:colOff>
      <xdr:row>22</xdr:row>
      <xdr:rowOff>152720</xdr:rowOff>
    </xdr:from>
    <xdr:to>
      <xdr:col>14</xdr:col>
      <xdr:colOff>213906</xdr:colOff>
      <xdr:row>26</xdr:row>
      <xdr:rowOff>72796</xdr:rowOff>
    </xdr:to>
    <xdr:sp macro="" textlink="">
      <xdr:nvSpPr>
        <xdr:cNvPr id="12" name="Retângulo de cantos arredondados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27BD5F0-65EF-6079-F196-CE23D801CB2A}"/>
            </a:ext>
          </a:extLst>
        </xdr:cNvPr>
        <xdr:cNvSpPr/>
      </xdr:nvSpPr>
      <xdr:spPr>
        <a:xfrm>
          <a:off x="6475111" y="4169095"/>
          <a:ext cx="2739920" cy="650326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Fluxo de Caixa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(2015)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6049</xdr:colOff>
      <xdr:row>27</xdr:row>
      <xdr:rowOff>43268</xdr:rowOff>
    </xdr:from>
    <xdr:to>
      <xdr:col>14</xdr:col>
      <xdr:colOff>174219</xdr:colOff>
      <xdr:row>30</xdr:row>
      <xdr:rowOff>144116</xdr:rowOff>
    </xdr:to>
    <xdr:sp macro="" textlink="">
      <xdr:nvSpPr>
        <xdr:cNvPr id="13" name="Retângulo de cantos arredondados 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2AADAE-0ED8-AF7B-685A-FBBAA5B0A11D}"/>
            </a:ext>
          </a:extLst>
        </xdr:cNvPr>
        <xdr:cNvSpPr/>
      </xdr:nvSpPr>
      <xdr:spPr>
        <a:xfrm>
          <a:off x="6435424" y="4972456"/>
          <a:ext cx="2739920" cy="648535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Fluxo de Caixa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(2016 )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93387</xdr:colOff>
      <xdr:row>13</xdr:row>
      <xdr:rowOff>176980</xdr:rowOff>
    </xdr:from>
    <xdr:to>
      <xdr:col>14</xdr:col>
      <xdr:colOff>261557</xdr:colOff>
      <xdr:row>17</xdr:row>
      <xdr:rowOff>134980</xdr:rowOff>
    </xdr:to>
    <xdr:sp macro="" textlink="">
      <xdr:nvSpPr>
        <xdr:cNvPr id="14" name="Retângulo de cantos arredondados 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B0EB1FC-9352-2561-CDE6-7F1F6ADBCD20}"/>
            </a:ext>
          </a:extLst>
        </xdr:cNvPr>
        <xdr:cNvSpPr/>
      </xdr:nvSpPr>
      <xdr:spPr>
        <a:xfrm>
          <a:off x="6522762" y="2550293"/>
          <a:ext cx="2739920" cy="68825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Fluxo de Caixa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(2017-2025)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83343</xdr:colOff>
      <xdr:row>1</xdr:row>
      <xdr:rowOff>130968</xdr:rowOff>
    </xdr:from>
    <xdr:to>
      <xdr:col>4</xdr:col>
      <xdr:colOff>207169</xdr:colOff>
      <xdr:row>6</xdr:row>
      <xdr:rowOff>115093</xdr:rowOff>
    </xdr:to>
    <xdr:pic>
      <xdr:nvPicPr>
        <xdr:cNvPr id="23" name="Imagem 2">
          <a:extLst>
            <a:ext uri="{FF2B5EF4-FFF2-40B4-BE49-F238E27FC236}">
              <a16:creationId xmlns:a16="http://schemas.microsoft.com/office/drawing/2014/main" id="{6FEC99D1-7EA5-4DA8-CA4A-01A408F11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10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" y="321468"/>
          <a:ext cx="2047876" cy="904875"/>
        </a:xfrm>
        <a:prstGeom prst="rect">
          <a:avLst/>
        </a:prstGeom>
      </xdr:spPr>
    </xdr:pic>
    <xdr:clientData/>
  </xdr:twoCellAnchor>
  <xdr:twoCellAnchor>
    <xdr:from>
      <xdr:col>10</xdr:col>
      <xdr:colOff>102912</xdr:colOff>
      <xdr:row>9</xdr:row>
      <xdr:rowOff>107130</xdr:rowOff>
    </xdr:from>
    <xdr:to>
      <xdr:col>14</xdr:col>
      <xdr:colOff>271082</xdr:colOff>
      <xdr:row>13</xdr:row>
      <xdr:rowOff>65130</xdr:rowOff>
    </xdr:to>
    <xdr:sp macro="" textlink="">
      <xdr:nvSpPr>
        <xdr:cNvPr id="2" name="Retângulo de cantos arredondados 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1B2DD0-7D79-4605-BACC-5D022801FC3F}"/>
            </a:ext>
          </a:extLst>
        </xdr:cNvPr>
        <xdr:cNvSpPr/>
      </xdr:nvSpPr>
      <xdr:spPr>
        <a:xfrm>
          <a:off x="6532287" y="1750193"/>
          <a:ext cx="2739920" cy="68825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Fluxo de Caixa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(2026-2030)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688339</xdr:colOff>
      <xdr:row>1</xdr:row>
      <xdr:rowOff>2963</xdr:rowOff>
    </xdr:from>
    <xdr:to>
      <xdr:col>58</xdr:col>
      <xdr:colOff>684491</xdr:colOff>
      <xdr:row>5</xdr:row>
      <xdr:rowOff>18554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DF5112-4BE2-7A18-D570-F512345B5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83416" y="116416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520782</xdr:colOff>
      <xdr:row>1</xdr:row>
      <xdr:rowOff>145967</xdr:rowOff>
    </xdr:from>
    <xdr:to>
      <xdr:col>1</xdr:col>
      <xdr:colOff>2102760</xdr:colOff>
      <xdr:row>4</xdr:row>
      <xdr:rowOff>79292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B8A2BFA3-A401-4DB4-9C4A-3367D80266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629639" y="254824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39370</xdr:colOff>
      <xdr:row>1</xdr:row>
      <xdr:rowOff>73872</xdr:rowOff>
    </xdr:from>
    <xdr:to>
      <xdr:col>33</xdr:col>
      <xdr:colOff>722771</xdr:colOff>
      <xdr:row>5</xdr:row>
      <xdr:rowOff>73576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A005C-699B-32F3-C241-6EFD6647A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28250" y="158750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214312</xdr:colOff>
      <xdr:row>1</xdr:row>
      <xdr:rowOff>130969</xdr:rowOff>
    </xdr:from>
    <xdr:to>
      <xdr:col>1</xdr:col>
      <xdr:colOff>1796290</xdr:colOff>
      <xdr:row>4</xdr:row>
      <xdr:rowOff>64294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B7CE1A-15E8-48D1-A3FB-382CE4A35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321468" y="238125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33866</xdr:colOff>
      <xdr:row>1</xdr:row>
      <xdr:rowOff>54822</xdr:rowOff>
    </xdr:from>
    <xdr:to>
      <xdr:col>14</xdr:col>
      <xdr:colOff>742703</xdr:colOff>
      <xdr:row>5</xdr:row>
      <xdr:rowOff>37268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CC370-4680-7A2F-31D7-63918050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77416" y="158750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428625</xdr:colOff>
      <xdr:row>2</xdr:row>
      <xdr:rowOff>11906</xdr:rowOff>
    </xdr:from>
    <xdr:to>
      <xdr:col>1</xdr:col>
      <xdr:colOff>2007428</xdr:colOff>
      <xdr:row>4</xdr:row>
      <xdr:rowOff>135731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90A93B-70C1-40CF-97B2-DAFB797361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535781" y="309562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613199</xdr:colOff>
      <xdr:row>1</xdr:row>
      <xdr:rowOff>74083</xdr:rowOff>
    </xdr:from>
    <xdr:to>
      <xdr:col>63</xdr:col>
      <xdr:colOff>634535</xdr:colOff>
      <xdr:row>5</xdr:row>
      <xdr:rowOff>78783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9DFBE4-2F9F-AB44-A39A-24A3A0572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32667" y="179916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</xdr:col>
      <xdr:colOff>0</xdr:colOff>
      <xdr:row>1</xdr:row>
      <xdr:rowOff>0</xdr:rowOff>
    </xdr:from>
    <xdr:ext cx="1945482" cy="936625"/>
    <xdr:pic>
      <xdr:nvPicPr>
        <xdr:cNvPr id="3" name="Imagem 2">
          <a:extLst>
            <a:ext uri="{FF2B5EF4-FFF2-40B4-BE49-F238E27FC236}">
              <a16:creationId xmlns:a16="http://schemas.microsoft.com/office/drawing/2014/main" id="{91CDDA37-52B3-449C-AD5D-E4304845E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85" y="104543"/>
          <a:ext cx="1945482" cy="9366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193675</xdr:colOff>
      <xdr:row>1</xdr:row>
      <xdr:rowOff>101600</xdr:rowOff>
    </xdr:from>
    <xdr:to>
      <xdr:col>4</xdr:col>
      <xdr:colOff>56558</xdr:colOff>
      <xdr:row>5</xdr:row>
      <xdr:rowOff>20260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62D35-9435-93CA-051A-CCC21ED4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48100" y="190500"/>
          <a:ext cx="726572" cy="68066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369794</xdr:colOff>
      <xdr:row>2</xdr:row>
      <xdr:rowOff>11205</xdr:rowOff>
    </xdr:from>
    <xdr:to>
      <xdr:col>1</xdr:col>
      <xdr:colOff>1954947</xdr:colOff>
      <xdr:row>4</xdr:row>
      <xdr:rowOff>135030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4FB24B-1AF2-4B58-84BD-BF2C818E6C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470647" y="302558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65</xdr:col>
      <xdr:colOff>39582</xdr:colOff>
      <xdr:row>1</xdr:row>
      <xdr:rowOff>160655</xdr:rowOff>
    </xdr:from>
    <xdr:ext cx="710209" cy="744384"/>
    <xdr:pic>
      <xdr:nvPicPr>
        <xdr:cNvPr id="2" name="Imagem 1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E1ECC-45B9-4B6E-B484-FEC39020F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241749" y="266488"/>
          <a:ext cx="710209" cy="74438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1</xdr:col>
      <xdr:colOff>207596</xdr:colOff>
      <xdr:row>2</xdr:row>
      <xdr:rowOff>12211</xdr:rowOff>
    </xdr:from>
    <xdr:to>
      <xdr:col>1</xdr:col>
      <xdr:colOff>1789574</xdr:colOff>
      <xdr:row>4</xdr:row>
      <xdr:rowOff>126266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9DE671EB-77C1-4AC8-B8AE-DACC51240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317500" y="317499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46345</xdr:colOff>
      <xdr:row>0</xdr:row>
      <xdr:rowOff>47625</xdr:rowOff>
    </xdr:from>
    <xdr:to>
      <xdr:col>23</xdr:col>
      <xdr:colOff>711200</xdr:colOff>
      <xdr:row>3</xdr:row>
      <xdr:rowOff>152674</xdr:rowOff>
    </xdr:to>
    <xdr:pic>
      <xdr:nvPicPr>
        <xdr:cNvPr id="41" name="Imagem 2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34477-DA0D-0542-D0EC-F5BE32F0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401645" y="47625"/>
          <a:ext cx="664855" cy="53367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114300</xdr:colOff>
      <xdr:row>0</xdr:row>
      <xdr:rowOff>28575</xdr:rowOff>
    </xdr:from>
    <xdr:to>
      <xdr:col>1</xdr:col>
      <xdr:colOff>1696278</xdr:colOff>
      <xdr:row>3</xdr:row>
      <xdr:rowOff>101600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15BB021-9964-423C-9E10-FDB3292124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219075" y="28575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583564</xdr:colOff>
      <xdr:row>1</xdr:row>
      <xdr:rowOff>2963</xdr:rowOff>
    </xdr:from>
    <xdr:to>
      <xdr:col>27</xdr:col>
      <xdr:colOff>606004</xdr:colOff>
      <xdr:row>5</xdr:row>
      <xdr:rowOff>18554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7D978-A0AF-0930-B13B-636F7057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06166" y="116416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206375</xdr:colOff>
      <xdr:row>2</xdr:row>
      <xdr:rowOff>0</xdr:rowOff>
    </xdr:from>
    <xdr:to>
      <xdr:col>1</xdr:col>
      <xdr:colOff>1788353</xdr:colOff>
      <xdr:row>4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75743D-8F44-4E08-A5FA-600723B617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317500" y="301625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553932</xdr:colOff>
      <xdr:row>1</xdr:row>
      <xdr:rowOff>73872</xdr:rowOff>
    </xdr:from>
    <xdr:to>
      <xdr:col>8</xdr:col>
      <xdr:colOff>2322</xdr:colOff>
      <xdr:row>5</xdr:row>
      <xdr:rowOff>73576</xdr:rowOff>
    </xdr:to>
    <xdr:pic>
      <xdr:nvPicPr>
        <xdr:cNvPr id="10" name="Imagem 9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7B1E1-BF74-782E-257D-92DC7701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74417" y="158750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444500</xdr:colOff>
      <xdr:row>2</xdr:row>
      <xdr:rowOff>47625</xdr:rowOff>
    </xdr:from>
    <xdr:to>
      <xdr:col>1</xdr:col>
      <xdr:colOff>2026478</xdr:colOff>
      <xdr:row>4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812B79-4707-4119-940D-BDDBE14F5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555625" y="349250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559434</xdr:colOff>
      <xdr:row>1</xdr:row>
      <xdr:rowOff>82339</xdr:rowOff>
    </xdr:from>
    <xdr:to>
      <xdr:col>7</xdr:col>
      <xdr:colOff>431820</xdr:colOff>
      <xdr:row>5</xdr:row>
      <xdr:rowOff>37805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E1A8A3-BBAA-1ED1-7EEE-CB33FF2F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53249" y="148167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492125</xdr:colOff>
      <xdr:row>2</xdr:row>
      <xdr:rowOff>0</xdr:rowOff>
    </xdr:from>
    <xdr:to>
      <xdr:col>1</xdr:col>
      <xdr:colOff>2074103</xdr:colOff>
      <xdr:row>4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EC3BA74-0703-45F4-8204-D64C08C46E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603250" y="301625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9525</xdr:rowOff>
    </xdr:from>
    <xdr:to>
      <xdr:col>1</xdr:col>
      <xdr:colOff>2038350</xdr:colOff>
      <xdr:row>6</xdr:row>
      <xdr:rowOff>57150</xdr:rowOff>
    </xdr:to>
    <xdr:pic>
      <xdr:nvPicPr>
        <xdr:cNvPr id="7760" name="Imagem 2">
          <a:extLst>
            <a:ext uri="{FF2B5EF4-FFF2-40B4-BE49-F238E27FC236}">
              <a16:creationId xmlns:a16="http://schemas.microsoft.com/office/drawing/2014/main" id="{220AB4EC-B4EF-4CFF-C7C8-F56A8BCB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525"/>
          <a:ext cx="17716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44</xdr:col>
      <xdr:colOff>199604</xdr:colOff>
      <xdr:row>5</xdr:row>
      <xdr:rowOff>118079</xdr:rowOff>
    </xdr:from>
    <xdr:ext cx="600203" cy="647096"/>
    <xdr:pic>
      <xdr:nvPicPr>
        <xdr:cNvPr id="2" name="Imagem 1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9CD882-43CA-40F4-9E92-E34C8996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797890" y="934508"/>
          <a:ext cx="600203" cy="647096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1</xdr:col>
      <xdr:colOff>312964</xdr:colOff>
      <xdr:row>6</xdr:row>
      <xdr:rowOff>54428</xdr:rowOff>
    </xdr:from>
    <xdr:to>
      <xdr:col>1</xdr:col>
      <xdr:colOff>1898117</xdr:colOff>
      <xdr:row>9</xdr:row>
      <xdr:rowOff>10885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F013DFE5-4CE5-465D-A136-6BD52B945F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421821" y="1061357"/>
          <a:ext cx="1581978" cy="48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T1"/>
  <sheetViews>
    <sheetView showGridLines="0" showRowColHeaders="0" zoomScale="80" zoomScaleNormal="80" workbookViewId="0">
      <selection activeCell="U31" sqref="U31"/>
    </sheetView>
  </sheetViews>
  <sheetFormatPr defaultColWidth="9.1796875" defaultRowHeight="14.5"/>
  <cols>
    <col min="1" max="20" width="9.1796875" style="127" customWidth="1"/>
    <col min="21" max="16384" width="9.1796875" style="128"/>
  </cols>
  <sheetData/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headerFooter>
    <oddFooter>&amp;L_x000D_&amp;1#&amp;"Calibri"&amp;10&amp;K000000 Classificação da Informação: Documento Restrito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>
    <pageSetUpPr fitToPage="1"/>
  </sheetPr>
  <dimension ref="A1:BH91"/>
  <sheetViews>
    <sheetView showGridLines="0" zoomScale="70" zoomScaleNormal="70" workbookViewId="0">
      <pane xSplit="3" ySplit="7" topLeftCell="BE8" activePane="bottomRight" state="frozen"/>
      <selection activeCell="D47" sqref="D47"/>
      <selection pane="topRight" activeCell="D47" sqref="D47"/>
      <selection pane="bottomLeft" activeCell="D47" sqref="D47"/>
      <selection pane="bottomRight" activeCell="D6" sqref="D6"/>
    </sheetView>
  </sheetViews>
  <sheetFormatPr defaultRowHeight="14.5" outlineLevelCol="1"/>
  <cols>
    <col min="1" max="1" width="1.54296875" style="1" customWidth="1"/>
    <col min="2" max="3" width="38.81640625" style="28" customWidth="1"/>
    <col min="4" max="7" width="7" style="30" customWidth="1" outlineLevel="1"/>
    <col min="8" max="8" width="8.453125" style="30" bestFit="1" customWidth="1"/>
    <col min="9" max="12" width="7" style="30" customWidth="1" outlineLevel="1"/>
    <col min="13" max="13" width="8.453125" style="30" bestFit="1" customWidth="1"/>
    <col min="14" max="14" width="9.1796875" style="30" customWidth="1" outlineLevel="1"/>
    <col min="15" max="16" width="8.7265625" style="30" customWidth="1" outlineLevel="1"/>
    <col min="17" max="17" width="8.26953125" style="30" customWidth="1" outlineLevel="1"/>
    <col min="18" max="18" width="8.453125" style="30" bestFit="1" customWidth="1"/>
    <col min="19" max="19" width="8.1796875" style="30" customWidth="1" outlineLevel="1"/>
    <col min="20" max="22" width="7" style="30" customWidth="1" outlineLevel="1"/>
    <col min="23" max="23" width="8.453125" style="30" bestFit="1" customWidth="1"/>
    <col min="24" max="25" width="7" style="30" customWidth="1" outlineLevel="1"/>
    <col min="26" max="27" width="9.1796875" style="6" customWidth="1" outlineLevel="1"/>
    <col min="28" max="28" width="9.1796875" style="6" customWidth="1"/>
    <col min="29" max="29" width="9.1796875" style="6" customWidth="1" outlineLevel="1"/>
    <col min="30" max="31" width="7" style="30" customWidth="1" outlineLevel="1"/>
    <col min="32" max="32" width="7.7265625" style="30" customWidth="1" outlineLevel="1"/>
    <col min="33" max="33" width="9.1796875" style="6" customWidth="1"/>
    <col min="34" max="37" width="9.1796875" style="6" customWidth="1" outlineLevel="1"/>
    <col min="38" max="38" width="9.1796875" style="6" customWidth="1"/>
    <col min="39" max="42" width="9.1796875" style="6" customWidth="1" outlineLevel="1"/>
    <col min="43" max="43" width="9.1796875" style="6" customWidth="1"/>
    <col min="44" max="47" width="9.1796875" style="6" customWidth="1" outlineLevel="1"/>
    <col min="48" max="48" width="9.1796875" style="6" customWidth="1"/>
    <col min="49" max="51" width="9.7265625" bestFit="1" customWidth="1"/>
    <col min="53" max="53" width="9.81640625" bestFit="1" customWidth="1"/>
    <col min="54" max="59" width="10.81640625" bestFit="1" customWidth="1"/>
  </cols>
  <sheetData>
    <row r="1" spans="1:59" s="21" customFormat="1" ht="8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1:59">
      <c r="A2" s="21"/>
    </row>
    <row r="3" spans="1:59">
      <c r="A3" s="21"/>
    </row>
    <row r="4" spans="1:59">
      <c r="A4" s="21"/>
    </row>
    <row r="5" spans="1:59">
      <c r="A5" s="21"/>
    </row>
    <row r="6" spans="1:59" ht="16.5">
      <c r="A6" s="21"/>
      <c r="B6" s="56"/>
      <c r="C6" s="56"/>
      <c r="D6" s="56" t="s">
        <v>687</v>
      </c>
      <c r="E6" s="56" t="s">
        <v>688</v>
      </c>
      <c r="F6" s="56" t="s">
        <v>689</v>
      </c>
      <c r="G6" s="56" t="s">
        <v>690</v>
      </c>
      <c r="H6" s="56">
        <v>2010</v>
      </c>
      <c r="I6" s="56" t="s">
        <v>691</v>
      </c>
      <c r="J6" s="56" t="s">
        <v>692</v>
      </c>
      <c r="K6" s="56" t="s">
        <v>693</v>
      </c>
      <c r="L6" s="56" t="s">
        <v>694</v>
      </c>
      <c r="M6" s="56">
        <v>2011</v>
      </c>
      <c r="N6" s="56" t="s">
        <v>695</v>
      </c>
      <c r="O6" s="56" t="s">
        <v>696</v>
      </c>
      <c r="P6" s="56" t="s">
        <v>697</v>
      </c>
      <c r="Q6" s="56" t="s">
        <v>698</v>
      </c>
      <c r="R6" s="56">
        <v>2012</v>
      </c>
      <c r="S6" s="56" t="s">
        <v>699</v>
      </c>
      <c r="T6" s="56" t="s">
        <v>700</v>
      </c>
      <c r="U6" s="56" t="s">
        <v>701</v>
      </c>
      <c r="V6" s="56" t="s">
        <v>702</v>
      </c>
      <c r="W6" s="56">
        <v>2013</v>
      </c>
      <c r="X6" s="56" t="s">
        <v>703</v>
      </c>
      <c r="Y6" s="56" t="s">
        <v>704</v>
      </c>
      <c r="Z6" s="56" t="s">
        <v>705</v>
      </c>
      <c r="AA6" s="56" t="s">
        <v>706</v>
      </c>
      <c r="AB6" s="56">
        <v>2014</v>
      </c>
      <c r="AC6" s="56" t="s">
        <v>707</v>
      </c>
      <c r="AD6" s="56" t="s">
        <v>708</v>
      </c>
      <c r="AE6" s="56" t="s">
        <v>709</v>
      </c>
      <c r="AF6" s="56" t="s">
        <v>710</v>
      </c>
      <c r="AG6" s="56">
        <v>2015</v>
      </c>
      <c r="AH6" s="56" t="s">
        <v>711</v>
      </c>
      <c r="AI6" s="56" t="s">
        <v>712</v>
      </c>
      <c r="AJ6" s="56" t="s">
        <v>713</v>
      </c>
      <c r="AK6" s="56" t="s">
        <v>714</v>
      </c>
      <c r="AL6" s="56">
        <v>2016</v>
      </c>
      <c r="AM6" s="56" t="s">
        <v>715</v>
      </c>
      <c r="AN6" s="56" t="s">
        <v>716</v>
      </c>
      <c r="AO6" s="56" t="s">
        <v>717</v>
      </c>
      <c r="AP6" s="56" t="s">
        <v>718</v>
      </c>
      <c r="AQ6" s="56">
        <v>2017</v>
      </c>
      <c r="AR6" s="56" t="s">
        <v>719</v>
      </c>
      <c r="AS6" s="56" t="s">
        <v>720</v>
      </c>
      <c r="AT6" s="56" t="s">
        <v>721</v>
      </c>
      <c r="AU6" s="56" t="s">
        <v>722</v>
      </c>
      <c r="AV6" s="56">
        <v>2018</v>
      </c>
      <c r="AW6" s="24" t="s">
        <v>723</v>
      </c>
      <c r="AX6" s="24" t="s">
        <v>724</v>
      </c>
      <c r="AY6" s="24" t="s">
        <v>725</v>
      </c>
      <c r="AZ6" s="24" t="s">
        <v>726</v>
      </c>
      <c r="BA6" s="24" t="s">
        <v>125</v>
      </c>
      <c r="BB6" s="24" t="s">
        <v>727</v>
      </c>
      <c r="BC6" s="24" t="s">
        <v>728</v>
      </c>
      <c r="BD6" s="24" t="s">
        <v>729</v>
      </c>
      <c r="BE6" s="24" t="s">
        <v>730</v>
      </c>
      <c r="BF6" s="24" t="s">
        <v>124</v>
      </c>
      <c r="BG6" s="24" t="s">
        <v>731</v>
      </c>
    </row>
    <row r="7" spans="1:59" ht="18" customHeight="1">
      <c r="A7" s="21"/>
      <c r="B7" s="55" t="s">
        <v>240</v>
      </c>
      <c r="C7" s="55" t="s">
        <v>647</v>
      </c>
      <c r="D7" s="56" t="s">
        <v>22</v>
      </c>
      <c r="E7" s="56" t="s">
        <v>21</v>
      </c>
      <c r="F7" s="56" t="s">
        <v>20</v>
      </c>
      <c r="G7" s="56" t="s">
        <v>17</v>
      </c>
      <c r="H7" s="56">
        <v>2010</v>
      </c>
      <c r="I7" s="56" t="s">
        <v>19</v>
      </c>
      <c r="J7" s="56" t="s">
        <v>18</v>
      </c>
      <c r="K7" s="56" t="s">
        <v>16</v>
      </c>
      <c r="L7" s="56" t="s">
        <v>15</v>
      </c>
      <c r="M7" s="56">
        <v>2011</v>
      </c>
      <c r="N7" s="56" t="s">
        <v>14</v>
      </c>
      <c r="O7" s="56" t="s">
        <v>12</v>
      </c>
      <c r="P7" s="56" t="s">
        <v>10</v>
      </c>
      <c r="Q7" s="56" t="s">
        <v>9</v>
      </c>
      <c r="R7" s="56">
        <v>2012</v>
      </c>
      <c r="S7" s="56" t="s">
        <v>13</v>
      </c>
      <c r="T7" s="56" t="s">
        <v>11</v>
      </c>
      <c r="U7" s="56" t="s">
        <v>8</v>
      </c>
      <c r="V7" s="56" t="s">
        <v>25</v>
      </c>
      <c r="W7" s="56">
        <v>2013</v>
      </c>
      <c r="X7" s="56" t="s">
        <v>26</v>
      </c>
      <c r="Y7" s="56" t="s">
        <v>55</v>
      </c>
      <c r="Z7" s="56" t="s">
        <v>56</v>
      </c>
      <c r="AA7" s="56" t="s">
        <v>57</v>
      </c>
      <c r="AB7" s="56">
        <v>2014</v>
      </c>
      <c r="AC7" s="56" t="s">
        <v>58</v>
      </c>
      <c r="AD7" s="56" t="s">
        <v>59</v>
      </c>
      <c r="AE7" s="56" t="s">
        <v>60</v>
      </c>
      <c r="AF7" s="56" t="s">
        <v>62</v>
      </c>
      <c r="AG7" s="56">
        <v>2015</v>
      </c>
      <c r="AH7" s="56" t="s">
        <v>69</v>
      </c>
      <c r="AI7" s="56" t="s">
        <v>70</v>
      </c>
      <c r="AJ7" s="56" t="s">
        <v>72</v>
      </c>
      <c r="AK7" s="56" t="s">
        <v>73</v>
      </c>
      <c r="AL7" s="56">
        <v>2016</v>
      </c>
      <c r="AM7" s="56" t="s">
        <v>74</v>
      </c>
      <c r="AN7" s="56" t="s">
        <v>75</v>
      </c>
      <c r="AO7" s="56" t="s">
        <v>77</v>
      </c>
      <c r="AP7" s="56" t="s">
        <v>79</v>
      </c>
      <c r="AQ7" s="56">
        <v>2017</v>
      </c>
      <c r="AR7" s="56" t="s">
        <v>80</v>
      </c>
      <c r="AS7" s="56" t="s">
        <v>81</v>
      </c>
      <c r="AT7" s="56" t="s">
        <v>82</v>
      </c>
      <c r="AU7" s="56" t="s">
        <v>83</v>
      </c>
      <c r="AV7" s="56">
        <v>2018</v>
      </c>
      <c r="AW7" s="56" t="s">
        <v>241</v>
      </c>
      <c r="AX7" s="56" t="s">
        <v>242</v>
      </c>
      <c r="AY7" s="56" t="s">
        <v>243</v>
      </c>
      <c r="AZ7" s="56" t="s">
        <v>244</v>
      </c>
      <c r="BA7" s="56" t="s">
        <v>125</v>
      </c>
      <c r="BB7" s="56" t="s">
        <v>245</v>
      </c>
      <c r="BC7" s="56" t="s">
        <v>246</v>
      </c>
      <c r="BD7" s="56" t="s">
        <v>247</v>
      </c>
      <c r="BE7" s="56" t="s">
        <v>248</v>
      </c>
      <c r="BF7" s="56" t="s">
        <v>249</v>
      </c>
      <c r="BG7" s="56" t="s">
        <v>250</v>
      </c>
    </row>
    <row r="8" spans="1:59">
      <c r="A8" s="21"/>
    </row>
    <row r="9" spans="1:59">
      <c r="B9" s="57" t="s">
        <v>251</v>
      </c>
      <c r="C9" s="57" t="s">
        <v>469</v>
      </c>
      <c r="D9" s="58">
        <v>170.1</v>
      </c>
      <c r="E9" s="58">
        <v>188.9</v>
      </c>
      <c r="F9" s="58">
        <v>194.9</v>
      </c>
      <c r="G9" s="58">
        <v>202.9</v>
      </c>
      <c r="H9" s="59">
        <v>756.8</v>
      </c>
      <c r="I9" s="59">
        <v>206</v>
      </c>
      <c r="J9" s="59">
        <v>212</v>
      </c>
      <c r="K9" s="59">
        <v>228.2</v>
      </c>
      <c r="L9" s="59">
        <v>227.7</v>
      </c>
      <c r="M9" s="59">
        <v>873.90000000000009</v>
      </c>
      <c r="N9" s="59">
        <v>219</v>
      </c>
      <c r="O9" s="59">
        <v>229.9</v>
      </c>
      <c r="P9" s="59">
        <v>223.5</v>
      </c>
      <c r="Q9" s="59">
        <v>224.4</v>
      </c>
      <c r="R9" s="59">
        <v>896.8</v>
      </c>
      <c r="S9" s="59">
        <v>267.3</v>
      </c>
      <c r="T9" s="59">
        <v>275.3</v>
      </c>
      <c r="U9" s="59">
        <v>315.8</v>
      </c>
      <c r="V9" s="59">
        <v>316.60000000000002</v>
      </c>
      <c r="W9" s="59">
        <v>1175</v>
      </c>
      <c r="X9" s="59">
        <v>300.10000000000002</v>
      </c>
      <c r="Y9" s="59">
        <v>294.5</v>
      </c>
      <c r="Z9" s="59">
        <v>342.8</v>
      </c>
      <c r="AA9" s="59">
        <v>358.6</v>
      </c>
      <c r="AB9" s="59">
        <v>1296.0999999999999</v>
      </c>
      <c r="AC9" s="59">
        <v>361.1</v>
      </c>
      <c r="AD9" s="59">
        <v>378.5</v>
      </c>
      <c r="AE9" s="59">
        <v>451.3</v>
      </c>
      <c r="AF9" s="59">
        <v>446.5</v>
      </c>
      <c r="AG9" s="59">
        <v>1637.4</v>
      </c>
      <c r="AH9" s="59">
        <v>443.1</v>
      </c>
      <c r="AI9" s="59">
        <v>437.8</v>
      </c>
      <c r="AJ9" s="59">
        <v>425.9</v>
      </c>
      <c r="AK9" s="59">
        <v>417.020783255688</v>
      </c>
      <c r="AL9" s="59">
        <v>1723.820783255688</v>
      </c>
      <c r="AM9" s="59">
        <v>358.5</v>
      </c>
      <c r="AN9" s="59">
        <v>391.9</v>
      </c>
      <c r="AO9" s="60">
        <v>412.1</v>
      </c>
      <c r="AP9" s="61">
        <v>411.9</v>
      </c>
      <c r="AQ9" s="59">
        <v>1574.4</v>
      </c>
      <c r="AR9" s="61">
        <v>386.3</v>
      </c>
      <c r="AS9" s="61">
        <v>421.9</v>
      </c>
      <c r="AT9" s="61">
        <v>478.85129633285499</v>
      </c>
      <c r="AU9" s="61">
        <v>447.3</v>
      </c>
      <c r="AV9" s="59">
        <v>1734.3</v>
      </c>
      <c r="AW9" s="61">
        <v>426.8</v>
      </c>
      <c r="AX9" s="61">
        <v>463.3</v>
      </c>
      <c r="AY9" s="61">
        <v>569</v>
      </c>
      <c r="AZ9" s="61">
        <v>548.79999999999995</v>
      </c>
      <c r="BA9" s="62">
        <f>SUM(AW9:AZ9)</f>
        <v>2007.8999999999999</v>
      </c>
      <c r="BB9" s="61">
        <f>DRE!BB9/1000</f>
        <v>463.74</v>
      </c>
      <c r="BC9" s="61">
        <f>DRE!BC9/1000</f>
        <v>414.62400000000002</v>
      </c>
      <c r="BD9" s="61">
        <f>DRE!BD9/1000</f>
        <v>522.05999999999995</v>
      </c>
      <c r="BE9" s="61">
        <f>DRE!BE9/1000</f>
        <v>538.71799999999996</v>
      </c>
      <c r="BF9" s="61">
        <f>SUM(BB9:BE9)/1000</f>
        <v>1.9391419999999999</v>
      </c>
      <c r="BG9" s="61">
        <f>DRE!BG9/1000</f>
        <v>489.70600000000002</v>
      </c>
    </row>
    <row r="10" spans="1:59">
      <c r="A10" s="21"/>
      <c r="B10" s="57" t="s">
        <v>252</v>
      </c>
      <c r="C10" s="57" t="s">
        <v>648</v>
      </c>
      <c r="D10" s="59">
        <v>37.5</v>
      </c>
      <c r="E10" s="59">
        <v>39</v>
      </c>
      <c r="F10" s="59">
        <v>44.8</v>
      </c>
      <c r="G10" s="59">
        <v>54</v>
      </c>
      <c r="H10" s="59">
        <v>175.3</v>
      </c>
      <c r="I10" s="59">
        <v>43.1</v>
      </c>
      <c r="J10" s="59">
        <v>45.6</v>
      </c>
      <c r="K10" s="59">
        <v>55.6</v>
      </c>
      <c r="L10" s="59">
        <v>56.2</v>
      </c>
      <c r="M10" s="59">
        <v>200.4</v>
      </c>
      <c r="N10" s="59">
        <v>52.2</v>
      </c>
      <c r="O10" s="59">
        <v>58.6</v>
      </c>
      <c r="P10" s="59">
        <v>54.2</v>
      </c>
      <c r="Q10" s="59">
        <v>56.3</v>
      </c>
      <c r="R10" s="59">
        <v>221.3</v>
      </c>
      <c r="S10" s="59">
        <v>50</v>
      </c>
      <c r="T10" s="59">
        <v>40.4</v>
      </c>
      <c r="U10" s="59">
        <v>67.099999999999994</v>
      </c>
      <c r="V10" s="59">
        <v>65.3</v>
      </c>
      <c r="W10" s="59">
        <v>222.8</v>
      </c>
      <c r="X10" s="59">
        <v>56.5</v>
      </c>
      <c r="Y10" s="60">
        <v>55.7</v>
      </c>
      <c r="Z10" s="59">
        <v>78.3</v>
      </c>
      <c r="AA10" s="59">
        <v>76.2</v>
      </c>
      <c r="AB10" s="59">
        <v>266.7</v>
      </c>
      <c r="AC10" s="59">
        <v>68.7</v>
      </c>
      <c r="AD10" s="60">
        <v>75.3</v>
      </c>
      <c r="AE10" s="60">
        <v>82.2</v>
      </c>
      <c r="AF10" s="60">
        <v>81</v>
      </c>
      <c r="AG10" s="59">
        <v>307.2</v>
      </c>
      <c r="AH10" s="60">
        <v>69.099999999999994</v>
      </c>
      <c r="AI10" s="60">
        <v>71.7</v>
      </c>
      <c r="AJ10" s="60">
        <v>75.3</v>
      </c>
      <c r="AK10" s="61">
        <v>62.830580000000005</v>
      </c>
      <c r="AL10" s="61">
        <v>278.93058000000002</v>
      </c>
      <c r="AM10" s="60">
        <v>50.4</v>
      </c>
      <c r="AN10" s="60">
        <v>60.3</v>
      </c>
      <c r="AO10" s="60">
        <v>69.2</v>
      </c>
      <c r="AP10" s="61">
        <v>66.099999999999994</v>
      </c>
      <c r="AQ10" s="61">
        <v>245.9</v>
      </c>
      <c r="AR10" s="61">
        <v>73</v>
      </c>
      <c r="AS10" s="61">
        <v>77.099999999999994</v>
      </c>
      <c r="AT10" s="61">
        <v>81.054721252097153</v>
      </c>
      <c r="AU10" s="61">
        <v>73.8</v>
      </c>
      <c r="AV10" s="61">
        <f>SUM(AR10:AU10)</f>
        <v>304.95472125209716</v>
      </c>
      <c r="AW10" s="61">
        <v>67.099999999999994</v>
      </c>
      <c r="AX10" s="61">
        <v>63.6</v>
      </c>
      <c r="AY10" s="61">
        <v>97.6</v>
      </c>
      <c r="AZ10" s="61">
        <v>80.7</v>
      </c>
      <c r="BA10" s="61">
        <v>309</v>
      </c>
      <c r="BB10" s="61">
        <v>60.2</v>
      </c>
      <c r="BC10" s="61">
        <v>17.5</v>
      </c>
      <c r="BD10" s="61">
        <v>74.5</v>
      </c>
      <c r="BE10" s="61">
        <v>50.409878981954193</v>
      </c>
      <c r="BF10" s="61">
        <v>202.4759443255445</v>
      </c>
      <c r="BG10" s="61">
        <v>60.985584242211402</v>
      </c>
    </row>
    <row r="11" spans="1:59">
      <c r="A11" s="21"/>
      <c r="B11" s="63" t="s">
        <v>253</v>
      </c>
      <c r="C11" s="63" t="s">
        <v>649</v>
      </c>
      <c r="D11" s="64">
        <f t="shared" ref="D11:AS11" si="0">IFERROR((D10-D53)/D9,"N/A")</f>
        <v>0.22045855379188714</v>
      </c>
      <c r="E11" s="64">
        <f t="shared" si="0"/>
        <v>0.20645844362096347</v>
      </c>
      <c r="F11" s="64">
        <f t="shared" si="0"/>
        <v>0.22626988199076445</v>
      </c>
      <c r="G11" s="64">
        <f t="shared" si="0"/>
        <v>0.26219812715623458</v>
      </c>
      <c r="H11" s="65">
        <f t="shared" si="0"/>
        <v>0.22965116279069769</v>
      </c>
      <c r="I11" s="64">
        <f t="shared" si="0"/>
        <v>0.20388349514563106</v>
      </c>
      <c r="J11" s="64">
        <f t="shared" si="0"/>
        <v>0.20943396226415092</v>
      </c>
      <c r="K11" s="64">
        <f t="shared" si="0"/>
        <v>0.23838737949167399</v>
      </c>
      <c r="L11" s="64">
        <f t="shared" si="0"/>
        <v>0.23803249890206415</v>
      </c>
      <c r="M11" s="64">
        <f t="shared" si="0"/>
        <v>0.2230232292024259</v>
      </c>
      <c r="N11" s="64">
        <f t="shared" si="0"/>
        <v>0.22465753424657536</v>
      </c>
      <c r="O11" s="64">
        <f t="shared" si="0"/>
        <v>0.24097433666811657</v>
      </c>
      <c r="P11" s="64">
        <f t="shared" si="0"/>
        <v>0.23221476510067116</v>
      </c>
      <c r="Q11" s="64">
        <f t="shared" si="0"/>
        <v>0.24376114081996433</v>
      </c>
      <c r="R11" s="64">
        <f t="shared" si="0"/>
        <v>0.2355040142729706</v>
      </c>
      <c r="S11" s="64">
        <f t="shared" si="0"/>
        <v>0.17919940142162363</v>
      </c>
      <c r="T11" s="64">
        <f t="shared" si="0"/>
        <v>0.14384308027606246</v>
      </c>
      <c r="U11" s="64">
        <f t="shared" si="0"/>
        <v>0.20582647245091829</v>
      </c>
      <c r="V11" s="64">
        <f t="shared" si="0"/>
        <v>0.19962097283638658</v>
      </c>
      <c r="W11" s="65">
        <f t="shared" si="0"/>
        <v>0.18357446808510638</v>
      </c>
      <c r="X11" s="64">
        <f t="shared" si="0"/>
        <v>0.17860713095634786</v>
      </c>
      <c r="Y11" s="64">
        <f t="shared" si="0"/>
        <v>0.18438030560271648</v>
      </c>
      <c r="Z11" s="64">
        <f t="shared" si="0"/>
        <v>0.22199533255542589</v>
      </c>
      <c r="AA11" s="64">
        <f t="shared" si="0"/>
        <v>0.20245398773006137</v>
      </c>
      <c r="AB11" s="64">
        <f t="shared" si="0"/>
        <v>0.19805570557827329</v>
      </c>
      <c r="AC11" s="64">
        <f t="shared" si="0"/>
        <v>0.18415951260038768</v>
      </c>
      <c r="AD11" s="64">
        <f t="shared" si="0"/>
        <v>0.19392338177014529</v>
      </c>
      <c r="AE11" s="64">
        <f t="shared" si="0"/>
        <v>0.17837358741413695</v>
      </c>
      <c r="AF11" s="64">
        <f t="shared" si="0"/>
        <v>0.16998880179171333</v>
      </c>
      <c r="AG11" s="64">
        <f t="shared" si="0"/>
        <v>0.18095761573225846</v>
      </c>
      <c r="AH11" s="64">
        <f t="shared" si="0"/>
        <v>0.15030467163168582</v>
      </c>
      <c r="AI11" s="64">
        <f t="shared" si="0"/>
        <v>0.1587482868889904</v>
      </c>
      <c r="AJ11" s="64">
        <f t="shared" si="0"/>
        <v>0.17680206621272598</v>
      </c>
      <c r="AK11" s="64">
        <f t="shared" si="0"/>
        <v>0.15066534456503738</v>
      </c>
      <c r="AL11" s="64">
        <f t="shared" si="0"/>
        <v>0.15908299903547712</v>
      </c>
      <c r="AM11" s="64">
        <f t="shared" si="0"/>
        <v>0.14058577405857739</v>
      </c>
      <c r="AN11" s="64">
        <f t="shared" si="0"/>
        <v>0.15386578208726717</v>
      </c>
      <c r="AO11" s="64">
        <f t="shared" si="0"/>
        <v>0.16792040766804173</v>
      </c>
      <c r="AP11" s="64">
        <f t="shared" si="0"/>
        <v>0.16047584365137169</v>
      </c>
      <c r="AQ11" s="64">
        <f t="shared" si="0"/>
        <v>0.1561864837398374</v>
      </c>
      <c r="AR11" s="64">
        <f t="shared" si="0"/>
        <v>0.18897230132021745</v>
      </c>
      <c r="AS11" s="64">
        <f t="shared" si="0"/>
        <v>0.18274472623844512</v>
      </c>
      <c r="AT11" s="64">
        <f>IFERROR((AT10-AT53)/AT9,"N/A")</f>
        <v>0.16926908598312554</v>
      </c>
      <c r="AU11" s="64">
        <f>IFERROR((AU10-AU53)/AU9,"N/A")</f>
        <v>0.16498993963782696</v>
      </c>
      <c r="AV11" s="64">
        <f>AV10/AV9</f>
        <v>0.17583735296782399</v>
      </c>
      <c r="AW11" s="64">
        <v>0.157</v>
      </c>
      <c r="AX11" s="64">
        <v>0.13700000000000001</v>
      </c>
      <c r="AY11" s="64">
        <v>0.17199999999999999</v>
      </c>
      <c r="AZ11" s="64">
        <v>0.14699999999999999</v>
      </c>
      <c r="BA11" s="64">
        <v>0.154</v>
      </c>
      <c r="BB11" s="64">
        <v>0.13</v>
      </c>
      <c r="BC11" s="64">
        <v>4.2000000000000003E-2</v>
      </c>
      <c r="BD11" s="64">
        <v>0.14299999999999999</v>
      </c>
      <c r="BE11" s="64">
        <v>9.3585156328263683E-2</v>
      </c>
      <c r="BF11" s="64">
        <v>0.10442004210692422</v>
      </c>
      <c r="BG11" s="64">
        <v>0.12453662291650276</v>
      </c>
    </row>
    <row r="12" spans="1:59">
      <c r="A12" s="21"/>
      <c r="B12" s="57" t="s">
        <v>254</v>
      </c>
      <c r="C12" s="57" t="s">
        <v>650</v>
      </c>
      <c r="D12" s="59">
        <v>19.600000000000001</v>
      </c>
      <c r="E12" s="59">
        <v>23.1</v>
      </c>
      <c r="F12" s="59">
        <v>25.9</v>
      </c>
      <c r="G12" s="59">
        <v>31.5</v>
      </c>
      <c r="H12" s="59">
        <v>100.1</v>
      </c>
      <c r="I12" s="59">
        <v>23.2</v>
      </c>
      <c r="J12" s="59">
        <v>33.6</v>
      </c>
      <c r="K12" s="59">
        <v>35.6</v>
      </c>
      <c r="L12" s="59">
        <v>36.4</v>
      </c>
      <c r="M12" s="59">
        <v>128.80000000000001</v>
      </c>
      <c r="N12" s="59">
        <v>28</v>
      </c>
      <c r="O12" s="59">
        <v>41.6</v>
      </c>
      <c r="P12" s="59">
        <v>30.1</v>
      </c>
      <c r="Q12" s="59">
        <v>13.8</v>
      </c>
      <c r="R12" s="59">
        <v>113.49999999999999</v>
      </c>
      <c r="S12" s="59">
        <v>28.9</v>
      </c>
      <c r="T12" s="59">
        <v>29.8</v>
      </c>
      <c r="U12" s="59">
        <v>29.1</v>
      </c>
      <c r="V12" s="59">
        <v>40.200000000000003</v>
      </c>
      <c r="W12" s="59">
        <v>128</v>
      </c>
      <c r="X12" s="59">
        <v>24.3</v>
      </c>
      <c r="Y12" s="60">
        <v>24.5</v>
      </c>
      <c r="Z12" s="59">
        <v>44.3</v>
      </c>
      <c r="AA12" s="59">
        <v>42.6</v>
      </c>
      <c r="AB12" s="59">
        <v>135.9</v>
      </c>
      <c r="AC12" s="59">
        <v>35.6</v>
      </c>
      <c r="AD12" s="60">
        <v>30.4</v>
      </c>
      <c r="AE12" s="60">
        <v>43.5</v>
      </c>
      <c r="AF12" s="60">
        <v>23.5</v>
      </c>
      <c r="AG12" s="59">
        <v>133.1</v>
      </c>
      <c r="AH12" s="60">
        <v>11.8</v>
      </c>
      <c r="AI12" s="60">
        <v>-1.4</v>
      </c>
      <c r="AJ12" s="61">
        <v>50</v>
      </c>
      <c r="AK12" s="61">
        <v>27.899999999999974</v>
      </c>
      <c r="AL12" s="61">
        <v>88.300000000000168</v>
      </c>
      <c r="AM12" s="61">
        <v>7.6</v>
      </c>
      <c r="AN12" s="61">
        <v>3.2</v>
      </c>
      <c r="AO12" s="61">
        <v>15.8</v>
      </c>
      <c r="AP12" s="61">
        <v>1.1000000000000001</v>
      </c>
      <c r="AQ12" s="61">
        <v>27.7</v>
      </c>
      <c r="AR12" s="61">
        <v>19.7</v>
      </c>
      <c r="AS12" s="61">
        <v>13.5</v>
      </c>
      <c r="AT12" s="61">
        <v>23.8</v>
      </c>
      <c r="AU12" s="61">
        <v>43.1</v>
      </c>
      <c r="AV12" s="61">
        <v>100.1</v>
      </c>
      <c r="AW12" s="61">
        <v>13.7</v>
      </c>
      <c r="AX12" s="61">
        <v>6.3</v>
      </c>
      <c r="AY12" s="61">
        <v>31.7</v>
      </c>
      <c r="AZ12" s="61">
        <v>35.5</v>
      </c>
      <c r="BA12" s="61">
        <v>87.2</v>
      </c>
      <c r="BB12" s="61">
        <v>2.1</v>
      </c>
      <c r="BC12" s="61">
        <v>-148.1</v>
      </c>
      <c r="BD12" s="61">
        <v>-2.4</v>
      </c>
      <c r="BE12" s="61">
        <v>-54</v>
      </c>
      <c r="BF12" s="61">
        <v>-202.39999999999998</v>
      </c>
      <c r="BG12" s="61">
        <v>-5</v>
      </c>
    </row>
    <row r="13" spans="1:59">
      <c r="A13" s="21"/>
      <c r="B13" s="63" t="s">
        <v>253</v>
      </c>
      <c r="C13" s="63" t="s">
        <v>649</v>
      </c>
      <c r="D13" s="66">
        <v>0.112</v>
      </c>
      <c r="E13" s="66">
        <v>0.122</v>
      </c>
      <c r="F13" s="66">
        <v>0.13300000000000001</v>
      </c>
      <c r="G13" s="66">
        <v>0.155</v>
      </c>
      <c r="H13" s="65">
        <f>H12/H9</f>
        <v>0.13226744186046513</v>
      </c>
      <c r="I13" s="66">
        <v>0.113</v>
      </c>
      <c r="J13" s="66">
        <v>0.158</v>
      </c>
      <c r="K13" s="66">
        <v>0.155</v>
      </c>
      <c r="L13" s="66">
        <v>0.16</v>
      </c>
      <c r="M13" s="65">
        <f>M12/M9</f>
        <v>0.14738528435747797</v>
      </c>
      <c r="N13" s="66">
        <v>0.128</v>
      </c>
      <c r="O13" s="66">
        <v>0.18099999999999999</v>
      </c>
      <c r="P13" s="66">
        <v>0.13500000000000001</v>
      </c>
      <c r="Q13" s="66">
        <v>6.0999999999999999E-2</v>
      </c>
      <c r="R13" s="65">
        <f>R12/R9</f>
        <v>0.12656110615521854</v>
      </c>
      <c r="S13" s="64">
        <v>0.107</v>
      </c>
      <c r="T13" s="64">
        <v>7.8E-2</v>
      </c>
      <c r="U13" s="64">
        <v>6.5000000000000002E-2</v>
      </c>
      <c r="V13" s="64">
        <v>8.4000000000000005E-2</v>
      </c>
      <c r="W13" s="65">
        <f>W12/W9</f>
        <v>0.10893617021276596</v>
      </c>
      <c r="X13" s="64">
        <v>8.1000000000000003E-2</v>
      </c>
      <c r="Y13" s="64">
        <v>8.3000000000000004E-2</v>
      </c>
      <c r="Z13" s="64">
        <v>0.129</v>
      </c>
      <c r="AA13" s="64">
        <v>0.11899999999999999</v>
      </c>
      <c r="AB13" s="64">
        <v>0.109</v>
      </c>
      <c r="AC13" s="64">
        <v>9.9000000000000005E-2</v>
      </c>
      <c r="AD13" s="64">
        <v>0.08</v>
      </c>
      <c r="AE13" s="64">
        <v>9.6000000000000002E-2</v>
      </c>
      <c r="AF13" s="64">
        <v>5.2999999999999999E-2</v>
      </c>
      <c r="AG13" s="64">
        <v>8.1000000000000003E-2</v>
      </c>
      <c r="AH13" s="64">
        <v>2.7000000000000003E-2</v>
      </c>
      <c r="AI13" s="64">
        <v>-3.0000000000000001E-3</v>
      </c>
      <c r="AJ13" s="64">
        <v>0.11700000000000001</v>
      </c>
      <c r="AK13" s="64">
        <v>6.6903140371528308E-2</v>
      </c>
      <c r="AL13" s="64">
        <v>5.1223422328876139E-2</v>
      </c>
      <c r="AM13" s="64">
        <v>2.1000000000000001E-2</v>
      </c>
      <c r="AN13" s="64">
        <v>8.0000000000000002E-3</v>
      </c>
      <c r="AO13" s="64">
        <v>3.8</v>
      </c>
      <c r="AP13" s="64">
        <v>3.0000000000000001E-3</v>
      </c>
      <c r="AQ13" s="64">
        <v>1.7999999999999999E-2</v>
      </c>
      <c r="AR13" s="64">
        <v>5.0999999999999997E-2</v>
      </c>
      <c r="AS13" s="64">
        <v>3.2000000000000001E-2</v>
      </c>
      <c r="AT13" s="64">
        <v>0.05</v>
      </c>
      <c r="AU13" s="64">
        <v>9.6000000000000002E-2</v>
      </c>
      <c r="AV13" s="64">
        <v>5.8000000000000003E-2</v>
      </c>
      <c r="AW13" s="64">
        <v>3.2000000000000001E-2</v>
      </c>
      <c r="AX13" s="64">
        <v>1.4E-2</v>
      </c>
      <c r="AY13" s="64">
        <v>5.6000000000000001E-2</v>
      </c>
      <c r="AZ13" s="64">
        <v>6.5000000000000002E-2</v>
      </c>
      <c r="BA13" s="64">
        <v>4.2999999999999997E-2</v>
      </c>
      <c r="BB13" s="67">
        <f>BB12/BB9</f>
        <v>4.5283995342217621E-3</v>
      </c>
      <c r="BC13" s="67">
        <v>-0.35699999999999998</v>
      </c>
      <c r="BD13" s="67">
        <v>-5.0000000000000001E-3</v>
      </c>
      <c r="BE13" s="67">
        <v>-0.10025016016275964</v>
      </c>
      <c r="BF13" s="67">
        <v>-0.10438087641888383</v>
      </c>
      <c r="BG13" s="67">
        <v>-1.0210332856851134E-2</v>
      </c>
    </row>
    <row r="14" spans="1:59">
      <c r="A14" s="21"/>
    </row>
    <row r="15" spans="1:59">
      <c r="A15" s="21"/>
      <c r="B15" s="57" t="s">
        <v>255</v>
      </c>
      <c r="C15" s="57" t="s">
        <v>651</v>
      </c>
    </row>
    <row r="16" spans="1:59">
      <c r="A16" s="21"/>
      <c r="B16" s="57" t="s">
        <v>256</v>
      </c>
      <c r="C16" s="57" t="s">
        <v>652</v>
      </c>
      <c r="D16" s="59">
        <v>25.9</v>
      </c>
      <c r="E16" s="59">
        <v>27.5</v>
      </c>
      <c r="F16" s="59">
        <v>31.4</v>
      </c>
      <c r="G16" s="59">
        <v>40.799999999999997</v>
      </c>
      <c r="H16" s="59">
        <v>125.6</v>
      </c>
      <c r="I16" s="59">
        <v>31.7</v>
      </c>
      <c r="J16" s="59">
        <v>34.6</v>
      </c>
      <c r="K16" s="59">
        <v>41.7</v>
      </c>
      <c r="L16" s="59">
        <v>37.4</v>
      </c>
      <c r="M16" s="59">
        <v>145.4</v>
      </c>
      <c r="N16" s="59">
        <v>23.3</v>
      </c>
      <c r="O16" s="59">
        <v>40.299999999999997</v>
      </c>
      <c r="P16" s="59">
        <v>27.4</v>
      </c>
      <c r="Q16" s="59">
        <v>11.8</v>
      </c>
      <c r="R16" s="59">
        <v>102.8</v>
      </c>
      <c r="S16" s="59">
        <v>26.4</v>
      </c>
      <c r="T16" s="61">
        <v>20.399999999999999</v>
      </c>
      <c r="U16" s="59">
        <v>21</v>
      </c>
      <c r="V16" s="59">
        <v>24.1</v>
      </c>
      <c r="W16" s="59">
        <v>91.9</v>
      </c>
      <c r="X16" s="59">
        <v>23.4</v>
      </c>
      <c r="Y16" s="60">
        <v>23.5</v>
      </c>
      <c r="Z16" s="59">
        <v>36.200000000000003</v>
      </c>
      <c r="AA16" s="59">
        <v>27</v>
      </c>
      <c r="AB16" s="59">
        <v>110.1</v>
      </c>
      <c r="AC16" s="59">
        <v>35.6</v>
      </c>
      <c r="AD16" s="60">
        <v>30.4</v>
      </c>
      <c r="AE16" s="60">
        <v>43.5</v>
      </c>
      <c r="AF16" s="60">
        <v>23.5</v>
      </c>
      <c r="AG16" s="59">
        <v>133.1</v>
      </c>
      <c r="AH16" s="60">
        <v>11.8</v>
      </c>
      <c r="AI16" s="60">
        <v>-1.4</v>
      </c>
      <c r="AJ16" s="61">
        <v>50</v>
      </c>
      <c r="AK16" s="60">
        <v>27.899999999999974</v>
      </c>
      <c r="AL16" s="60">
        <v>88.300000000000168</v>
      </c>
      <c r="AM16" s="60">
        <v>7.6</v>
      </c>
      <c r="AN16" s="60">
        <v>3.2</v>
      </c>
      <c r="AO16" s="60">
        <v>15.8</v>
      </c>
      <c r="AP16" s="60">
        <v>1.1000000000000001</v>
      </c>
      <c r="AQ16" s="60">
        <v>27.700000000000003</v>
      </c>
      <c r="AR16" s="60">
        <v>19.7</v>
      </c>
      <c r="AS16" s="60">
        <v>13.5</v>
      </c>
      <c r="AT16" s="60">
        <v>23.8</v>
      </c>
      <c r="AU16" s="60">
        <v>43.1</v>
      </c>
      <c r="AV16" s="60">
        <v>100.1</v>
      </c>
      <c r="AW16" s="60">
        <v>13.7</v>
      </c>
      <c r="AX16" s="60">
        <v>6.3</v>
      </c>
      <c r="AY16" s="60">
        <v>31.7</v>
      </c>
      <c r="AZ16" s="60">
        <v>2.6</v>
      </c>
      <c r="BA16" s="60">
        <v>54.3</v>
      </c>
      <c r="BB16" s="60">
        <v>2.1</v>
      </c>
      <c r="BC16" s="60">
        <v>-148.1</v>
      </c>
      <c r="BD16" s="60">
        <v>-2.4</v>
      </c>
      <c r="BE16" s="61">
        <v>-54</v>
      </c>
      <c r="BF16" s="60">
        <v>-202.4</v>
      </c>
      <c r="BG16" s="60">
        <v>-5</v>
      </c>
    </row>
    <row r="17" spans="1:59">
      <c r="A17" s="21"/>
      <c r="B17" s="28" t="s">
        <v>257</v>
      </c>
      <c r="C17" s="28" t="s">
        <v>653</v>
      </c>
      <c r="D17" s="58">
        <v>0</v>
      </c>
      <c r="E17" s="58">
        <v>0</v>
      </c>
      <c r="F17" s="58">
        <v>0</v>
      </c>
      <c r="G17" s="58">
        <v>0</v>
      </c>
      <c r="H17" s="58" t="s">
        <v>350</v>
      </c>
      <c r="I17" s="58">
        <v>0</v>
      </c>
      <c r="J17" s="58">
        <v>0</v>
      </c>
      <c r="K17" s="58">
        <v>0</v>
      </c>
      <c r="L17" s="58">
        <v>0</v>
      </c>
      <c r="M17" s="58" t="s">
        <v>350</v>
      </c>
      <c r="N17" s="58">
        <v>0</v>
      </c>
      <c r="O17" s="58">
        <v>0</v>
      </c>
      <c r="P17" s="58">
        <v>0</v>
      </c>
      <c r="Q17" s="58">
        <v>0</v>
      </c>
      <c r="R17" s="58" t="s">
        <v>350</v>
      </c>
      <c r="S17" s="58">
        <v>0</v>
      </c>
      <c r="T17" s="58">
        <v>0</v>
      </c>
      <c r="U17" s="58">
        <v>0</v>
      </c>
      <c r="V17" s="58">
        <v>0</v>
      </c>
      <c r="W17" s="58" t="s">
        <v>350</v>
      </c>
      <c r="X17" s="58">
        <v>0</v>
      </c>
      <c r="Y17" s="30">
        <v>0</v>
      </c>
      <c r="Z17" s="58">
        <v>0</v>
      </c>
      <c r="AA17" s="58">
        <v>0</v>
      </c>
      <c r="AB17" s="58" t="s">
        <v>350</v>
      </c>
      <c r="AC17" s="58">
        <v>0</v>
      </c>
      <c r="AD17" s="68">
        <v>0</v>
      </c>
      <c r="AE17" s="68">
        <v>0</v>
      </c>
      <c r="AF17" s="68">
        <v>0</v>
      </c>
      <c r="AG17" s="58" t="s">
        <v>350</v>
      </c>
      <c r="AH17" s="68">
        <v>0</v>
      </c>
      <c r="AI17" s="68">
        <v>-0.2</v>
      </c>
      <c r="AJ17" s="68">
        <v>0.1</v>
      </c>
      <c r="AK17" s="30">
        <v>-5</v>
      </c>
      <c r="AL17" s="30">
        <v>20.999999999999993</v>
      </c>
      <c r="AM17" s="68">
        <v>0.4</v>
      </c>
      <c r="AN17" s="68">
        <v>0.3</v>
      </c>
      <c r="AO17" s="68">
        <v>-0.4</v>
      </c>
      <c r="AP17" s="68">
        <v>-0.1</v>
      </c>
      <c r="AQ17" s="68">
        <v>9.9999999999999922E-2</v>
      </c>
      <c r="AR17" s="68">
        <v>0.6</v>
      </c>
      <c r="AS17" s="68">
        <v>0</v>
      </c>
      <c r="AT17" s="68">
        <v>0.4</v>
      </c>
      <c r="AU17" s="68">
        <v>-1</v>
      </c>
      <c r="AV17" s="58" t="s">
        <v>350</v>
      </c>
      <c r="AW17" s="68">
        <v>0.4</v>
      </c>
      <c r="AX17" s="68">
        <v>0.6</v>
      </c>
      <c r="AY17" s="68">
        <v>0.9</v>
      </c>
      <c r="AZ17" s="68">
        <v>-2.5</v>
      </c>
      <c r="BA17" s="68">
        <v>-0.6</v>
      </c>
      <c r="BB17" s="68">
        <v>-1.1000000000000001</v>
      </c>
      <c r="BC17" s="58" t="s">
        <v>350</v>
      </c>
      <c r="BD17" s="68">
        <v>2</v>
      </c>
      <c r="BE17" s="68">
        <v>-0.1</v>
      </c>
      <c r="BF17" s="68">
        <v>0.79999999999999993</v>
      </c>
      <c r="BG17" s="68">
        <v>2.2000000000000002</v>
      </c>
    </row>
    <row r="18" spans="1:59">
      <c r="A18" s="21"/>
      <c r="B18" s="28" t="s">
        <v>258</v>
      </c>
      <c r="C18" s="28" t="s">
        <v>654</v>
      </c>
      <c r="D18" s="58">
        <v>0</v>
      </c>
      <c r="E18" s="58">
        <v>0</v>
      </c>
      <c r="F18" s="58">
        <v>0</v>
      </c>
      <c r="G18" s="58">
        <v>0</v>
      </c>
      <c r="H18" s="58" t="s">
        <v>350</v>
      </c>
      <c r="I18" s="58">
        <v>0</v>
      </c>
      <c r="J18" s="58">
        <v>0</v>
      </c>
      <c r="K18" s="58">
        <v>0</v>
      </c>
      <c r="L18" s="58">
        <v>0</v>
      </c>
      <c r="M18" s="58" t="s">
        <v>350</v>
      </c>
      <c r="N18" s="58">
        <v>12.2</v>
      </c>
      <c r="O18" s="58">
        <v>9.9</v>
      </c>
      <c r="P18" s="58">
        <v>12.8</v>
      </c>
      <c r="Q18" s="58">
        <v>12.8</v>
      </c>
      <c r="R18" s="58">
        <v>47.7</v>
      </c>
      <c r="S18" s="58">
        <v>4.4000000000000004</v>
      </c>
      <c r="T18" s="58">
        <v>10.8</v>
      </c>
      <c r="U18" s="58">
        <v>1.1000000000000001</v>
      </c>
      <c r="V18" s="58">
        <v>12.2</v>
      </c>
      <c r="W18" s="58">
        <v>28.5</v>
      </c>
      <c r="X18" s="58">
        <v>8</v>
      </c>
      <c r="Y18" s="30">
        <v>6.8</v>
      </c>
      <c r="Z18" s="58">
        <v>16</v>
      </c>
      <c r="AA18" s="58">
        <v>8.5</v>
      </c>
      <c r="AB18" s="58">
        <v>39.299999999999997</v>
      </c>
      <c r="AC18" s="58">
        <v>17.8</v>
      </c>
      <c r="AD18" s="68">
        <v>6</v>
      </c>
      <c r="AE18" s="68">
        <v>24.3</v>
      </c>
      <c r="AF18" s="68">
        <v>-1.7</v>
      </c>
      <c r="AG18" s="58">
        <v>46.4</v>
      </c>
      <c r="AH18" s="68">
        <v>7.3</v>
      </c>
      <c r="AI18" s="68">
        <v>-2.1</v>
      </c>
      <c r="AJ18" s="68">
        <v>20.8</v>
      </c>
      <c r="AK18" s="30">
        <v>0.3</v>
      </c>
      <c r="AL18" s="30">
        <v>9.999999999999995E-2</v>
      </c>
      <c r="AM18" s="68">
        <v>-0.8</v>
      </c>
      <c r="AN18" s="68">
        <v>4.3</v>
      </c>
      <c r="AO18" s="68">
        <v>10.199999999999999</v>
      </c>
      <c r="AP18" s="68">
        <v>22.9</v>
      </c>
      <c r="AQ18" s="68">
        <v>36.6</v>
      </c>
      <c r="AR18" s="68">
        <v>11.9</v>
      </c>
      <c r="AS18" s="68">
        <v>9.4</v>
      </c>
      <c r="AT18" s="68">
        <v>11.2</v>
      </c>
      <c r="AU18" s="68">
        <v>-6.2</v>
      </c>
      <c r="AV18" s="68">
        <v>26.3</v>
      </c>
      <c r="AW18" s="68">
        <v>8.9</v>
      </c>
      <c r="AX18" s="68">
        <v>5</v>
      </c>
      <c r="AY18" s="68">
        <v>11.9</v>
      </c>
      <c r="AZ18" s="68">
        <v>-9.6999999999999993</v>
      </c>
      <c r="BA18" s="68">
        <v>16.100000000000001</v>
      </c>
      <c r="BB18" s="68">
        <v>7.4</v>
      </c>
      <c r="BC18" s="68">
        <v>-10.9</v>
      </c>
      <c r="BD18" s="68">
        <v>-2.4</v>
      </c>
      <c r="BE18" s="68">
        <v>13.100000000000001</v>
      </c>
      <c r="BF18" s="68">
        <v>7.2000000000000011</v>
      </c>
      <c r="BG18" s="68">
        <v>4.3</v>
      </c>
    </row>
    <row r="19" spans="1:59">
      <c r="A19" s="21"/>
      <c r="B19" s="28" t="s">
        <v>259</v>
      </c>
      <c r="C19" s="28" t="s">
        <v>655</v>
      </c>
      <c r="D19" s="58">
        <v>2.9</v>
      </c>
      <c r="E19" s="58">
        <v>3.7</v>
      </c>
      <c r="F19" s="58">
        <v>3.4</v>
      </c>
      <c r="G19" s="58">
        <v>2.1</v>
      </c>
      <c r="H19" s="58">
        <v>12.1</v>
      </c>
      <c r="I19" s="58">
        <v>3.6</v>
      </c>
      <c r="J19" s="58">
        <v>2.5</v>
      </c>
      <c r="K19" s="58">
        <v>2.9</v>
      </c>
      <c r="L19" s="58">
        <v>1.6</v>
      </c>
      <c r="M19" s="58">
        <v>10.6</v>
      </c>
      <c r="N19" s="58">
        <v>3.3</v>
      </c>
      <c r="O19" s="58">
        <v>1.1000000000000001</v>
      </c>
      <c r="P19" s="58">
        <v>3.8</v>
      </c>
      <c r="Q19" s="58">
        <v>3.4</v>
      </c>
      <c r="R19" s="58">
        <v>11.6</v>
      </c>
      <c r="S19" s="58">
        <v>6.8</v>
      </c>
      <c r="T19" s="58">
        <v>-7.2</v>
      </c>
      <c r="U19" s="58">
        <v>6.2</v>
      </c>
      <c r="V19" s="58">
        <v>7.2</v>
      </c>
      <c r="W19" s="58">
        <v>13</v>
      </c>
      <c r="X19" s="58">
        <v>10.3</v>
      </c>
      <c r="Y19" s="68">
        <v>8</v>
      </c>
      <c r="Z19" s="58">
        <v>2.2999999999999998</v>
      </c>
      <c r="AA19" s="58">
        <v>2.9</v>
      </c>
      <c r="AB19" s="58">
        <v>23.6</v>
      </c>
      <c r="AC19" s="58">
        <v>-5.6</v>
      </c>
      <c r="AD19" s="68">
        <v>12.1</v>
      </c>
      <c r="AE19" s="68">
        <v>-10.9</v>
      </c>
      <c r="AF19" s="68">
        <v>18.600000000000001</v>
      </c>
      <c r="AG19" s="58">
        <v>14.2</v>
      </c>
      <c r="AH19" s="68">
        <v>19.100000000000001</v>
      </c>
      <c r="AI19" s="68">
        <v>9.1</v>
      </c>
      <c r="AJ19" s="68">
        <v>12.1</v>
      </c>
      <c r="AK19" s="30">
        <v>5.5</v>
      </c>
      <c r="AL19" s="30">
        <v>45.800000000000004</v>
      </c>
      <c r="AM19" s="68">
        <v>1.9</v>
      </c>
      <c r="AN19" s="68">
        <v>14.1</v>
      </c>
      <c r="AO19" s="68">
        <v>7.9</v>
      </c>
      <c r="AP19" s="68">
        <v>5.3</v>
      </c>
      <c r="AQ19" s="68">
        <v>29.200000000000003</v>
      </c>
      <c r="AR19" s="68">
        <v>4.5</v>
      </c>
      <c r="AS19" s="68">
        <v>14.1</v>
      </c>
      <c r="AT19" s="68">
        <v>14.1</v>
      </c>
      <c r="AU19" s="68">
        <v>-5.6</v>
      </c>
      <c r="AV19" s="68">
        <v>26.2</v>
      </c>
      <c r="AW19" s="68">
        <v>10.7</v>
      </c>
      <c r="AX19" s="68">
        <v>18</v>
      </c>
      <c r="AY19" s="68">
        <v>16.3</v>
      </c>
      <c r="AZ19" s="68">
        <v>15.5</v>
      </c>
      <c r="BA19" s="68">
        <v>60.6</v>
      </c>
      <c r="BB19" s="68">
        <v>24</v>
      </c>
      <c r="BC19" s="68">
        <v>10.999999999999996</v>
      </c>
      <c r="BD19" s="68">
        <v>33.1</v>
      </c>
      <c r="BE19" s="68">
        <v>16.999999999999996</v>
      </c>
      <c r="BF19" s="68">
        <v>85.1</v>
      </c>
      <c r="BG19" s="68">
        <v>18.599999999999998</v>
      </c>
    </row>
    <row r="20" spans="1:59">
      <c r="A20" s="21"/>
      <c r="B20" s="28" t="s">
        <v>260</v>
      </c>
      <c r="C20" s="28" t="s">
        <v>656</v>
      </c>
      <c r="D20" s="58">
        <v>7.7</v>
      </c>
      <c r="E20" s="58">
        <v>7.9</v>
      </c>
      <c r="F20" s="58">
        <v>8.3000000000000007</v>
      </c>
      <c r="G20" s="58">
        <v>8.1</v>
      </c>
      <c r="H20" s="58">
        <v>32</v>
      </c>
      <c r="I20" s="58">
        <v>6.6</v>
      </c>
      <c r="J20" s="58">
        <v>6.7</v>
      </c>
      <c r="K20" s="58">
        <v>6.9</v>
      </c>
      <c r="L20" s="58">
        <v>6.9</v>
      </c>
      <c r="M20" s="58">
        <v>27.1</v>
      </c>
      <c r="N20" s="58">
        <v>6.7</v>
      </c>
      <c r="O20" s="58">
        <v>8.5</v>
      </c>
      <c r="P20" s="58">
        <v>8.8000000000000007</v>
      </c>
      <c r="Q20" s="58">
        <v>8.4</v>
      </c>
      <c r="R20" s="58">
        <v>32.4</v>
      </c>
      <c r="S20" s="58">
        <v>9.1</v>
      </c>
      <c r="T20" s="58">
        <v>14.7</v>
      </c>
      <c r="U20" s="58">
        <v>14.1</v>
      </c>
      <c r="V20" s="58">
        <v>13.2</v>
      </c>
      <c r="W20" s="58">
        <v>51.099999999999994</v>
      </c>
      <c r="X20" s="58">
        <v>13.7</v>
      </c>
      <c r="Y20" s="30">
        <v>15.6</v>
      </c>
      <c r="Z20" s="58">
        <v>15.3</v>
      </c>
      <c r="AA20" s="58">
        <v>19.2</v>
      </c>
      <c r="AB20" s="58">
        <v>63.9</v>
      </c>
      <c r="AC20" s="58">
        <v>18.3</v>
      </c>
      <c r="AD20" s="30">
        <v>20.8</v>
      </c>
      <c r="AE20" s="30">
        <v>21.6</v>
      </c>
      <c r="AF20" s="30">
        <v>27</v>
      </c>
      <c r="AG20" s="58">
        <v>87.4</v>
      </c>
      <c r="AH20" s="30">
        <v>28.9</v>
      </c>
      <c r="AI20" s="68">
        <v>27</v>
      </c>
      <c r="AJ20" s="68">
        <v>27</v>
      </c>
      <c r="AK20" s="30">
        <v>29.200000000000003</v>
      </c>
      <c r="AL20" s="30">
        <v>112.1</v>
      </c>
      <c r="AM20" s="30">
        <v>28.2</v>
      </c>
      <c r="AN20" s="30">
        <v>29.9</v>
      </c>
      <c r="AO20" s="30">
        <v>25.9</v>
      </c>
      <c r="AP20" s="30">
        <v>29</v>
      </c>
      <c r="AQ20" s="30">
        <v>113</v>
      </c>
      <c r="AR20" s="30">
        <v>28.8</v>
      </c>
      <c r="AS20" s="30">
        <v>31.3</v>
      </c>
      <c r="AT20" s="68">
        <v>28.000000000000004</v>
      </c>
      <c r="AU20" s="68">
        <v>29</v>
      </c>
      <c r="AV20" s="30">
        <v>117.1</v>
      </c>
      <c r="AW20" s="68">
        <v>32.799999999999997</v>
      </c>
      <c r="AX20" s="68">
        <v>34.299999999999997</v>
      </c>
      <c r="AY20" s="68">
        <v>34.1</v>
      </c>
      <c r="AZ20" s="68">
        <v>34.1</v>
      </c>
      <c r="BA20" s="68">
        <v>135.30000000000001</v>
      </c>
      <c r="BB20" s="68">
        <v>34.4</v>
      </c>
      <c r="BC20" s="68">
        <v>37.200000000000003</v>
      </c>
      <c r="BD20" s="68">
        <v>45</v>
      </c>
      <c r="BE20" s="68">
        <v>41.500000000000007</v>
      </c>
      <c r="BF20" s="68">
        <v>152.1</v>
      </c>
      <c r="BG20" s="68">
        <v>36.4</v>
      </c>
    </row>
    <row r="21" spans="1:59">
      <c r="A21" s="21"/>
      <c r="B21" s="28" t="s">
        <v>261</v>
      </c>
      <c r="C21" s="28" t="s">
        <v>657</v>
      </c>
      <c r="D21" s="58">
        <v>0</v>
      </c>
      <c r="E21" s="58">
        <v>0</v>
      </c>
      <c r="F21" s="58">
        <v>0.2</v>
      </c>
      <c r="G21" s="58">
        <v>0.4</v>
      </c>
      <c r="H21" s="58">
        <v>0.60000000000000009</v>
      </c>
      <c r="I21" s="58">
        <v>0.7</v>
      </c>
      <c r="J21" s="58">
        <v>0.8</v>
      </c>
      <c r="K21" s="58">
        <v>0.8</v>
      </c>
      <c r="L21" s="58">
        <v>1.5</v>
      </c>
      <c r="M21" s="58">
        <v>3.8</v>
      </c>
      <c r="N21" s="58">
        <v>0</v>
      </c>
      <c r="O21" s="58">
        <v>0</v>
      </c>
      <c r="P21" s="58">
        <v>0</v>
      </c>
      <c r="Q21" s="58">
        <v>0</v>
      </c>
      <c r="R21" s="58" t="s">
        <v>350</v>
      </c>
      <c r="S21" s="58" t="s">
        <v>350</v>
      </c>
      <c r="T21" s="58" t="s">
        <v>350</v>
      </c>
      <c r="U21" s="58" t="s">
        <v>350</v>
      </c>
      <c r="V21" s="58" t="s">
        <v>350</v>
      </c>
      <c r="W21" s="58" t="s">
        <v>350</v>
      </c>
      <c r="X21" s="58" t="s">
        <v>350</v>
      </c>
      <c r="Y21" s="58" t="s">
        <v>350</v>
      </c>
      <c r="Z21" s="58" t="s">
        <v>350</v>
      </c>
      <c r="AA21" s="58" t="s">
        <v>350</v>
      </c>
      <c r="AB21" s="58" t="s">
        <v>350</v>
      </c>
      <c r="AC21" s="58" t="s">
        <v>350</v>
      </c>
      <c r="AD21" s="58" t="s">
        <v>350</v>
      </c>
      <c r="AE21" s="58" t="s">
        <v>350</v>
      </c>
      <c r="AF21" s="58" t="s">
        <v>350</v>
      </c>
      <c r="AG21" s="58" t="s">
        <v>350</v>
      </c>
      <c r="AH21" s="58" t="s">
        <v>350</v>
      </c>
      <c r="AI21" s="58" t="s">
        <v>350</v>
      </c>
      <c r="AJ21" s="58" t="s">
        <v>350</v>
      </c>
      <c r="AK21" s="58" t="s">
        <v>350</v>
      </c>
      <c r="AL21" s="58" t="s">
        <v>350</v>
      </c>
      <c r="AM21" s="58" t="s">
        <v>350</v>
      </c>
      <c r="AN21" s="58" t="s">
        <v>350</v>
      </c>
      <c r="AO21" s="58" t="s">
        <v>350</v>
      </c>
      <c r="AP21" s="58" t="s">
        <v>350</v>
      </c>
      <c r="AQ21" s="58" t="s">
        <v>350</v>
      </c>
      <c r="AR21" s="58" t="s">
        <v>350</v>
      </c>
      <c r="AS21" s="58" t="s">
        <v>350</v>
      </c>
      <c r="AT21" s="58" t="s">
        <v>350</v>
      </c>
      <c r="AU21" s="58" t="s">
        <v>350</v>
      </c>
      <c r="AV21" s="58" t="s">
        <v>350</v>
      </c>
      <c r="AW21" s="58" t="s">
        <v>350</v>
      </c>
      <c r="AX21" s="58" t="s">
        <v>350</v>
      </c>
      <c r="AY21" s="58" t="s">
        <v>350</v>
      </c>
      <c r="AZ21" s="58" t="s">
        <v>350</v>
      </c>
      <c r="BA21" s="58" t="s">
        <v>350</v>
      </c>
      <c r="BB21" s="58" t="s">
        <v>350</v>
      </c>
      <c r="BC21" s="58" t="s">
        <v>350</v>
      </c>
      <c r="BD21" s="58" t="s">
        <v>350</v>
      </c>
      <c r="BE21" s="58" t="s">
        <v>350</v>
      </c>
      <c r="BF21" s="58" t="s">
        <v>350</v>
      </c>
      <c r="BG21" s="58" t="s">
        <v>350</v>
      </c>
    </row>
    <row r="22" spans="1:59">
      <c r="A22" s="21"/>
      <c r="B22" s="28" t="s">
        <v>262</v>
      </c>
      <c r="C22" s="28" t="s">
        <v>658</v>
      </c>
      <c r="D22" s="58">
        <v>0.5</v>
      </c>
      <c r="E22" s="58">
        <v>-0.1</v>
      </c>
      <c r="F22" s="58">
        <v>0.9</v>
      </c>
      <c r="G22" s="58">
        <v>0.8</v>
      </c>
      <c r="H22" s="58">
        <v>2.1</v>
      </c>
      <c r="I22" s="58">
        <v>0.3</v>
      </c>
      <c r="J22" s="58">
        <v>-0.1</v>
      </c>
      <c r="K22" s="58">
        <v>0.8</v>
      </c>
      <c r="L22" s="58">
        <v>2</v>
      </c>
      <c r="M22" s="58">
        <v>3</v>
      </c>
      <c r="N22" s="58">
        <v>0</v>
      </c>
      <c r="O22" s="58">
        <v>0</v>
      </c>
      <c r="P22" s="58">
        <v>0</v>
      </c>
      <c r="Q22" s="58">
        <v>0</v>
      </c>
      <c r="R22" s="58" t="s">
        <v>350</v>
      </c>
      <c r="S22" s="58" t="s">
        <v>350</v>
      </c>
      <c r="T22" s="58" t="s">
        <v>350</v>
      </c>
      <c r="U22" s="58" t="s">
        <v>350</v>
      </c>
      <c r="V22" s="58" t="s">
        <v>350</v>
      </c>
      <c r="W22" s="58" t="s">
        <v>350</v>
      </c>
      <c r="X22" s="58" t="s">
        <v>350</v>
      </c>
      <c r="Y22" s="58" t="s">
        <v>350</v>
      </c>
      <c r="Z22" s="58" t="s">
        <v>350</v>
      </c>
      <c r="AA22" s="58" t="s">
        <v>350</v>
      </c>
      <c r="AB22" s="58" t="s">
        <v>350</v>
      </c>
      <c r="AC22" s="58" t="s">
        <v>350</v>
      </c>
      <c r="AD22" s="58" t="s">
        <v>350</v>
      </c>
      <c r="AE22" s="58" t="s">
        <v>350</v>
      </c>
      <c r="AF22" s="58" t="s">
        <v>350</v>
      </c>
      <c r="AG22" s="58" t="s">
        <v>350</v>
      </c>
      <c r="AH22" s="58" t="s">
        <v>350</v>
      </c>
      <c r="AI22" s="58" t="s">
        <v>350</v>
      </c>
      <c r="AJ22" s="58" t="s">
        <v>350</v>
      </c>
      <c r="AK22" s="58" t="s">
        <v>350</v>
      </c>
      <c r="AL22" s="58" t="s">
        <v>350</v>
      </c>
      <c r="AM22" s="58" t="s">
        <v>350</v>
      </c>
      <c r="AN22" s="58" t="s">
        <v>350</v>
      </c>
      <c r="AO22" s="58" t="s">
        <v>350</v>
      </c>
      <c r="AP22" s="58" t="s">
        <v>350</v>
      </c>
      <c r="AQ22" s="58" t="s">
        <v>350</v>
      </c>
      <c r="AR22" s="58" t="s">
        <v>350</v>
      </c>
      <c r="AS22" s="58" t="s">
        <v>350</v>
      </c>
      <c r="AT22" s="58" t="s">
        <v>350</v>
      </c>
      <c r="AU22" s="58" t="s">
        <v>350</v>
      </c>
      <c r="AV22" s="58" t="s">
        <v>350</v>
      </c>
      <c r="AW22" s="58" t="s">
        <v>350</v>
      </c>
      <c r="AX22" s="58" t="s">
        <v>350</v>
      </c>
      <c r="AY22" s="58" t="s">
        <v>350</v>
      </c>
      <c r="AZ22" s="58" t="s">
        <v>350</v>
      </c>
      <c r="BA22" s="58" t="s">
        <v>350</v>
      </c>
      <c r="BB22" s="58" t="s">
        <v>350</v>
      </c>
      <c r="BC22" s="58" t="s">
        <v>350</v>
      </c>
      <c r="BD22" s="58" t="s">
        <v>350</v>
      </c>
      <c r="BE22" s="58" t="s">
        <v>350</v>
      </c>
      <c r="BF22" s="58" t="s">
        <v>350</v>
      </c>
      <c r="BG22" s="58" t="s">
        <v>350</v>
      </c>
    </row>
    <row r="23" spans="1:59">
      <c r="A23" s="21"/>
      <c r="B23" s="28" t="s">
        <v>263</v>
      </c>
      <c r="C23" s="28" t="s">
        <v>659</v>
      </c>
      <c r="D23" s="58">
        <v>0.5</v>
      </c>
      <c r="E23" s="58">
        <v>0</v>
      </c>
      <c r="F23" s="58">
        <v>0.6</v>
      </c>
      <c r="G23" s="58">
        <v>1.8</v>
      </c>
      <c r="H23" s="58">
        <v>2.9000000000000004</v>
      </c>
      <c r="I23" s="58">
        <v>0</v>
      </c>
      <c r="J23" s="58">
        <v>0</v>
      </c>
      <c r="K23" s="58">
        <v>0</v>
      </c>
      <c r="L23" s="58">
        <v>0</v>
      </c>
      <c r="M23" s="58" t="s">
        <v>350</v>
      </c>
      <c r="N23" s="58">
        <v>0</v>
      </c>
      <c r="O23" s="58">
        <v>0</v>
      </c>
      <c r="P23" s="58">
        <v>0</v>
      </c>
      <c r="Q23" s="58">
        <v>0</v>
      </c>
      <c r="R23" s="58" t="s">
        <v>350</v>
      </c>
      <c r="S23" s="58" t="s">
        <v>350</v>
      </c>
      <c r="T23" s="58" t="s">
        <v>350</v>
      </c>
      <c r="U23" s="58" t="s">
        <v>350</v>
      </c>
      <c r="V23" s="58" t="s">
        <v>350</v>
      </c>
      <c r="W23" s="58" t="s">
        <v>350</v>
      </c>
      <c r="X23" s="58" t="s">
        <v>350</v>
      </c>
      <c r="Y23" s="58" t="s">
        <v>350</v>
      </c>
      <c r="Z23" s="58" t="s">
        <v>350</v>
      </c>
      <c r="AA23" s="58" t="s">
        <v>350</v>
      </c>
      <c r="AB23" s="58" t="s">
        <v>350</v>
      </c>
      <c r="AC23" s="58" t="s">
        <v>350</v>
      </c>
      <c r="AD23" s="58" t="s">
        <v>350</v>
      </c>
      <c r="AE23" s="58" t="s">
        <v>350</v>
      </c>
      <c r="AF23" s="58" t="s">
        <v>350</v>
      </c>
      <c r="AG23" s="58" t="s">
        <v>350</v>
      </c>
      <c r="AH23" s="58" t="s">
        <v>350</v>
      </c>
      <c r="AI23" s="58" t="s">
        <v>350</v>
      </c>
      <c r="AJ23" s="58" t="s">
        <v>350</v>
      </c>
      <c r="AK23" s="58" t="s">
        <v>350</v>
      </c>
      <c r="AL23" s="58" t="s">
        <v>350</v>
      </c>
      <c r="AM23" s="58" t="s">
        <v>350</v>
      </c>
      <c r="AN23" s="58" t="s">
        <v>350</v>
      </c>
      <c r="AO23" s="58" t="s">
        <v>350</v>
      </c>
      <c r="AP23" s="58" t="s">
        <v>350</v>
      </c>
      <c r="AQ23" s="58" t="s">
        <v>350</v>
      </c>
      <c r="AR23" s="58" t="s">
        <v>350</v>
      </c>
      <c r="AS23" s="58" t="s">
        <v>350</v>
      </c>
      <c r="AT23" s="58" t="s">
        <v>350</v>
      </c>
      <c r="AU23" s="58" t="s">
        <v>350</v>
      </c>
      <c r="AV23" s="58" t="s">
        <v>350</v>
      </c>
      <c r="AW23" s="58" t="s">
        <v>350</v>
      </c>
      <c r="AX23" s="58" t="s">
        <v>350</v>
      </c>
      <c r="AY23" s="58" t="s">
        <v>350</v>
      </c>
      <c r="AZ23" s="58" t="s">
        <v>350</v>
      </c>
      <c r="BA23" s="58" t="s">
        <v>350</v>
      </c>
      <c r="BB23" s="58" t="s">
        <v>350</v>
      </c>
      <c r="BC23" s="58" t="s">
        <v>350</v>
      </c>
      <c r="BD23" s="58" t="s">
        <v>350</v>
      </c>
      <c r="BE23" s="58" t="s">
        <v>350</v>
      </c>
      <c r="BF23" s="58" t="s">
        <v>350</v>
      </c>
      <c r="BG23" s="58" t="s">
        <v>350</v>
      </c>
    </row>
    <row r="24" spans="1:59">
      <c r="A24" s="21"/>
    </row>
    <row r="25" spans="1:59">
      <c r="A25" s="21"/>
      <c r="B25" s="57" t="s">
        <v>264</v>
      </c>
      <c r="C25" s="57" t="s">
        <v>264</v>
      </c>
      <c r="D25" s="59">
        <v>37.5</v>
      </c>
      <c r="E25" s="59">
        <f>SUM(E16:E23)</f>
        <v>39</v>
      </c>
      <c r="F25" s="59">
        <f>SUM(F16:F23)</f>
        <v>44.8</v>
      </c>
      <c r="G25" s="59">
        <f>SUM(G16:G23)</f>
        <v>53.999999999999993</v>
      </c>
      <c r="H25" s="59">
        <v>175.29999999999998</v>
      </c>
      <c r="I25" s="59">
        <v>42.9</v>
      </c>
      <c r="J25" s="59">
        <v>44.5</v>
      </c>
      <c r="K25" s="59">
        <v>53.1</v>
      </c>
      <c r="L25" s="59">
        <v>49.4</v>
      </c>
      <c r="M25" s="59">
        <v>189.9</v>
      </c>
      <c r="N25" s="59">
        <v>45.5</v>
      </c>
      <c r="O25" s="59">
        <v>59.8</v>
      </c>
      <c r="P25" s="59">
        <v>52.7</v>
      </c>
      <c r="Q25" s="59">
        <v>36.4</v>
      </c>
      <c r="R25" s="59">
        <v>194.5</v>
      </c>
      <c r="S25" s="59">
        <v>46.7</v>
      </c>
      <c r="T25" s="59">
        <v>38.700000000000003</v>
      </c>
      <c r="U25" s="59">
        <v>42.4</v>
      </c>
      <c r="V25" s="59">
        <v>56.6</v>
      </c>
      <c r="W25" s="59">
        <v>184.4</v>
      </c>
      <c r="X25" s="59">
        <v>55.400000000000006</v>
      </c>
      <c r="Y25" s="60">
        <v>53.9</v>
      </c>
      <c r="Z25" s="60">
        <v>69.8</v>
      </c>
      <c r="AA25" s="60">
        <v>57.6</v>
      </c>
      <c r="AB25" s="60">
        <v>236.9</v>
      </c>
      <c r="AC25" s="60">
        <v>66.099999999999994</v>
      </c>
      <c r="AD25" s="60">
        <v>69.3</v>
      </c>
      <c r="AE25" s="60">
        <v>78.5</v>
      </c>
      <c r="AF25" s="60">
        <v>67.400000000000006</v>
      </c>
      <c r="AG25" s="60">
        <v>281.10000000000002</v>
      </c>
      <c r="AH25" s="60">
        <v>67.099999999999994</v>
      </c>
      <c r="AI25" s="60">
        <v>32.4</v>
      </c>
      <c r="AJ25" s="61">
        <v>110</v>
      </c>
      <c r="AK25" s="60">
        <v>57.900000000000006</v>
      </c>
      <c r="AL25" s="60">
        <v>267.29999999999995</v>
      </c>
      <c r="AM25" s="60">
        <v>37.299999999999997</v>
      </c>
      <c r="AN25" s="60">
        <v>51.8</v>
      </c>
      <c r="AO25" s="60">
        <v>59.4</v>
      </c>
      <c r="AP25" s="60">
        <f>SUM(AP16:AP23)</f>
        <v>58.2</v>
      </c>
      <c r="AQ25" s="60">
        <f>SUM(AQ16:AQ23)</f>
        <v>206.60000000000002</v>
      </c>
      <c r="AR25" s="60">
        <f>SUM(AR16:AR23)</f>
        <v>65.5</v>
      </c>
      <c r="AS25" s="60">
        <f>SUM(AS16:AS23)</f>
        <v>68.3</v>
      </c>
      <c r="AT25" s="60">
        <v>76.7</v>
      </c>
      <c r="AU25" s="60">
        <v>59.3</v>
      </c>
      <c r="AV25" s="60">
        <f>SUM(AV16:AV23)</f>
        <v>269.7</v>
      </c>
      <c r="AW25" s="60">
        <f>SUM(AW16:AW23)</f>
        <v>66.5</v>
      </c>
      <c r="AX25" s="60">
        <f>SUM(AX16:AX23)</f>
        <v>64.199999999999989</v>
      </c>
      <c r="AY25" s="60">
        <f>SUM(AY16:AY23)</f>
        <v>94.9</v>
      </c>
      <c r="AZ25" s="61">
        <v>40</v>
      </c>
      <c r="BA25" s="61">
        <v>265.7</v>
      </c>
      <c r="BB25" s="61">
        <v>66.8</v>
      </c>
      <c r="BC25" s="61">
        <v>-110.8</v>
      </c>
      <c r="BD25" s="61">
        <v>75.3</v>
      </c>
      <c r="BE25" s="61">
        <v>17.500000000000004</v>
      </c>
      <c r="BF25" s="61">
        <v>42.799999999999983</v>
      </c>
      <c r="BG25" s="61">
        <v>56.5</v>
      </c>
    </row>
    <row r="26" spans="1:59">
      <c r="A26" s="21"/>
      <c r="B26" s="28" t="s">
        <v>262</v>
      </c>
      <c r="C26" s="28" t="s">
        <v>658</v>
      </c>
      <c r="D26" s="58">
        <v>0</v>
      </c>
      <c r="E26" s="58">
        <v>0</v>
      </c>
      <c r="F26" s="58">
        <v>0</v>
      </c>
      <c r="G26" s="58">
        <v>0</v>
      </c>
      <c r="H26" s="58" t="s">
        <v>350</v>
      </c>
      <c r="I26" s="58">
        <v>0</v>
      </c>
      <c r="J26" s="58">
        <v>0</v>
      </c>
      <c r="K26" s="58">
        <v>0</v>
      </c>
      <c r="L26" s="58">
        <v>0</v>
      </c>
      <c r="M26" s="58" t="s">
        <v>350</v>
      </c>
      <c r="N26" s="58">
        <v>0.5</v>
      </c>
      <c r="O26" s="58">
        <v>-2.2000000000000002</v>
      </c>
      <c r="P26" s="58">
        <v>1.7</v>
      </c>
      <c r="Q26" s="58">
        <v>16.8</v>
      </c>
      <c r="R26" s="58">
        <v>16.8</v>
      </c>
      <c r="S26" s="58">
        <v>0.9</v>
      </c>
      <c r="T26" s="58">
        <v>4.5999999999999996</v>
      </c>
      <c r="U26" s="58">
        <v>25.8</v>
      </c>
      <c r="V26" s="58">
        <v>6.1</v>
      </c>
      <c r="W26" s="58">
        <v>37.4</v>
      </c>
      <c r="X26" s="58">
        <v>0.6</v>
      </c>
      <c r="Y26" s="30">
        <v>1.2</v>
      </c>
      <c r="Z26" s="58">
        <v>1.4</v>
      </c>
      <c r="AA26" s="58">
        <v>11.5</v>
      </c>
      <c r="AB26" s="58">
        <v>14.7</v>
      </c>
      <c r="AC26" s="58">
        <v>1.7</v>
      </c>
      <c r="AD26" s="30">
        <v>7.6</v>
      </c>
      <c r="AE26" s="30">
        <v>3.8</v>
      </c>
      <c r="AF26" s="30">
        <v>13</v>
      </c>
      <c r="AG26" s="58">
        <v>26.1</v>
      </c>
      <c r="AH26" s="58">
        <v>6.4</v>
      </c>
      <c r="AI26" s="58">
        <v>42.3</v>
      </c>
      <c r="AJ26" s="58">
        <v>-30.7</v>
      </c>
      <c r="AK26" s="58">
        <v>9.9</v>
      </c>
      <c r="AL26" s="58">
        <v>27.999999999999993</v>
      </c>
      <c r="AM26" s="58">
        <v>17.2</v>
      </c>
      <c r="AN26" s="58">
        <v>12.7</v>
      </c>
      <c r="AO26" s="58">
        <v>14.1</v>
      </c>
      <c r="AP26" s="58">
        <v>10.9</v>
      </c>
      <c r="AQ26" s="58">
        <v>54.9</v>
      </c>
      <c r="AR26" s="58">
        <v>11.7</v>
      </c>
      <c r="AS26" s="58">
        <v>12.7</v>
      </c>
      <c r="AT26" s="58">
        <v>4.7</v>
      </c>
      <c r="AU26" s="58">
        <v>16.899999999999999</v>
      </c>
      <c r="AV26" s="58">
        <v>46</v>
      </c>
      <c r="AW26" s="68">
        <v>4.4000000000000004</v>
      </c>
      <c r="AX26" s="68">
        <v>2.8</v>
      </c>
      <c r="AY26" s="68">
        <v>6.9</v>
      </c>
      <c r="AZ26" s="68">
        <v>47.5</v>
      </c>
      <c r="BA26" s="68">
        <v>61.6</v>
      </c>
      <c r="BB26" s="68">
        <v>-2.6</v>
      </c>
      <c r="BC26" s="68">
        <v>130.9</v>
      </c>
      <c r="BD26" s="68">
        <v>11.3</v>
      </c>
      <c r="BE26" s="68">
        <v>39.5</v>
      </c>
      <c r="BF26" s="68">
        <v>179.10000000000002</v>
      </c>
      <c r="BG26" s="68">
        <v>10.4</v>
      </c>
    </row>
    <row r="27" spans="1:59">
      <c r="A27" s="21"/>
      <c r="B27" s="28" t="s">
        <v>265</v>
      </c>
      <c r="C27" s="28" t="s">
        <v>660</v>
      </c>
      <c r="D27" s="58">
        <v>0</v>
      </c>
      <c r="E27" s="58">
        <v>0</v>
      </c>
      <c r="F27" s="58">
        <v>0</v>
      </c>
      <c r="G27" s="58">
        <v>0</v>
      </c>
      <c r="H27" s="58" t="s">
        <v>350</v>
      </c>
      <c r="I27" s="58">
        <v>0.5</v>
      </c>
      <c r="J27" s="58">
        <v>0.4</v>
      </c>
      <c r="K27" s="58">
        <v>0</v>
      </c>
      <c r="L27" s="58">
        <v>0.4</v>
      </c>
      <c r="M27" s="58">
        <v>1.3</v>
      </c>
      <c r="N27" s="58">
        <v>0.2</v>
      </c>
      <c r="O27" s="58">
        <v>-1.4</v>
      </c>
      <c r="P27" s="58">
        <v>-1</v>
      </c>
      <c r="Q27" s="58">
        <v>0.3</v>
      </c>
      <c r="R27" s="58">
        <v>-1.9000000000000001</v>
      </c>
      <c r="S27" s="58">
        <v>1.2</v>
      </c>
      <c r="T27" s="58">
        <v>-3.5</v>
      </c>
      <c r="U27" s="58">
        <v>-1</v>
      </c>
      <c r="V27" s="58">
        <v>-0.5</v>
      </c>
      <c r="W27" s="58">
        <v>-3.8</v>
      </c>
      <c r="X27" s="58">
        <v>-1.1000000000000001</v>
      </c>
      <c r="Y27" s="30">
        <v>-1.5</v>
      </c>
      <c r="Z27" s="58">
        <v>-1.2</v>
      </c>
      <c r="AA27" s="58">
        <v>-2.8</v>
      </c>
      <c r="AB27" s="58">
        <v>-6.7</v>
      </c>
      <c r="AC27" s="58">
        <v>-0.4</v>
      </c>
      <c r="AD27" s="30">
        <v>-2.8</v>
      </c>
      <c r="AE27" s="30">
        <v>-1.1000000000000001</v>
      </c>
      <c r="AF27" s="30">
        <v>-1.2</v>
      </c>
      <c r="AG27" s="58">
        <v>-5.3</v>
      </c>
      <c r="AH27" s="58">
        <v>-5.7</v>
      </c>
      <c r="AI27" s="58">
        <v>-4.4000000000000004</v>
      </c>
      <c r="AJ27" s="58">
        <v>-4</v>
      </c>
      <c r="AK27" s="58">
        <v>-5.0000000000000036</v>
      </c>
      <c r="AL27" s="58">
        <v>-19.099999999999994</v>
      </c>
      <c r="AM27" s="58">
        <v>-4.0999999999999996</v>
      </c>
      <c r="AN27" s="58">
        <v>-4.2</v>
      </c>
      <c r="AO27" s="58">
        <v>-4.5999999999999996</v>
      </c>
      <c r="AP27" s="58">
        <v>-4.2745723307102992</v>
      </c>
      <c r="AQ27" s="58">
        <v>-17.2292814755526</v>
      </c>
      <c r="AR27" s="58">
        <v>-4.2</v>
      </c>
      <c r="AS27" s="58">
        <v>-5</v>
      </c>
      <c r="AT27" s="58">
        <v>-1.1221639307668041</v>
      </c>
      <c r="AU27" s="58">
        <v>-3</v>
      </c>
      <c r="AV27" s="58">
        <v>-13.4</v>
      </c>
      <c r="AW27" s="68">
        <v>-4</v>
      </c>
      <c r="AX27" s="68">
        <v>-3.9</v>
      </c>
      <c r="AY27" s="68">
        <v>-4.2</v>
      </c>
      <c r="AZ27" s="68">
        <v>-3.7</v>
      </c>
      <c r="BA27" s="68">
        <v>-15.9</v>
      </c>
      <c r="BB27" s="68">
        <v>-4.2</v>
      </c>
      <c r="BC27" s="68">
        <v>-4.3</v>
      </c>
      <c r="BD27" s="68">
        <v>-11.4</v>
      </c>
      <c r="BE27" s="68">
        <v>-4.5561734057447083</v>
      </c>
      <c r="BF27" s="68">
        <v>-18.630426023430402</v>
      </c>
      <c r="BG27" s="68">
        <v>-5.9144157577885998</v>
      </c>
    </row>
    <row r="28" spans="1:59">
      <c r="A28" s="21"/>
      <c r="B28" s="17" t="s">
        <v>266</v>
      </c>
      <c r="C28" s="17" t="s">
        <v>661</v>
      </c>
      <c r="D28" s="58">
        <v>0</v>
      </c>
      <c r="E28" s="58">
        <v>0</v>
      </c>
      <c r="F28" s="58">
        <v>0</v>
      </c>
      <c r="G28" s="58">
        <v>0</v>
      </c>
      <c r="H28" s="58" t="s">
        <v>350</v>
      </c>
      <c r="I28" s="58">
        <v>-0.3</v>
      </c>
      <c r="J28" s="58">
        <v>-0.4</v>
      </c>
      <c r="K28" s="58">
        <v>-0.4</v>
      </c>
      <c r="L28" s="58">
        <v>-1</v>
      </c>
      <c r="M28" s="58">
        <v>-2.1</v>
      </c>
      <c r="N28" s="58">
        <v>1.2</v>
      </c>
      <c r="O28" s="58">
        <v>2.2000000000000002</v>
      </c>
      <c r="P28" s="58">
        <v>0.8</v>
      </c>
      <c r="Q28" s="58">
        <v>2.8</v>
      </c>
      <c r="R28" s="58">
        <v>7</v>
      </c>
      <c r="S28" s="58">
        <v>0.8</v>
      </c>
      <c r="T28" s="58">
        <v>2.4</v>
      </c>
      <c r="U28" s="58">
        <v>0.1</v>
      </c>
      <c r="V28" s="58">
        <v>1.5</v>
      </c>
      <c r="W28" s="58">
        <v>4.8000000000000007</v>
      </c>
      <c r="X28" s="58">
        <v>1.6</v>
      </c>
      <c r="Y28" s="30">
        <v>2.1</v>
      </c>
      <c r="Z28" s="58">
        <v>8.3000000000000007</v>
      </c>
      <c r="AA28" s="58">
        <v>10</v>
      </c>
      <c r="AB28" s="58">
        <v>21.8</v>
      </c>
      <c r="AC28" s="58">
        <v>1.3</v>
      </c>
      <c r="AD28" s="30">
        <v>1.2</v>
      </c>
      <c r="AE28" s="30">
        <v>1</v>
      </c>
      <c r="AF28" s="30">
        <v>1.8</v>
      </c>
      <c r="AG28" s="58">
        <v>5.3</v>
      </c>
      <c r="AH28" s="58">
        <v>1.3</v>
      </c>
      <c r="AI28" s="58">
        <v>1.4</v>
      </c>
      <c r="AJ28" s="58">
        <v>0</v>
      </c>
      <c r="AK28" s="58">
        <v>0</v>
      </c>
      <c r="AL28" s="58">
        <v>2.7</v>
      </c>
      <c r="AM28" s="58">
        <v>0</v>
      </c>
      <c r="AN28" s="58">
        <v>0</v>
      </c>
      <c r="AO28" s="58">
        <v>0.3</v>
      </c>
      <c r="AP28" s="58">
        <v>1.3</v>
      </c>
      <c r="AQ28" s="58">
        <v>1.6</v>
      </c>
      <c r="AR28" s="58">
        <v>0</v>
      </c>
      <c r="AS28" s="58">
        <v>1.2</v>
      </c>
      <c r="AT28" s="58">
        <v>0.8</v>
      </c>
      <c r="AU28" s="58">
        <v>0.6</v>
      </c>
      <c r="AV28" s="58">
        <v>2.7</v>
      </c>
      <c r="AW28" s="68">
        <v>0.2</v>
      </c>
      <c r="AX28" s="68">
        <v>0.5</v>
      </c>
      <c r="AY28" s="68" t="s">
        <v>350</v>
      </c>
      <c r="AZ28" s="68">
        <v>-3.1</v>
      </c>
      <c r="BA28" s="68">
        <v>-2.4</v>
      </c>
      <c r="BB28" s="68">
        <v>0.2</v>
      </c>
      <c r="BC28" s="68">
        <v>1.7</v>
      </c>
      <c r="BD28" s="68">
        <v>-0.7</v>
      </c>
      <c r="BE28" s="68">
        <v>-2</v>
      </c>
      <c r="BF28" s="68">
        <v>-0.8</v>
      </c>
      <c r="BG28" s="68" t="s">
        <v>350</v>
      </c>
    </row>
    <row r="29" spans="1:59">
      <c r="A29" s="21"/>
      <c r="B29" s="28" t="s">
        <v>263</v>
      </c>
      <c r="C29" s="28" t="s">
        <v>659</v>
      </c>
      <c r="D29" s="58">
        <v>0</v>
      </c>
      <c r="E29" s="58">
        <v>0</v>
      </c>
      <c r="F29" s="58">
        <v>0</v>
      </c>
      <c r="G29" s="58">
        <v>0</v>
      </c>
      <c r="H29" s="58" t="s">
        <v>350</v>
      </c>
      <c r="I29" s="58">
        <v>0</v>
      </c>
      <c r="J29" s="58">
        <v>1.1000000000000001</v>
      </c>
      <c r="K29" s="58">
        <v>2.8</v>
      </c>
      <c r="L29" s="58">
        <v>7.4</v>
      </c>
      <c r="M29" s="58">
        <v>11.3</v>
      </c>
      <c r="N29" s="58">
        <v>4.8</v>
      </c>
      <c r="O29" s="58">
        <v>0</v>
      </c>
      <c r="P29" s="58">
        <v>0</v>
      </c>
      <c r="Q29" s="58">
        <v>0</v>
      </c>
      <c r="R29" s="58">
        <v>4.8</v>
      </c>
      <c r="S29" s="58">
        <v>0.4</v>
      </c>
      <c r="T29" s="58">
        <v>-1.8</v>
      </c>
      <c r="U29" s="58">
        <v>-0.2</v>
      </c>
      <c r="V29" s="58">
        <v>1.6</v>
      </c>
      <c r="W29" s="58" t="s">
        <v>350</v>
      </c>
      <c r="X29" s="58">
        <v>0</v>
      </c>
      <c r="Y29" s="30">
        <v>0</v>
      </c>
      <c r="Z29" s="58">
        <v>0</v>
      </c>
      <c r="AA29" s="58">
        <v>0</v>
      </c>
      <c r="AB29" s="58" t="s">
        <v>350</v>
      </c>
      <c r="AC29" s="58">
        <v>0</v>
      </c>
      <c r="AD29" s="30">
        <v>0</v>
      </c>
      <c r="AE29" s="30">
        <v>0</v>
      </c>
      <c r="AF29" s="30">
        <v>0</v>
      </c>
      <c r="AG29" s="58" t="s">
        <v>350</v>
      </c>
      <c r="AH29" s="58">
        <v>0</v>
      </c>
      <c r="AI29" s="58">
        <v>0</v>
      </c>
      <c r="AJ29" s="58">
        <v>0</v>
      </c>
      <c r="AK29" s="58">
        <v>0</v>
      </c>
      <c r="AL29" s="58" t="s">
        <v>350</v>
      </c>
      <c r="AM29" s="58">
        <v>0</v>
      </c>
      <c r="AN29" s="58">
        <v>0</v>
      </c>
      <c r="AO29" s="58">
        <v>0</v>
      </c>
      <c r="AP29" s="58">
        <v>0</v>
      </c>
      <c r="AQ29" s="58" t="s">
        <v>350</v>
      </c>
      <c r="AR29" s="58">
        <v>0</v>
      </c>
      <c r="AS29" s="58">
        <v>0</v>
      </c>
      <c r="AT29" s="58">
        <v>0</v>
      </c>
      <c r="AU29" s="58">
        <v>0</v>
      </c>
      <c r="AV29" s="58" t="s">
        <v>350</v>
      </c>
      <c r="AW29" s="68" t="s">
        <v>350</v>
      </c>
      <c r="AX29" s="68" t="s">
        <v>350</v>
      </c>
      <c r="AY29" s="68" t="s">
        <v>350</v>
      </c>
      <c r="AZ29" s="68" t="s">
        <v>350</v>
      </c>
      <c r="BA29" s="68" t="s">
        <v>350</v>
      </c>
      <c r="BB29" s="68" t="s">
        <v>350</v>
      </c>
      <c r="BC29" s="68" t="s">
        <v>350</v>
      </c>
      <c r="BD29" s="68" t="s">
        <v>350</v>
      </c>
      <c r="BE29" s="68" t="s">
        <v>350</v>
      </c>
      <c r="BF29" s="68" t="s">
        <v>350</v>
      </c>
      <c r="BG29" s="68" t="s">
        <v>350</v>
      </c>
    </row>
    <row r="30" spans="1:59">
      <c r="A30" s="21"/>
      <c r="B30" s="57" t="s">
        <v>252</v>
      </c>
      <c r="C30" s="57" t="s">
        <v>648</v>
      </c>
      <c r="D30" s="59">
        <f>SUM(D25:D29)</f>
        <v>37.5</v>
      </c>
      <c r="E30" s="59">
        <f>SUM(E25:E29)</f>
        <v>39</v>
      </c>
      <c r="F30" s="59">
        <f>SUM(F25:F29)</f>
        <v>44.8</v>
      </c>
      <c r="G30" s="59">
        <f>SUM(G25:G29)</f>
        <v>53.999999999999993</v>
      </c>
      <c r="H30" s="59">
        <v>175.29999999999998</v>
      </c>
      <c r="I30" s="59">
        <v>43.1</v>
      </c>
      <c r="J30" s="59">
        <v>45.6</v>
      </c>
      <c r="K30" s="59">
        <v>55.599999999999994</v>
      </c>
      <c r="L30" s="59">
        <v>56.199999999999996</v>
      </c>
      <c r="M30" s="59">
        <v>200.4</v>
      </c>
      <c r="N30" s="59">
        <v>52.2</v>
      </c>
      <c r="O30" s="59">
        <v>58.6</v>
      </c>
      <c r="P30" s="59">
        <v>54.2</v>
      </c>
      <c r="Q30" s="59">
        <v>56.3</v>
      </c>
      <c r="R30" s="59">
        <v>221.3</v>
      </c>
      <c r="S30" s="59">
        <v>50</v>
      </c>
      <c r="T30" s="59">
        <v>40.4</v>
      </c>
      <c r="U30" s="59">
        <v>67.099999999999994</v>
      </c>
      <c r="V30" s="59">
        <v>65.3</v>
      </c>
      <c r="W30" s="59">
        <v>222.8</v>
      </c>
      <c r="X30" s="59">
        <v>56.500000000000007</v>
      </c>
      <c r="Y30" s="59">
        <v>55.7</v>
      </c>
      <c r="Z30" s="59">
        <v>78.3</v>
      </c>
      <c r="AA30" s="59">
        <v>76.3</v>
      </c>
      <c r="AB30" s="59">
        <v>266.7</v>
      </c>
      <c r="AC30" s="59">
        <v>68.7</v>
      </c>
      <c r="AD30" s="59">
        <v>75.3</v>
      </c>
      <c r="AE30" s="59">
        <v>82.2</v>
      </c>
      <c r="AF30" s="59">
        <v>81</v>
      </c>
      <c r="AG30" s="59">
        <v>307.2</v>
      </c>
      <c r="AH30" s="59">
        <v>69.099999999999994</v>
      </c>
      <c r="AI30" s="59">
        <v>71.7</v>
      </c>
      <c r="AJ30" s="59">
        <v>75.3</v>
      </c>
      <c r="AK30" s="59">
        <v>62.800000000000011</v>
      </c>
      <c r="AL30" s="59">
        <v>278.89999999999992</v>
      </c>
      <c r="AM30" s="59">
        <v>50.4</v>
      </c>
      <c r="AN30" s="59">
        <v>60.3</v>
      </c>
      <c r="AO30" s="59">
        <v>69.2</v>
      </c>
      <c r="AP30" s="59">
        <f>SUM(AP25:AP29)</f>
        <v>66.125427669289707</v>
      </c>
      <c r="AQ30" s="59">
        <f>SUM(AQ25:AQ29)</f>
        <v>245.8707185244474</v>
      </c>
      <c r="AR30" s="59">
        <f>SUM(AR25:AR29)</f>
        <v>73</v>
      </c>
      <c r="AS30" s="59">
        <v>77.099999999999994</v>
      </c>
      <c r="AT30" s="59">
        <v>81.0778360692332</v>
      </c>
      <c r="AU30" s="59">
        <v>73.8</v>
      </c>
      <c r="AV30" s="59">
        <f>SUM(AV25:AV29)</f>
        <v>305</v>
      </c>
      <c r="AW30" s="59">
        <f>SUM(AW25:AW29)</f>
        <v>67.100000000000009</v>
      </c>
      <c r="AX30" s="59">
        <f>SUM(AX25:AX29)</f>
        <v>63.599999999999987</v>
      </c>
      <c r="AY30" s="59">
        <f>SUM(AY25:AY29)</f>
        <v>97.600000000000009</v>
      </c>
      <c r="AZ30" s="60">
        <v>80.7</v>
      </c>
      <c r="BA30" s="61">
        <v>309</v>
      </c>
      <c r="BB30" s="61">
        <v>60.2</v>
      </c>
      <c r="BC30" s="61">
        <v>17.5</v>
      </c>
      <c r="BD30" s="61">
        <v>74.5</v>
      </c>
      <c r="BE30" s="61">
        <v>50.443826594255292</v>
      </c>
      <c r="BF30" s="61">
        <v>202.46957397656959</v>
      </c>
      <c r="BG30" s="61">
        <v>60.985584242211402</v>
      </c>
    </row>
    <row r="31" spans="1:59">
      <c r="A31" s="21"/>
    </row>
    <row r="32" spans="1:59">
      <c r="A32" s="21"/>
      <c r="B32" s="69" t="s">
        <v>267</v>
      </c>
      <c r="C32" s="69" t="s">
        <v>662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</row>
    <row r="33" spans="1:60">
      <c r="A33" s="21"/>
      <c r="B33" s="57" t="s">
        <v>251</v>
      </c>
      <c r="C33" s="57" t="s">
        <v>469</v>
      </c>
      <c r="D33" s="59">
        <f>SUM(D34:D35)</f>
        <v>53.3</v>
      </c>
      <c r="E33" s="59">
        <f t="shared" ref="E33:BF33" si="1">SUM(E34:E35)</f>
        <v>56.6</v>
      </c>
      <c r="F33" s="59">
        <f t="shared" si="1"/>
        <v>59.9</v>
      </c>
      <c r="G33" s="59">
        <f t="shared" si="1"/>
        <v>60.2</v>
      </c>
      <c r="H33" s="59">
        <f t="shared" si="1"/>
        <v>230</v>
      </c>
      <c r="I33" s="59">
        <f t="shared" si="1"/>
        <v>58</v>
      </c>
      <c r="J33" s="59">
        <f t="shared" si="1"/>
        <v>61.1</v>
      </c>
      <c r="K33" s="59">
        <f t="shared" si="1"/>
        <v>70</v>
      </c>
      <c r="L33" s="59">
        <f t="shared" si="1"/>
        <v>69.599999999999994</v>
      </c>
      <c r="M33" s="59">
        <f t="shared" si="1"/>
        <v>258.7</v>
      </c>
      <c r="N33" s="59">
        <f t="shared" si="1"/>
        <v>69.300000000000011</v>
      </c>
      <c r="O33" s="59">
        <f t="shared" si="1"/>
        <v>74.600000000000009</v>
      </c>
      <c r="P33" s="59">
        <f t="shared" si="1"/>
        <v>82.3</v>
      </c>
      <c r="Q33" s="59">
        <f t="shared" si="1"/>
        <v>78.300000000000011</v>
      </c>
      <c r="R33" s="59">
        <f t="shared" si="1"/>
        <v>304.5</v>
      </c>
      <c r="S33" s="59">
        <f t="shared" si="1"/>
        <v>83.7</v>
      </c>
      <c r="T33" s="59">
        <f t="shared" si="1"/>
        <v>88.100000000000009</v>
      </c>
      <c r="U33" s="59">
        <f t="shared" si="1"/>
        <v>101.8</v>
      </c>
      <c r="V33" s="59">
        <f t="shared" si="1"/>
        <v>107.10000000000001</v>
      </c>
      <c r="W33" s="59">
        <f t="shared" si="1"/>
        <v>380.7</v>
      </c>
      <c r="X33" s="59">
        <f t="shared" si="1"/>
        <v>95.2</v>
      </c>
      <c r="Y33" s="59">
        <f t="shared" si="1"/>
        <v>96.3</v>
      </c>
      <c r="Z33" s="59">
        <f t="shared" si="1"/>
        <v>112.5</v>
      </c>
      <c r="AA33" s="59">
        <f t="shared" si="1"/>
        <v>110.60000000000001</v>
      </c>
      <c r="AB33" s="59">
        <f t="shared" si="1"/>
        <v>414.70000000000005</v>
      </c>
      <c r="AC33" s="59">
        <f t="shared" si="1"/>
        <v>112.30000000000001</v>
      </c>
      <c r="AD33" s="59">
        <f t="shared" si="1"/>
        <v>117.19999999999999</v>
      </c>
      <c r="AE33" s="59">
        <f t="shared" si="1"/>
        <v>129.4</v>
      </c>
      <c r="AF33" s="59">
        <f t="shared" si="1"/>
        <v>125.89999999999999</v>
      </c>
      <c r="AG33" s="59">
        <f t="shared" si="1"/>
        <v>484.8</v>
      </c>
      <c r="AH33" s="59">
        <f t="shared" si="1"/>
        <v>123.89999999999999</v>
      </c>
      <c r="AI33" s="59">
        <f t="shared" si="1"/>
        <v>133</v>
      </c>
      <c r="AJ33" s="59">
        <f t="shared" si="1"/>
        <v>138.19999999999999</v>
      </c>
      <c r="AK33" s="59">
        <f t="shared" si="1"/>
        <v>131.07478465186699</v>
      </c>
      <c r="AL33" s="59">
        <f t="shared" si="1"/>
        <v>526.17478465186696</v>
      </c>
      <c r="AM33" s="59">
        <f t="shared" si="1"/>
        <v>146.6</v>
      </c>
      <c r="AN33" s="59">
        <f t="shared" si="1"/>
        <v>138.9</v>
      </c>
      <c r="AO33" s="59">
        <f t="shared" si="1"/>
        <v>152</v>
      </c>
      <c r="AP33" s="59">
        <f t="shared" si="1"/>
        <v>146.5</v>
      </c>
      <c r="AQ33" s="59">
        <f t="shared" si="1"/>
        <v>584</v>
      </c>
      <c r="AR33" s="59">
        <f t="shared" si="1"/>
        <v>156.19999999999999</v>
      </c>
      <c r="AS33" s="59">
        <f t="shared" si="1"/>
        <v>153.69999999999999</v>
      </c>
      <c r="AT33" s="59">
        <f t="shared" si="1"/>
        <v>170.08983067112899</v>
      </c>
      <c r="AU33" s="59">
        <f t="shared" si="1"/>
        <v>155.4</v>
      </c>
      <c r="AV33" s="59">
        <f t="shared" si="1"/>
        <v>635.29999999999995</v>
      </c>
      <c r="AW33" s="59">
        <f t="shared" si="1"/>
        <v>155.69999999999999</v>
      </c>
      <c r="AX33" s="59">
        <f t="shared" si="1"/>
        <v>144.30000000000001</v>
      </c>
      <c r="AY33" s="59">
        <f t="shared" si="1"/>
        <v>166.1</v>
      </c>
      <c r="AZ33" s="59">
        <f t="shared" si="1"/>
        <v>157.6</v>
      </c>
      <c r="BA33" s="59">
        <f t="shared" si="1"/>
        <v>623.69999999999993</v>
      </c>
      <c r="BB33" s="59">
        <f t="shared" si="1"/>
        <v>143.79999999999998</v>
      </c>
      <c r="BC33" s="59">
        <f t="shared" si="1"/>
        <v>52.6</v>
      </c>
      <c r="BD33" s="59">
        <f t="shared" si="1"/>
        <v>120.2</v>
      </c>
      <c r="BE33" s="59">
        <f t="shared" si="1"/>
        <v>137.832777582804</v>
      </c>
      <c r="BF33" s="59">
        <f t="shared" si="1"/>
        <v>454.48415806406342</v>
      </c>
      <c r="BG33" s="59">
        <f>SUM(BG34:BG35)</f>
        <v>113.40794509721721</v>
      </c>
      <c r="BH33" s="59"/>
    </row>
    <row r="34" spans="1:60">
      <c r="A34" s="21"/>
      <c r="B34" s="71" t="s">
        <v>268</v>
      </c>
      <c r="C34" s="71" t="s">
        <v>663</v>
      </c>
      <c r="D34" s="30">
        <v>53.3</v>
      </c>
      <c r="E34" s="30">
        <v>56.6</v>
      </c>
      <c r="F34" s="30">
        <v>59.9</v>
      </c>
      <c r="G34" s="30">
        <v>60.2</v>
      </c>
      <c r="H34" s="30">
        <v>230</v>
      </c>
      <c r="I34" s="68">
        <v>58</v>
      </c>
      <c r="J34" s="30">
        <v>61.1</v>
      </c>
      <c r="K34" s="68">
        <v>70</v>
      </c>
      <c r="L34" s="30">
        <v>69.599999999999994</v>
      </c>
      <c r="M34" s="30">
        <v>258.7</v>
      </c>
      <c r="N34" s="30">
        <v>68.900000000000006</v>
      </c>
      <c r="O34" s="30">
        <v>72.2</v>
      </c>
      <c r="P34" s="30">
        <v>79.5</v>
      </c>
      <c r="Q34" s="30">
        <v>76.900000000000006</v>
      </c>
      <c r="R34" s="30">
        <v>297.5</v>
      </c>
      <c r="S34" s="30">
        <v>79.900000000000006</v>
      </c>
      <c r="T34" s="30">
        <v>81.400000000000006</v>
      </c>
      <c r="U34" s="30">
        <v>93.8</v>
      </c>
      <c r="V34" s="30">
        <v>96.2</v>
      </c>
      <c r="W34" s="30">
        <v>351.3</v>
      </c>
      <c r="X34" s="30">
        <v>88.5</v>
      </c>
      <c r="Y34" s="68">
        <v>87</v>
      </c>
      <c r="Z34" s="30">
        <v>101.6</v>
      </c>
      <c r="AA34" s="30">
        <v>99.4</v>
      </c>
      <c r="AB34" s="30">
        <v>376.6</v>
      </c>
      <c r="AC34" s="30">
        <v>102.4</v>
      </c>
      <c r="AD34" s="68">
        <v>101.6</v>
      </c>
      <c r="AE34" s="68">
        <v>113.5</v>
      </c>
      <c r="AF34" s="68">
        <v>112.3</v>
      </c>
      <c r="AG34" s="30">
        <v>429.8</v>
      </c>
      <c r="AH34" s="68">
        <v>110.1</v>
      </c>
      <c r="AI34" s="68">
        <v>113.7</v>
      </c>
      <c r="AJ34" s="68">
        <v>122.1</v>
      </c>
      <c r="AK34" s="68">
        <v>115.974784651867</v>
      </c>
      <c r="AL34" s="68">
        <v>461.874784651867</v>
      </c>
      <c r="AM34" s="68">
        <v>127.5</v>
      </c>
      <c r="AN34" s="68">
        <v>117.7</v>
      </c>
      <c r="AO34" s="68">
        <v>130.80000000000001</v>
      </c>
      <c r="AP34" s="68">
        <v>125.9</v>
      </c>
      <c r="AQ34" s="68">
        <v>501.9</v>
      </c>
      <c r="AR34" s="68">
        <v>136.5</v>
      </c>
      <c r="AS34" s="68">
        <v>131</v>
      </c>
      <c r="AT34" s="68">
        <v>142.447975101129</v>
      </c>
      <c r="AU34" s="68">
        <v>132.6</v>
      </c>
      <c r="AV34" s="68">
        <v>542.5</v>
      </c>
      <c r="AW34" s="68">
        <v>136.6</v>
      </c>
      <c r="AX34" s="68">
        <v>125</v>
      </c>
      <c r="AY34" s="68">
        <v>147.19999999999999</v>
      </c>
      <c r="AZ34" s="68">
        <v>138.9</v>
      </c>
      <c r="BA34" s="68">
        <v>547.79999999999995</v>
      </c>
      <c r="BB34" s="68">
        <v>130.19999999999999</v>
      </c>
      <c r="BC34" s="68">
        <v>38.5</v>
      </c>
      <c r="BD34" s="68">
        <v>102.4</v>
      </c>
      <c r="BE34" s="68">
        <v>121.701267932804</v>
      </c>
      <c r="BF34" s="58">
        <v>392.73546349341319</v>
      </c>
      <c r="BG34" s="68">
        <v>94.5685158792826</v>
      </c>
    </row>
    <row r="35" spans="1:60">
      <c r="A35" s="21"/>
      <c r="B35" s="71" t="s">
        <v>269</v>
      </c>
      <c r="C35" s="71" t="s">
        <v>664</v>
      </c>
      <c r="D35" s="58">
        <v>0</v>
      </c>
      <c r="E35" s="58">
        <v>0</v>
      </c>
      <c r="F35" s="58">
        <v>0</v>
      </c>
      <c r="G35" s="58">
        <v>0</v>
      </c>
      <c r="H35" s="68" t="s">
        <v>350</v>
      </c>
      <c r="I35" s="58">
        <v>0</v>
      </c>
      <c r="J35" s="58">
        <v>0</v>
      </c>
      <c r="K35" s="58">
        <v>0</v>
      </c>
      <c r="L35" s="58">
        <v>0</v>
      </c>
      <c r="M35" s="68" t="s">
        <v>350</v>
      </c>
      <c r="N35" s="58">
        <v>0.4</v>
      </c>
      <c r="O35" s="58">
        <v>2.4</v>
      </c>
      <c r="P35" s="58">
        <v>2.8</v>
      </c>
      <c r="Q35" s="58">
        <v>1.4</v>
      </c>
      <c r="R35" s="58">
        <v>7</v>
      </c>
      <c r="S35" s="58">
        <v>3.8</v>
      </c>
      <c r="T35" s="58">
        <v>6.7</v>
      </c>
      <c r="U35" s="58">
        <v>8</v>
      </c>
      <c r="V35" s="58">
        <v>10.9</v>
      </c>
      <c r="W35" s="58">
        <v>29.4</v>
      </c>
      <c r="X35" s="58">
        <v>6.7</v>
      </c>
      <c r="Y35" s="58">
        <v>9.3000000000000007</v>
      </c>
      <c r="Z35" s="58">
        <v>10.9</v>
      </c>
      <c r="AA35" s="58">
        <v>11.2</v>
      </c>
      <c r="AB35" s="58">
        <v>38.1</v>
      </c>
      <c r="AC35" s="58">
        <v>9.9</v>
      </c>
      <c r="AD35" s="58">
        <v>15.6</v>
      </c>
      <c r="AE35" s="58">
        <v>15.9</v>
      </c>
      <c r="AF35" s="58">
        <v>13.6</v>
      </c>
      <c r="AG35" s="58">
        <v>55</v>
      </c>
      <c r="AH35" s="58">
        <v>13.8</v>
      </c>
      <c r="AI35" s="58">
        <v>19.3</v>
      </c>
      <c r="AJ35" s="58">
        <v>16.100000000000001</v>
      </c>
      <c r="AK35" s="58">
        <v>15.1</v>
      </c>
      <c r="AL35" s="58">
        <v>64.3</v>
      </c>
      <c r="AM35" s="58">
        <v>19.100000000000001</v>
      </c>
      <c r="AN35" s="58">
        <v>21.2</v>
      </c>
      <c r="AO35" s="58">
        <v>21.2</v>
      </c>
      <c r="AP35" s="58">
        <v>20.6</v>
      </c>
      <c r="AQ35" s="58">
        <v>82.1</v>
      </c>
      <c r="AR35" s="58">
        <v>19.7</v>
      </c>
      <c r="AS35" s="58">
        <v>22.7</v>
      </c>
      <c r="AT35" s="58">
        <v>27.641855570000001</v>
      </c>
      <c r="AU35" s="58">
        <v>22.8</v>
      </c>
      <c r="AV35" s="58">
        <v>92.8</v>
      </c>
      <c r="AW35" s="58">
        <v>19.100000000000001</v>
      </c>
      <c r="AX35" s="58">
        <v>19.3</v>
      </c>
      <c r="AY35" s="58">
        <v>18.899999999999999</v>
      </c>
      <c r="AZ35" s="58">
        <v>18.7</v>
      </c>
      <c r="BA35" s="58">
        <v>75.900000000000006</v>
      </c>
      <c r="BB35" s="58">
        <v>13.6</v>
      </c>
      <c r="BC35" s="58">
        <v>14.1</v>
      </c>
      <c r="BD35" s="58">
        <v>17.8</v>
      </c>
      <c r="BE35" s="58">
        <v>16.131509650000002</v>
      </c>
      <c r="BF35" s="58">
        <v>61.748694570650208</v>
      </c>
      <c r="BG35" s="58">
        <v>18.839429217934601</v>
      </c>
    </row>
    <row r="36" spans="1:60">
      <c r="A36" s="21"/>
      <c r="B36" s="28" t="s">
        <v>270</v>
      </c>
      <c r="C36" s="28" t="s">
        <v>665</v>
      </c>
      <c r="D36" s="65">
        <f t="shared" ref="D36:AW36" si="2">D33/D$9</f>
        <v>0.3133450911228689</v>
      </c>
      <c r="E36" s="65">
        <f t="shared" si="2"/>
        <v>0.29962943356273158</v>
      </c>
      <c r="F36" s="65">
        <f t="shared" si="2"/>
        <v>0.30733709594663927</v>
      </c>
      <c r="G36" s="65">
        <f t="shared" si="2"/>
        <v>0.29669788072942338</v>
      </c>
      <c r="H36" s="65">
        <f t="shared" si="2"/>
        <v>0.30391120507399577</v>
      </c>
      <c r="I36" s="65">
        <f t="shared" si="2"/>
        <v>0.28155339805825241</v>
      </c>
      <c r="J36" s="65">
        <f t="shared" si="2"/>
        <v>0.28820754716981134</v>
      </c>
      <c r="K36" s="65">
        <f t="shared" si="2"/>
        <v>0.30674846625766872</v>
      </c>
      <c r="L36" s="65">
        <f t="shared" si="2"/>
        <v>0.30566534914360999</v>
      </c>
      <c r="M36" s="65">
        <f t="shared" si="2"/>
        <v>0.29602929396956168</v>
      </c>
      <c r="N36" s="65">
        <f t="shared" si="2"/>
        <v>0.31643835616438359</v>
      </c>
      <c r="O36" s="65">
        <f t="shared" si="2"/>
        <v>0.32448890822096566</v>
      </c>
      <c r="P36" s="65">
        <f t="shared" si="2"/>
        <v>0.3682326621923937</v>
      </c>
      <c r="Q36" s="65">
        <f t="shared" si="2"/>
        <v>0.34893048128342252</v>
      </c>
      <c r="R36" s="65">
        <f t="shared" si="2"/>
        <v>0.33954058876003568</v>
      </c>
      <c r="S36" s="65">
        <f t="shared" si="2"/>
        <v>0.31313131313131315</v>
      </c>
      <c r="T36" s="65">
        <f t="shared" si="2"/>
        <v>0.32001452960406829</v>
      </c>
      <c r="U36" s="65">
        <f t="shared" si="2"/>
        <v>0.32235592146928432</v>
      </c>
      <c r="V36" s="65">
        <f t="shared" si="2"/>
        <v>0.33828174352495261</v>
      </c>
      <c r="W36" s="65">
        <f t="shared" si="2"/>
        <v>0.32400000000000001</v>
      </c>
      <c r="X36" s="65">
        <f t="shared" si="2"/>
        <v>0.31722759080306562</v>
      </c>
      <c r="Y36" s="65">
        <f t="shared" si="2"/>
        <v>0.32699490662139219</v>
      </c>
      <c r="Z36" s="65">
        <f t="shared" si="2"/>
        <v>0.32817969661610269</v>
      </c>
      <c r="AA36" s="65">
        <f t="shared" si="2"/>
        <v>0.30842163970998326</v>
      </c>
      <c r="AB36" s="65">
        <f t="shared" si="2"/>
        <v>0.31995987963891681</v>
      </c>
      <c r="AC36" s="65">
        <f t="shared" si="2"/>
        <v>0.31099418443644422</v>
      </c>
      <c r="AD36" s="65">
        <f t="shared" si="2"/>
        <v>0.30964332892998675</v>
      </c>
      <c r="AE36" s="65">
        <f t="shared" si="2"/>
        <v>0.2867272324396189</v>
      </c>
      <c r="AF36" s="65">
        <f t="shared" si="2"/>
        <v>0.2819708846584546</v>
      </c>
      <c r="AG36" s="65">
        <f t="shared" si="2"/>
        <v>0.29607914987174788</v>
      </c>
      <c r="AH36" s="65">
        <f t="shared" si="2"/>
        <v>0.27962085308056867</v>
      </c>
      <c r="AI36" s="65">
        <f t="shared" si="2"/>
        <v>0.30379168570123344</v>
      </c>
      <c r="AJ36" s="65">
        <f t="shared" si="2"/>
        <v>0.324489316741019</v>
      </c>
      <c r="AK36" s="65">
        <f t="shared" si="2"/>
        <v>0.31431235543841252</v>
      </c>
      <c r="AL36" s="65">
        <f t="shared" si="2"/>
        <v>0.30523752223134754</v>
      </c>
      <c r="AM36" s="65">
        <f t="shared" si="2"/>
        <v>0.40892608089260807</v>
      </c>
      <c r="AN36" s="65">
        <f t="shared" si="2"/>
        <v>0.35442714978310796</v>
      </c>
      <c r="AO36" s="65">
        <f t="shared" si="2"/>
        <v>0.368842513952924</v>
      </c>
      <c r="AP36" s="65">
        <f t="shared" si="2"/>
        <v>0.35566885166302503</v>
      </c>
      <c r="AQ36" s="65">
        <f t="shared" si="2"/>
        <v>0.37093495934959347</v>
      </c>
      <c r="AR36" s="65">
        <f t="shared" si="2"/>
        <v>0.40434895159202688</v>
      </c>
      <c r="AS36" s="65">
        <f t="shared" si="2"/>
        <v>0.36430433752073949</v>
      </c>
      <c r="AT36" s="65">
        <f t="shared" si="2"/>
        <v>0.35520386385859887</v>
      </c>
      <c r="AU36" s="65">
        <f t="shared" si="2"/>
        <v>0.34741784037558687</v>
      </c>
      <c r="AV36" s="65">
        <f t="shared" si="2"/>
        <v>0.36631493974514212</v>
      </c>
      <c r="AW36" s="65">
        <f t="shared" si="2"/>
        <v>0.36480787253983127</v>
      </c>
      <c r="AX36" s="65">
        <f>AX33/AX$9</f>
        <v>0.31146125620548243</v>
      </c>
      <c r="AY36" s="65">
        <f>AY33/AY$9</f>
        <v>0.29191564147627413</v>
      </c>
      <c r="AZ36" s="65">
        <v>0.28699999999999998</v>
      </c>
      <c r="BA36" s="65">
        <v>0.311</v>
      </c>
      <c r="BB36" s="65">
        <v>0.31</v>
      </c>
      <c r="BC36" s="65">
        <v>0.127</v>
      </c>
      <c r="BD36" s="65">
        <v>0.23</v>
      </c>
      <c r="BE36" s="65">
        <v>0.25588440793248385</v>
      </c>
      <c r="BF36" s="65">
        <v>0.23433308621335761</v>
      </c>
      <c r="BG36" s="65">
        <v>0.23158657361081725</v>
      </c>
    </row>
    <row r="37" spans="1:60">
      <c r="A37" s="21"/>
      <c r="B37" s="57" t="s">
        <v>252</v>
      </c>
      <c r="C37" s="57" t="s">
        <v>648</v>
      </c>
      <c r="D37" s="60">
        <v>20.6</v>
      </c>
      <c r="E37" s="60">
        <v>20.399999999999999</v>
      </c>
      <c r="F37" s="60">
        <v>22.1</v>
      </c>
      <c r="G37" s="60">
        <v>24</v>
      </c>
      <c r="H37" s="60">
        <v>87.1</v>
      </c>
      <c r="I37" s="60">
        <v>19.2</v>
      </c>
      <c r="J37" s="60">
        <v>19.100000000000001</v>
      </c>
      <c r="K37" s="60">
        <v>27.6</v>
      </c>
      <c r="L37" s="60">
        <v>31.4</v>
      </c>
      <c r="M37" s="60">
        <v>97.300000000000011</v>
      </c>
      <c r="N37" s="60">
        <v>23.3</v>
      </c>
      <c r="O37" s="60">
        <v>25.2</v>
      </c>
      <c r="P37" s="60">
        <v>30.2</v>
      </c>
      <c r="Q37" s="60">
        <v>29.900000000000002</v>
      </c>
      <c r="R37" s="60">
        <v>108.60000000000001</v>
      </c>
      <c r="S37" s="60">
        <v>29.099999999999998</v>
      </c>
      <c r="T37" s="60">
        <v>28</v>
      </c>
      <c r="U37" s="60">
        <v>43.5</v>
      </c>
      <c r="V37" s="60">
        <v>41.2</v>
      </c>
      <c r="W37" s="60">
        <v>141.79999999999998</v>
      </c>
      <c r="X37" s="61">
        <v>34.4</v>
      </c>
      <c r="Y37" s="60">
        <v>32</v>
      </c>
      <c r="Z37" s="60">
        <v>42.7</v>
      </c>
      <c r="AA37" s="60">
        <v>34.200000000000003</v>
      </c>
      <c r="AB37" s="60">
        <v>143.4</v>
      </c>
      <c r="AC37" s="61">
        <v>37.799999999999997</v>
      </c>
      <c r="AD37" s="60">
        <v>38.6</v>
      </c>
      <c r="AE37" s="60">
        <v>43.300000000000004</v>
      </c>
      <c r="AF37" s="60">
        <v>43.4</v>
      </c>
      <c r="AG37" s="60">
        <v>163.1</v>
      </c>
      <c r="AH37" s="60">
        <v>34.299999999999997</v>
      </c>
      <c r="AI37" s="60">
        <v>35.700000000000003</v>
      </c>
      <c r="AJ37" s="60">
        <v>42.4</v>
      </c>
      <c r="AK37" s="61">
        <v>34.044976901306953</v>
      </c>
      <c r="AL37" s="61">
        <v>146.44497690130694</v>
      </c>
      <c r="AM37" s="60">
        <v>47.7</v>
      </c>
      <c r="AN37" s="60">
        <v>35.699999999999996</v>
      </c>
      <c r="AO37" s="60">
        <v>45.199999999999996</v>
      </c>
      <c r="AP37" s="61">
        <v>44.3</v>
      </c>
      <c r="AQ37" s="61">
        <v>172.9</v>
      </c>
      <c r="AR37" s="61">
        <v>53.2</v>
      </c>
      <c r="AS37" s="61">
        <v>46.3</v>
      </c>
      <c r="AT37" s="61">
        <v>51.606265581223198</v>
      </c>
      <c r="AU37" s="61">
        <v>50</v>
      </c>
      <c r="AV37" s="61">
        <v>201.1</v>
      </c>
      <c r="AW37" s="61">
        <v>45.8</v>
      </c>
      <c r="AX37" s="61">
        <v>32.200000000000003</v>
      </c>
      <c r="AY37" s="61">
        <v>46.3</v>
      </c>
      <c r="AZ37" s="61">
        <v>47.5</v>
      </c>
      <c r="BA37" s="61">
        <v>171.8</v>
      </c>
      <c r="BB37" s="61">
        <v>43</v>
      </c>
      <c r="BC37" s="61">
        <v>-20.3</v>
      </c>
      <c r="BD37" s="61">
        <v>19</v>
      </c>
      <c r="BE37" s="61">
        <v>8.7000000000000011</v>
      </c>
      <c r="BF37" s="61">
        <v>50.338441360884296</v>
      </c>
      <c r="BG37" s="61">
        <v>21.26282958567251</v>
      </c>
    </row>
    <row r="38" spans="1:60">
      <c r="A38" s="21"/>
      <c r="B38" s="63" t="s">
        <v>253</v>
      </c>
      <c r="C38" s="63" t="s">
        <v>649</v>
      </c>
      <c r="D38" s="64">
        <f t="shared" ref="D38:AP38" si="3">IFERROR(D37/D33,"N/A")</f>
        <v>0.38649155722326461</v>
      </c>
      <c r="E38" s="64">
        <f t="shared" si="3"/>
        <v>0.36042402826855119</v>
      </c>
      <c r="F38" s="64">
        <f t="shared" si="3"/>
        <v>0.36894824707846413</v>
      </c>
      <c r="G38" s="64">
        <f t="shared" si="3"/>
        <v>0.39867109634551495</v>
      </c>
      <c r="H38" s="64">
        <f t="shared" si="3"/>
        <v>0.37869565217391304</v>
      </c>
      <c r="I38" s="64">
        <f t="shared" si="3"/>
        <v>0.33103448275862069</v>
      </c>
      <c r="J38" s="64">
        <f t="shared" si="3"/>
        <v>0.31260229132569561</v>
      </c>
      <c r="K38" s="64">
        <f t="shared" si="3"/>
        <v>0.39428571428571429</v>
      </c>
      <c r="L38" s="64">
        <f t="shared" si="3"/>
        <v>0.45114942528735635</v>
      </c>
      <c r="M38" s="64">
        <f t="shared" si="3"/>
        <v>0.37611132586006962</v>
      </c>
      <c r="N38" s="64">
        <f t="shared" si="3"/>
        <v>0.3362193362193362</v>
      </c>
      <c r="O38" s="64">
        <f t="shared" si="3"/>
        <v>0.33780160857908842</v>
      </c>
      <c r="P38" s="64">
        <f t="shared" si="3"/>
        <v>0.36695018226002429</v>
      </c>
      <c r="Q38" s="64">
        <f t="shared" si="3"/>
        <v>0.38186462324393355</v>
      </c>
      <c r="R38" s="64">
        <f t="shared" si="3"/>
        <v>0.35665024630541875</v>
      </c>
      <c r="S38" s="64">
        <f t="shared" si="3"/>
        <v>0.3476702508960573</v>
      </c>
      <c r="T38" s="64">
        <f t="shared" si="3"/>
        <v>0.31782065834279227</v>
      </c>
      <c r="U38" s="64">
        <f t="shared" si="3"/>
        <v>0.42730844793713163</v>
      </c>
      <c r="V38" s="64">
        <f t="shared" si="3"/>
        <v>0.38468720821662</v>
      </c>
      <c r="W38" s="64">
        <f t="shared" si="3"/>
        <v>0.37247176254268449</v>
      </c>
      <c r="X38" s="64">
        <f t="shared" si="3"/>
        <v>0.36134453781512604</v>
      </c>
      <c r="Y38" s="64">
        <f t="shared" si="3"/>
        <v>0.33229491173416409</v>
      </c>
      <c r="Z38" s="64">
        <f t="shared" si="3"/>
        <v>0.37955555555555559</v>
      </c>
      <c r="AA38" s="64">
        <f t="shared" si="3"/>
        <v>0.3092224231464738</v>
      </c>
      <c r="AB38" s="64">
        <f t="shared" si="3"/>
        <v>0.34579213889558713</v>
      </c>
      <c r="AC38" s="64">
        <f t="shared" si="3"/>
        <v>0.33659839715048973</v>
      </c>
      <c r="AD38" s="64">
        <f t="shared" si="3"/>
        <v>0.32935153583617754</v>
      </c>
      <c r="AE38" s="64">
        <f t="shared" si="3"/>
        <v>0.33462132921174653</v>
      </c>
      <c r="AF38" s="64">
        <f t="shared" si="3"/>
        <v>0.34471803018268471</v>
      </c>
      <c r="AG38" s="64">
        <f t="shared" si="3"/>
        <v>0.33642739273927391</v>
      </c>
      <c r="AH38" s="64">
        <f t="shared" si="3"/>
        <v>0.2768361581920904</v>
      </c>
      <c r="AI38" s="64">
        <f t="shared" si="3"/>
        <v>0.26842105263157895</v>
      </c>
      <c r="AJ38" s="64">
        <f t="shared" si="3"/>
        <v>0.30680173661360349</v>
      </c>
      <c r="AK38" s="64">
        <f t="shared" si="3"/>
        <v>0.25973704241994361</v>
      </c>
      <c r="AL38" s="64">
        <f t="shared" si="3"/>
        <v>0.27832002059581656</v>
      </c>
      <c r="AM38" s="64">
        <f t="shared" si="3"/>
        <v>0.32537517053206005</v>
      </c>
      <c r="AN38" s="64">
        <f t="shared" si="3"/>
        <v>0.25701943844492436</v>
      </c>
      <c r="AO38" s="64">
        <f t="shared" si="3"/>
        <v>0.29736842105263156</v>
      </c>
      <c r="AP38" s="64">
        <f t="shared" si="3"/>
        <v>0.3023890784982935</v>
      </c>
      <c r="AQ38" s="64">
        <f>IFERROR(AQ37/AQ33,"N/A")</f>
        <v>0.29606164383561645</v>
      </c>
      <c r="AR38" s="64">
        <f>IFERROR(AR37/AR33,"N/A")</f>
        <v>0.34058898847631247</v>
      </c>
      <c r="AS38" s="64">
        <f>IFERROR(AS37/AS33,"N/A")</f>
        <v>0.30123617436564737</v>
      </c>
      <c r="AT38" s="64">
        <v>0.30340594365694101</v>
      </c>
      <c r="AU38" s="64">
        <f>AU37/AU33</f>
        <v>0.32175032175032175</v>
      </c>
      <c r="AV38" s="64">
        <f>IFERROR(AV37/AV33,"N/A")</f>
        <v>0.31654336533920985</v>
      </c>
      <c r="AW38" s="64">
        <f>IFERROR(AW37/AW33,"N/A")</f>
        <v>0.29415542710340398</v>
      </c>
      <c r="AX38" s="64">
        <f>IFERROR(AX37/AX33,"N/A")</f>
        <v>0.22314622314622315</v>
      </c>
      <c r="AY38" s="64">
        <v>0.27900000000000003</v>
      </c>
      <c r="AZ38" s="65">
        <v>0.30099999999999999</v>
      </c>
      <c r="BA38" s="65">
        <v>0.27500000000000002</v>
      </c>
      <c r="BB38" s="65">
        <v>0.29899999999999999</v>
      </c>
      <c r="BC38" s="65">
        <v>-0.38600000000000001</v>
      </c>
      <c r="BD38" s="65">
        <v>0.158</v>
      </c>
      <c r="BE38" s="65">
        <v>6.3119964297123854E-2</v>
      </c>
      <c r="BF38" s="65">
        <v>0.1107838829050618</v>
      </c>
      <c r="BG38" s="65">
        <v>0.18848977038112522</v>
      </c>
    </row>
    <row r="39" spans="1:60">
      <c r="A39" s="21"/>
      <c r="B39" s="6" t="s">
        <v>271</v>
      </c>
      <c r="C39" s="6" t="s">
        <v>666</v>
      </c>
      <c r="D39" s="65">
        <f t="shared" ref="D39:AP39" si="4">D37/D$10</f>
        <v>0.54933333333333334</v>
      </c>
      <c r="E39" s="65">
        <f t="shared" si="4"/>
        <v>0.52307692307692299</v>
      </c>
      <c r="F39" s="65">
        <f t="shared" si="4"/>
        <v>0.49330357142857151</v>
      </c>
      <c r="G39" s="65">
        <f t="shared" si="4"/>
        <v>0.44444444444444442</v>
      </c>
      <c r="H39" s="65">
        <f t="shared" si="4"/>
        <v>0.49686252139189951</v>
      </c>
      <c r="I39" s="65">
        <f t="shared" si="4"/>
        <v>0.44547563805104406</v>
      </c>
      <c r="J39" s="65">
        <f t="shared" si="4"/>
        <v>0.41885964912280704</v>
      </c>
      <c r="K39" s="65">
        <f t="shared" si="4"/>
        <v>0.49640287769784175</v>
      </c>
      <c r="L39" s="65">
        <f t="shared" si="4"/>
        <v>0.55871886120996439</v>
      </c>
      <c r="M39" s="65">
        <f t="shared" si="4"/>
        <v>0.48552894211576852</v>
      </c>
      <c r="N39" s="65">
        <f t="shared" si="4"/>
        <v>0.44636015325670497</v>
      </c>
      <c r="O39" s="65">
        <f t="shared" si="4"/>
        <v>0.43003412969283272</v>
      </c>
      <c r="P39" s="65">
        <f t="shared" si="4"/>
        <v>0.55719557195571956</v>
      </c>
      <c r="Q39" s="65">
        <f t="shared" si="4"/>
        <v>0.53108348134991124</v>
      </c>
      <c r="R39" s="65">
        <f t="shared" si="4"/>
        <v>0.49073655671034794</v>
      </c>
      <c r="S39" s="65">
        <f t="shared" si="4"/>
        <v>0.58199999999999996</v>
      </c>
      <c r="T39" s="65">
        <f t="shared" si="4"/>
        <v>0.69306930693069313</v>
      </c>
      <c r="U39" s="65">
        <f t="shared" si="4"/>
        <v>0.64828614008941887</v>
      </c>
      <c r="V39" s="65">
        <f t="shared" si="4"/>
        <v>0.63093415007656972</v>
      </c>
      <c r="W39" s="65">
        <f t="shared" si="4"/>
        <v>0.63644524236983835</v>
      </c>
      <c r="X39" s="65">
        <f t="shared" si="4"/>
        <v>0.60884955752212389</v>
      </c>
      <c r="Y39" s="65">
        <f t="shared" si="4"/>
        <v>0.57450628366247758</v>
      </c>
      <c r="Z39" s="65">
        <f t="shared" si="4"/>
        <v>0.54533844189016611</v>
      </c>
      <c r="AA39" s="65">
        <f t="shared" si="4"/>
        <v>0.44881889763779531</v>
      </c>
      <c r="AB39" s="65">
        <f t="shared" si="4"/>
        <v>0.53768278965129368</v>
      </c>
      <c r="AC39" s="65">
        <f t="shared" si="4"/>
        <v>0.55021834061135366</v>
      </c>
      <c r="AD39" s="65">
        <f t="shared" si="4"/>
        <v>0.51261620185922974</v>
      </c>
      <c r="AE39" s="65">
        <f t="shared" si="4"/>
        <v>0.52676399026763998</v>
      </c>
      <c r="AF39" s="65">
        <f t="shared" si="4"/>
        <v>0.53580246913580243</v>
      </c>
      <c r="AG39" s="65">
        <f t="shared" si="4"/>
        <v>0.53092447916666663</v>
      </c>
      <c r="AH39" s="65">
        <f t="shared" si="4"/>
        <v>0.49638205499276411</v>
      </c>
      <c r="AI39" s="65">
        <f t="shared" si="4"/>
        <v>0.497907949790795</v>
      </c>
      <c r="AJ39" s="65">
        <f t="shared" si="4"/>
        <v>0.56308100929614879</v>
      </c>
      <c r="AK39" s="65">
        <f t="shared" si="4"/>
        <v>0.54185361493252093</v>
      </c>
      <c r="AL39" s="65">
        <f t="shared" si="4"/>
        <v>0.52502302508856125</v>
      </c>
      <c r="AM39" s="65">
        <f t="shared" si="4"/>
        <v>0.94642857142857151</v>
      </c>
      <c r="AN39" s="65">
        <f t="shared" si="4"/>
        <v>0.59203980099502485</v>
      </c>
      <c r="AO39" s="65">
        <f t="shared" si="4"/>
        <v>0.65317919075144504</v>
      </c>
      <c r="AP39" s="65">
        <f t="shared" si="4"/>
        <v>0.67019667170953101</v>
      </c>
      <c r="AQ39" s="65">
        <f>AQ37/AQ$10</f>
        <v>0.70313135420902806</v>
      </c>
      <c r="AR39" s="65">
        <f>AR37/AR$10</f>
        <v>0.72876712328767124</v>
      </c>
      <c r="AS39" s="65">
        <f>AS37/AS$10</f>
        <v>0.60051880674448765</v>
      </c>
      <c r="AT39" s="65">
        <v>0.63568426445779647</v>
      </c>
      <c r="AU39" s="65">
        <f>AU37/AU10</f>
        <v>0.6775067750677507</v>
      </c>
      <c r="AV39" s="65">
        <f>AV37/AV$10</f>
        <v>0.65944215972231657</v>
      </c>
      <c r="AW39" s="65">
        <f>AW37/AW$10</f>
        <v>0.68256333830104321</v>
      </c>
      <c r="AX39" s="65">
        <f>AX37/AX$10</f>
        <v>0.50628930817610063</v>
      </c>
      <c r="AY39" s="65">
        <f>AY37/AY$10</f>
        <v>0.47438524590163933</v>
      </c>
      <c r="AZ39" s="65">
        <v>0.58899999999999997</v>
      </c>
      <c r="BA39" s="65">
        <v>0.55600000000000005</v>
      </c>
      <c r="BB39" s="65">
        <v>0.71399999999999997</v>
      </c>
      <c r="BC39" s="65">
        <v>-1.1599999999999999</v>
      </c>
      <c r="BD39" s="65">
        <v>0.255</v>
      </c>
      <c r="BE39" s="65">
        <v>0.17258521892334716</v>
      </c>
      <c r="BF39" s="65">
        <v>0.24761442937611017</v>
      </c>
      <c r="BG39" s="65">
        <v>0.34865337193827128</v>
      </c>
    </row>
    <row r="40" spans="1:60">
      <c r="A40" s="21"/>
      <c r="B40" s="146" t="s">
        <v>272</v>
      </c>
      <c r="C40" s="146" t="s">
        <v>667</v>
      </c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</row>
    <row r="41" spans="1:60">
      <c r="A41" s="21"/>
      <c r="B41" s="72" t="s">
        <v>273</v>
      </c>
      <c r="C41" s="72" t="s">
        <v>668</v>
      </c>
      <c r="D41" s="58">
        <v>3.9</v>
      </c>
      <c r="E41" s="58">
        <v>3.6</v>
      </c>
      <c r="F41" s="58">
        <v>3.9</v>
      </c>
      <c r="G41" s="58">
        <v>4</v>
      </c>
      <c r="H41" s="58">
        <v>15.4</v>
      </c>
      <c r="I41" s="58">
        <v>3.4</v>
      </c>
      <c r="J41" s="58">
        <v>3.4</v>
      </c>
      <c r="K41" s="58">
        <v>3.8</v>
      </c>
      <c r="L41" s="58">
        <v>3.7</v>
      </c>
      <c r="M41" s="58">
        <v>14.3</v>
      </c>
      <c r="N41" s="58">
        <v>3.7</v>
      </c>
      <c r="O41" s="58">
        <v>3.8</v>
      </c>
      <c r="P41" s="58">
        <v>4.2</v>
      </c>
      <c r="Q41" s="58">
        <v>4</v>
      </c>
      <c r="R41" s="58">
        <v>15.7</v>
      </c>
      <c r="S41" s="58">
        <v>4</v>
      </c>
      <c r="T41" s="58">
        <v>4.2</v>
      </c>
      <c r="U41" s="58">
        <v>4.5999999999999996</v>
      </c>
      <c r="V41" s="58">
        <v>4.5</v>
      </c>
      <c r="W41" s="58">
        <v>17.299999999999997</v>
      </c>
      <c r="X41" s="58">
        <v>4.4000000000000004</v>
      </c>
      <c r="Y41" s="58">
        <v>4.5</v>
      </c>
      <c r="Z41" s="58">
        <v>5.4</v>
      </c>
      <c r="AA41" s="58">
        <v>5.5</v>
      </c>
      <c r="AB41" s="58">
        <v>19.8</v>
      </c>
      <c r="AC41" s="58">
        <v>6</v>
      </c>
      <c r="AD41" s="58">
        <v>5.7</v>
      </c>
      <c r="AE41" s="58">
        <v>6.1</v>
      </c>
      <c r="AF41" s="58">
        <v>5.5</v>
      </c>
      <c r="AG41" s="58">
        <v>23.3</v>
      </c>
      <c r="AH41" s="58">
        <v>5.6</v>
      </c>
      <c r="AI41" s="58">
        <v>5.5</v>
      </c>
      <c r="AJ41" s="58">
        <v>5.8</v>
      </c>
      <c r="AK41" s="58">
        <v>5.4</v>
      </c>
      <c r="AL41" s="58">
        <v>22.226999999999997</v>
      </c>
      <c r="AM41" s="58">
        <v>6</v>
      </c>
      <c r="AN41" s="58">
        <v>5.9</v>
      </c>
      <c r="AO41" s="58">
        <v>6.6</v>
      </c>
      <c r="AP41" s="58">
        <v>6.1</v>
      </c>
      <c r="AQ41" s="58">
        <v>24.6</v>
      </c>
      <c r="AR41" s="58">
        <v>6.7</v>
      </c>
      <c r="AS41" s="58">
        <v>6.5</v>
      </c>
      <c r="AT41" s="58">
        <v>6.8460000000000001</v>
      </c>
      <c r="AU41" s="58">
        <v>6.4</v>
      </c>
      <c r="AV41" s="58">
        <v>26.4</v>
      </c>
      <c r="AW41" s="58">
        <v>6.6</v>
      </c>
      <c r="AX41" s="58">
        <v>6.1</v>
      </c>
      <c r="AY41" s="58">
        <v>6.7</v>
      </c>
      <c r="AZ41" s="58">
        <v>6.5</v>
      </c>
      <c r="BA41" s="58">
        <v>25.9</v>
      </c>
      <c r="BB41" s="58">
        <v>5.9</v>
      </c>
      <c r="BC41" s="58">
        <v>1.3</v>
      </c>
      <c r="BD41" s="58">
        <v>3.4</v>
      </c>
      <c r="BE41" s="58">
        <v>5.2239089999999999</v>
      </c>
      <c r="BF41" s="58">
        <v>15.882981999999998</v>
      </c>
      <c r="BG41" s="58">
        <v>4.080178000000001</v>
      </c>
    </row>
    <row r="42" spans="1:60">
      <c r="A42" s="21"/>
      <c r="B42" s="72" t="s">
        <v>274</v>
      </c>
      <c r="C42" s="72" t="s">
        <v>669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1.5</v>
      </c>
      <c r="O42" s="58">
        <v>10.199999999999999</v>
      </c>
      <c r="P42" s="58">
        <v>14</v>
      </c>
      <c r="Q42" s="58">
        <v>11.7</v>
      </c>
      <c r="R42" s="58">
        <v>37.4</v>
      </c>
      <c r="S42" s="58">
        <v>22.4</v>
      </c>
      <c r="T42" s="58">
        <v>33.4</v>
      </c>
      <c r="U42" s="58">
        <v>38.9</v>
      </c>
      <c r="V42" s="58">
        <v>43.5</v>
      </c>
      <c r="W42" s="58">
        <v>138.19999999999999</v>
      </c>
      <c r="X42" s="58">
        <v>48.1</v>
      </c>
      <c r="Y42" s="58">
        <v>56.8</v>
      </c>
      <c r="Z42" s="58">
        <v>71.5</v>
      </c>
      <c r="AA42" s="58">
        <v>78.5</v>
      </c>
      <c r="AB42" s="58">
        <v>254.8</v>
      </c>
      <c r="AC42" s="58">
        <v>82.7</v>
      </c>
      <c r="AD42" s="58">
        <v>116.9</v>
      </c>
      <c r="AE42" s="58">
        <v>120.7</v>
      </c>
      <c r="AF42" s="58">
        <v>95.1</v>
      </c>
      <c r="AG42" s="58">
        <v>415.4</v>
      </c>
      <c r="AH42" s="58">
        <v>105.2</v>
      </c>
      <c r="AI42" s="58">
        <v>134.80000000000001</v>
      </c>
      <c r="AJ42" s="58">
        <v>123</v>
      </c>
      <c r="AK42" s="58">
        <v>114.2</v>
      </c>
      <c r="AL42" s="58">
        <v>477.15899999999999</v>
      </c>
      <c r="AM42" s="58">
        <v>118.1</v>
      </c>
      <c r="AN42" s="58">
        <v>125.1</v>
      </c>
      <c r="AO42" s="58">
        <v>126.3</v>
      </c>
      <c r="AP42" s="58">
        <v>123.2</v>
      </c>
      <c r="AQ42" s="58">
        <v>492.8</v>
      </c>
      <c r="AR42" s="58">
        <v>119.8</v>
      </c>
      <c r="AS42" s="58">
        <v>148.4</v>
      </c>
      <c r="AT42" s="58">
        <v>183.60900000000001</v>
      </c>
      <c r="AU42" s="58">
        <v>159.4</v>
      </c>
      <c r="AV42" s="58">
        <v>611.20000000000005</v>
      </c>
      <c r="AW42" s="58">
        <v>158</v>
      </c>
      <c r="AX42" s="58">
        <v>160.19999999999999</v>
      </c>
      <c r="AY42" s="58">
        <v>170.1</v>
      </c>
      <c r="AZ42" s="58">
        <v>166.8</v>
      </c>
      <c r="BA42" s="58">
        <v>655</v>
      </c>
      <c r="BB42" s="58">
        <v>179.6</v>
      </c>
      <c r="BC42" s="58">
        <v>196.8</v>
      </c>
      <c r="BD42" s="58">
        <v>262.2</v>
      </c>
      <c r="BE42" s="58">
        <v>233.321</v>
      </c>
      <c r="BF42" s="58">
        <v>871.96500000000003</v>
      </c>
      <c r="BG42" s="58">
        <v>289.23871999999994</v>
      </c>
    </row>
    <row r="43" spans="1:60">
      <c r="A43" s="21"/>
    </row>
    <row r="44" spans="1:60">
      <c r="A44" s="21"/>
      <c r="B44" s="73" t="s">
        <v>275</v>
      </c>
      <c r="C44" s="73" t="s">
        <v>670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</row>
    <row r="45" spans="1:60">
      <c r="A45" s="21"/>
      <c r="B45" s="57" t="s">
        <v>251</v>
      </c>
      <c r="C45" s="57" t="s">
        <v>469</v>
      </c>
      <c r="D45" s="59">
        <v>40.200000000000003</v>
      </c>
      <c r="E45" s="59">
        <v>48.7</v>
      </c>
      <c r="F45" s="59">
        <v>36.799999999999997</v>
      </c>
      <c r="G45" s="59">
        <v>38.200000000000003</v>
      </c>
      <c r="H45" s="59">
        <v>163.9</v>
      </c>
      <c r="I45" s="59">
        <v>47.3</v>
      </c>
      <c r="J45" s="59">
        <v>52.3</v>
      </c>
      <c r="K45" s="59">
        <v>54.3</v>
      </c>
      <c r="L45" s="59">
        <v>58.7</v>
      </c>
      <c r="M45" s="59">
        <v>212.59999999999997</v>
      </c>
      <c r="N45" s="59">
        <v>46.2</v>
      </c>
      <c r="O45" s="59">
        <v>54</v>
      </c>
      <c r="P45" s="59">
        <v>43.4</v>
      </c>
      <c r="Q45" s="59">
        <v>40.9</v>
      </c>
      <c r="R45" s="59">
        <v>184.5</v>
      </c>
      <c r="S45" s="59">
        <v>42.8</v>
      </c>
      <c r="T45" s="59">
        <v>47.6</v>
      </c>
      <c r="U45" s="59">
        <v>55.3</v>
      </c>
      <c r="V45" s="59">
        <v>58.4</v>
      </c>
      <c r="W45" s="59">
        <v>204.1</v>
      </c>
      <c r="X45" s="59">
        <v>39.200000000000003</v>
      </c>
      <c r="Y45" s="59">
        <v>48.5</v>
      </c>
      <c r="Z45" s="59">
        <v>45.4</v>
      </c>
      <c r="AA45" s="59">
        <v>52</v>
      </c>
      <c r="AB45" s="59">
        <v>185.1</v>
      </c>
      <c r="AC45" s="30">
        <v>49.6</v>
      </c>
      <c r="AD45" s="59">
        <v>62.4</v>
      </c>
      <c r="AE45" s="59">
        <v>74.7</v>
      </c>
      <c r="AF45" s="59">
        <v>121.1</v>
      </c>
      <c r="AG45" s="59">
        <v>307.8</v>
      </c>
      <c r="AH45" s="60">
        <v>126.5</v>
      </c>
      <c r="AI45" s="61">
        <v>103</v>
      </c>
      <c r="AJ45" s="60">
        <v>105.5</v>
      </c>
      <c r="AK45" s="61">
        <v>104.472847885988</v>
      </c>
      <c r="AL45" s="61">
        <v>439.47284788598802</v>
      </c>
      <c r="AM45" s="61">
        <v>74.2</v>
      </c>
      <c r="AN45" s="61">
        <v>91.9</v>
      </c>
      <c r="AO45" s="61">
        <v>93.1</v>
      </c>
      <c r="AP45" s="61">
        <v>100.2</v>
      </c>
      <c r="AQ45" s="61">
        <v>359.4</v>
      </c>
      <c r="AR45" s="61">
        <v>81.5</v>
      </c>
      <c r="AS45" s="61">
        <v>91.5</v>
      </c>
      <c r="AT45" s="61">
        <v>109.091280045809</v>
      </c>
      <c r="AU45" s="61">
        <v>103.9</v>
      </c>
      <c r="AV45" s="61">
        <v>386</v>
      </c>
      <c r="AW45" s="61">
        <v>101.5</v>
      </c>
      <c r="AX45" s="61">
        <v>125.3</v>
      </c>
      <c r="AY45" s="61">
        <v>99.5</v>
      </c>
      <c r="AZ45" s="61">
        <v>121.5</v>
      </c>
      <c r="BA45" s="61">
        <v>447.7</v>
      </c>
      <c r="BB45" s="61">
        <v>75.400000000000006</v>
      </c>
      <c r="BC45" s="61">
        <v>125.4</v>
      </c>
      <c r="BD45" s="61">
        <v>139.5</v>
      </c>
      <c r="BE45" s="61">
        <v>126.67783077995499</v>
      </c>
      <c r="BF45" s="61">
        <v>467.0031659856603</v>
      </c>
      <c r="BG45" s="61">
        <v>132.29025350634799</v>
      </c>
    </row>
    <row r="46" spans="1:60">
      <c r="A46" s="21"/>
      <c r="B46" s="28" t="s">
        <v>276</v>
      </c>
      <c r="C46" s="28" t="s">
        <v>665</v>
      </c>
      <c r="D46" s="65">
        <f t="shared" ref="D46:AH46" si="5">D45/D$9</f>
        <v>0.23633156966490301</v>
      </c>
      <c r="E46" s="65">
        <f t="shared" si="5"/>
        <v>0.25780836421386977</v>
      </c>
      <c r="F46" s="65">
        <f t="shared" si="5"/>
        <v>0.18881477680861977</v>
      </c>
      <c r="G46" s="65">
        <f t="shared" si="5"/>
        <v>0.18827008378511584</v>
      </c>
      <c r="H46" s="65">
        <f t="shared" si="5"/>
        <v>0.21656976744186049</v>
      </c>
      <c r="I46" s="65">
        <f t="shared" si="5"/>
        <v>0.22961165048543689</v>
      </c>
      <c r="J46" s="65">
        <f t="shared" si="5"/>
        <v>0.24669811320754714</v>
      </c>
      <c r="K46" s="65">
        <f t="shared" si="5"/>
        <v>0.23794916739702016</v>
      </c>
      <c r="L46" s="65">
        <f t="shared" si="5"/>
        <v>0.2577953447518665</v>
      </c>
      <c r="M46" s="65">
        <f t="shared" si="5"/>
        <v>0.24327726284471901</v>
      </c>
      <c r="N46" s="65">
        <f t="shared" si="5"/>
        <v>0.21095890410958906</v>
      </c>
      <c r="O46" s="65">
        <f t="shared" si="5"/>
        <v>0.23488473249238798</v>
      </c>
      <c r="P46" s="65">
        <f t="shared" si="5"/>
        <v>0.19418344519015659</v>
      </c>
      <c r="Q46" s="65">
        <f t="shared" si="5"/>
        <v>0.18226381461675578</v>
      </c>
      <c r="R46" s="65">
        <f t="shared" si="5"/>
        <v>0.20573148974130243</v>
      </c>
      <c r="S46" s="65">
        <f t="shared" si="5"/>
        <v>0.16011971567527122</v>
      </c>
      <c r="T46" s="65">
        <f t="shared" si="5"/>
        <v>0.17290228841264074</v>
      </c>
      <c r="U46" s="65">
        <f t="shared" si="5"/>
        <v>0.17511082963901201</v>
      </c>
      <c r="V46" s="65">
        <f t="shared" si="5"/>
        <v>0.18445988629185089</v>
      </c>
      <c r="W46" s="65">
        <f t="shared" si="5"/>
        <v>0.17370212765957446</v>
      </c>
      <c r="X46" s="65">
        <f t="shared" si="5"/>
        <v>0.13062312562479172</v>
      </c>
      <c r="Y46" s="65">
        <f t="shared" si="5"/>
        <v>0.16468590831918506</v>
      </c>
      <c r="Z46" s="65">
        <f t="shared" si="5"/>
        <v>0.13243873978996498</v>
      </c>
      <c r="AA46" s="65">
        <f t="shared" si="5"/>
        <v>0.14500836586726157</v>
      </c>
      <c r="AB46" s="65">
        <f t="shared" si="5"/>
        <v>0.14281305454826018</v>
      </c>
      <c r="AC46" s="65">
        <f t="shared" si="5"/>
        <v>0.13735807255607865</v>
      </c>
      <c r="AD46" s="65">
        <f t="shared" si="5"/>
        <v>0.16486129458388374</v>
      </c>
      <c r="AE46" s="65">
        <f t="shared" si="5"/>
        <v>0.1655218258364724</v>
      </c>
      <c r="AF46" s="65">
        <f t="shared" si="5"/>
        <v>0.27122060470324749</v>
      </c>
      <c r="AG46" s="65">
        <f t="shared" si="5"/>
        <v>0.18798094540124588</v>
      </c>
      <c r="AH46" s="65">
        <f t="shared" si="5"/>
        <v>0.28548860302414802</v>
      </c>
      <c r="AI46" s="65">
        <f>AI45/AI$9</f>
        <v>0.23526724531749657</v>
      </c>
      <c r="AJ46" s="65">
        <v>0.248</v>
      </c>
      <c r="AK46" s="65">
        <v>0.25052192140249413</v>
      </c>
      <c r="AL46" s="65">
        <v>0.25494114710461907</v>
      </c>
      <c r="AM46" s="65">
        <v>0.20699999999999999</v>
      </c>
      <c r="AN46" s="65">
        <v>0.23400000000000001</v>
      </c>
      <c r="AO46" s="65">
        <v>0.22600000000000001</v>
      </c>
      <c r="AP46" s="65">
        <v>0.24299999999999999</v>
      </c>
      <c r="AQ46" s="65">
        <v>0.22800000000000001</v>
      </c>
      <c r="AR46" s="65">
        <f>AR45/AR9</f>
        <v>0.21097592544654414</v>
      </c>
      <c r="AS46" s="65">
        <f>AS45/AS9</f>
        <v>0.21687603697558663</v>
      </c>
      <c r="AT46" s="65">
        <v>0.22781870046349087</v>
      </c>
      <c r="AU46" s="65">
        <f>AU45/AU9</f>
        <v>0.23228258439526045</v>
      </c>
      <c r="AV46" s="65">
        <v>0.223</v>
      </c>
      <c r="AW46" s="65">
        <v>0.23799999999999999</v>
      </c>
      <c r="AX46" s="65">
        <v>0.27</v>
      </c>
      <c r="AY46" s="65">
        <v>0.17499999999999999</v>
      </c>
      <c r="AZ46" s="65">
        <v>0.221</v>
      </c>
      <c r="BA46" s="65">
        <v>0.223</v>
      </c>
      <c r="BB46" s="65">
        <v>0.16300000000000001</v>
      </c>
      <c r="BC46" s="65">
        <v>0.30199999999999999</v>
      </c>
      <c r="BD46" s="65">
        <v>0.26700000000000002</v>
      </c>
      <c r="BE46" s="65">
        <v>0.2351754226807676</v>
      </c>
      <c r="BF46" s="65">
        <v>0.24084090788526039</v>
      </c>
      <c r="BG46" s="65">
        <v>0.27014550440340618</v>
      </c>
    </row>
    <row r="47" spans="1:60">
      <c r="A47" s="21"/>
      <c r="B47" s="57" t="s">
        <v>252</v>
      </c>
      <c r="C47" s="57" t="s">
        <v>648</v>
      </c>
      <c r="D47" s="59">
        <v>11.7</v>
      </c>
      <c r="E47" s="59">
        <v>10.7</v>
      </c>
      <c r="F47" s="59">
        <v>7.8</v>
      </c>
      <c r="G47" s="59">
        <v>11.3</v>
      </c>
      <c r="H47" s="59">
        <v>41.5</v>
      </c>
      <c r="I47" s="59">
        <v>8.8000000000000007</v>
      </c>
      <c r="J47" s="59">
        <v>11.2</v>
      </c>
      <c r="K47" s="59">
        <v>11</v>
      </c>
      <c r="L47" s="59">
        <v>9.6</v>
      </c>
      <c r="M47" s="59">
        <v>40.6</v>
      </c>
      <c r="N47" s="59">
        <v>12.9</v>
      </c>
      <c r="O47" s="59">
        <v>17.8</v>
      </c>
      <c r="P47" s="59">
        <v>10.5</v>
      </c>
      <c r="Q47" s="59">
        <v>13.9</v>
      </c>
      <c r="R47" s="59">
        <v>55.1</v>
      </c>
      <c r="S47" s="59">
        <v>9.9</v>
      </c>
      <c r="T47" s="59">
        <v>8.8000000000000007</v>
      </c>
      <c r="U47" s="59">
        <v>13.5</v>
      </c>
      <c r="V47" s="59">
        <v>15.5</v>
      </c>
      <c r="W47" s="59">
        <v>47.7</v>
      </c>
      <c r="X47" s="59">
        <v>9.6999999999999993</v>
      </c>
      <c r="Y47" s="59">
        <v>11.5</v>
      </c>
      <c r="Z47" s="60">
        <v>9.1</v>
      </c>
      <c r="AA47" s="60">
        <v>21.5</v>
      </c>
      <c r="AB47" s="60">
        <v>51.7</v>
      </c>
      <c r="AC47" s="61">
        <v>12</v>
      </c>
      <c r="AD47" s="59">
        <v>18.3</v>
      </c>
      <c r="AE47" s="59">
        <v>17.2</v>
      </c>
      <c r="AF47" s="59">
        <v>31.9</v>
      </c>
      <c r="AG47" s="60">
        <v>79.400000000000006</v>
      </c>
      <c r="AH47" s="60">
        <v>23.9</v>
      </c>
      <c r="AI47" s="61">
        <v>22</v>
      </c>
      <c r="AJ47" s="60">
        <v>18.3</v>
      </c>
      <c r="AK47" s="60">
        <v>15.3</v>
      </c>
      <c r="AL47" s="60">
        <v>79.5</v>
      </c>
      <c r="AM47" s="60">
        <v>8</v>
      </c>
      <c r="AN47" s="60">
        <v>17.100000000000001</v>
      </c>
      <c r="AO47" s="60">
        <v>19.3</v>
      </c>
      <c r="AP47" s="60">
        <v>17.8</v>
      </c>
      <c r="AQ47" s="60">
        <v>62.2</v>
      </c>
      <c r="AR47" s="61">
        <v>10</v>
      </c>
      <c r="AS47" s="61">
        <v>12.9</v>
      </c>
      <c r="AT47" s="61">
        <v>9.8555998310090516</v>
      </c>
      <c r="AU47" s="61">
        <v>13.9</v>
      </c>
      <c r="AV47" s="60">
        <v>46.6</v>
      </c>
      <c r="AW47" s="61">
        <v>19.2</v>
      </c>
      <c r="AX47" s="61">
        <v>22.3</v>
      </c>
      <c r="AY47" s="61">
        <v>13.7</v>
      </c>
      <c r="AZ47" s="61">
        <v>9.8000000000000007</v>
      </c>
      <c r="BA47" s="61">
        <v>65.099999999999994</v>
      </c>
      <c r="BB47" s="61">
        <v>8.5</v>
      </c>
      <c r="BC47" s="61">
        <v>20.3</v>
      </c>
      <c r="BD47" s="61">
        <v>29.1</v>
      </c>
      <c r="BE47" s="61">
        <v>29.895731739982299</v>
      </c>
      <c r="BF47" s="61">
        <v>87.794716339456215</v>
      </c>
      <c r="BG47" s="61">
        <v>29.626800955036899</v>
      </c>
    </row>
    <row r="48" spans="1:60">
      <c r="A48" s="21"/>
      <c r="B48" s="63" t="s">
        <v>253</v>
      </c>
      <c r="C48" s="63" t="s">
        <v>649</v>
      </c>
      <c r="D48" s="75">
        <f t="shared" ref="D48:AD48" si="6">IFERROR((D47-D53)/D45,"N/A")</f>
        <v>0.29104477611940294</v>
      </c>
      <c r="E48" s="75">
        <f t="shared" si="6"/>
        <v>0.21971252566735111</v>
      </c>
      <c r="F48" s="75">
        <f t="shared" si="6"/>
        <v>0.19293478260869565</v>
      </c>
      <c r="G48" s="75">
        <f t="shared" si="6"/>
        <v>0.27486910994764396</v>
      </c>
      <c r="H48" s="76">
        <f t="shared" si="6"/>
        <v>0.24405125076266015</v>
      </c>
      <c r="I48" s="75">
        <f t="shared" si="6"/>
        <v>0.16279069767441864</v>
      </c>
      <c r="J48" s="75">
        <f t="shared" si="6"/>
        <v>0.19120458891013387</v>
      </c>
      <c r="K48" s="75">
        <f t="shared" si="6"/>
        <v>0.18047882136279927</v>
      </c>
      <c r="L48" s="75">
        <f t="shared" si="6"/>
        <v>0.12947189097103917</v>
      </c>
      <c r="M48" s="76">
        <f t="shared" si="6"/>
        <v>0.16509877704609599</v>
      </c>
      <c r="N48" s="75">
        <f t="shared" si="6"/>
        <v>0.21428571428571427</v>
      </c>
      <c r="O48" s="75">
        <f t="shared" si="6"/>
        <v>0.27037037037037037</v>
      </c>
      <c r="P48" s="75">
        <f t="shared" si="6"/>
        <v>0.1889400921658986</v>
      </c>
      <c r="Q48" s="75">
        <f t="shared" si="6"/>
        <v>0.30073349633251839</v>
      </c>
      <c r="R48" s="75">
        <f t="shared" si="6"/>
        <v>0.24390243902439024</v>
      </c>
      <c r="S48" s="75">
        <f t="shared" si="6"/>
        <v>0.18224299065420563</v>
      </c>
      <c r="T48" s="75">
        <f t="shared" si="6"/>
        <v>0.16806722689075629</v>
      </c>
      <c r="U48" s="75">
        <f t="shared" si="6"/>
        <v>0.20614828209764921</v>
      </c>
      <c r="V48" s="75">
        <f t="shared" si="6"/>
        <v>0.22945205479452055</v>
      </c>
      <c r="W48" s="75">
        <f t="shared" si="6"/>
        <v>0.19892209701126901</v>
      </c>
      <c r="X48" s="75">
        <f t="shared" si="6"/>
        <v>0.17346938775510201</v>
      </c>
      <c r="Y48" s="75">
        <f t="shared" si="6"/>
        <v>0.20824742268041235</v>
      </c>
      <c r="Z48" s="75">
        <f t="shared" si="6"/>
        <v>0.15198237885462554</v>
      </c>
      <c r="AA48" s="75">
        <f t="shared" si="6"/>
        <v>0.34423076923076923</v>
      </c>
      <c r="AB48" s="75">
        <f t="shared" si="6"/>
        <v>0.22528363047001623</v>
      </c>
      <c r="AC48" s="75">
        <f t="shared" si="6"/>
        <v>0.19758064516129034</v>
      </c>
      <c r="AD48" s="75">
        <f t="shared" si="6"/>
        <v>0.26282051282051289</v>
      </c>
      <c r="AE48" s="75">
        <f>IFERROR((AE47-AE53)/AE45,"N/A")</f>
        <v>0.20749665327978581</v>
      </c>
      <c r="AF48" s="75">
        <f>IFERROR((AF47-AF53)/AF45,"N/A")</f>
        <v>0.22130470685383979</v>
      </c>
      <c r="AG48" s="75">
        <f>IFERROR((AG47-AG53)/AG45,"N/A")</f>
        <v>0.22254710851202078</v>
      </c>
      <c r="AH48" s="75">
        <f>IFERROR((AH47-AH53)/AH45,"N/A")</f>
        <v>0.1691699604743083</v>
      </c>
      <c r="AI48" s="75">
        <f>IFERROR((AI47-AI53)/AI45,"N/A")</f>
        <v>0.19223300970873788</v>
      </c>
      <c r="AJ48" s="75">
        <v>0.17299999999999999</v>
      </c>
      <c r="AK48" s="75">
        <v>0.14644953506672859</v>
      </c>
      <c r="AL48" s="75">
        <v>0.1702039167147939</v>
      </c>
      <c r="AM48" s="75">
        <v>0.10800000000000001</v>
      </c>
      <c r="AN48" s="75">
        <v>0.186</v>
      </c>
      <c r="AO48" s="75">
        <v>0.20699999999999999</v>
      </c>
      <c r="AP48" s="75">
        <v>0.17799999999999999</v>
      </c>
      <c r="AQ48" s="75">
        <v>0.17299999999999999</v>
      </c>
      <c r="AR48" s="75">
        <f>AR47/AR45</f>
        <v>0.12269938650306748</v>
      </c>
      <c r="AS48" s="75">
        <f>AS47/AS45</f>
        <v>0.14098360655737704</v>
      </c>
      <c r="AT48" s="75">
        <v>9.1342691247829733E-2</v>
      </c>
      <c r="AU48" s="75">
        <f>AU47/AU45</f>
        <v>0.13378248315688163</v>
      </c>
      <c r="AV48" s="75">
        <v>0.121</v>
      </c>
      <c r="AW48" s="75">
        <v>0.189</v>
      </c>
      <c r="AX48" s="75">
        <v>0.17799999999999999</v>
      </c>
      <c r="AY48" s="75">
        <v>0.13800000000000001</v>
      </c>
      <c r="AZ48" s="65">
        <v>8.1000000000000003E-2</v>
      </c>
      <c r="BA48" s="65">
        <v>0.14499999999999999</v>
      </c>
      <c r="BB48" s="65">
        <v>0.113</v>
      </c>
      <c r="BC48" s="65">
        <v>0.16200000000000001</v>
      </c>
      <c r="BD48" s="65">
        <v>0.20899999999999999</v>
      </c>
      <c r="BE48" s="65">
        <v>0.23599813444794859</v>
      </c>
      <c r="BF48" s="65">
        <v>0.1879959767599349</v>
      </c>
      <c r="BG48" s="65">
        <v>0.22395301369359949</v>
      </c>
    </row>
    <row r="49" spans="1:59">
      <c r="A49" s="21"/>
      <c r="B49" s="6" t="s">
        <v>271</v>
      </c>
      <c r="C49" s="6" t="s">
        <v>666</v>
      </c>
      <c r="D49" s="65">
        <f>D47/D$10</f>
        <v>0.312</v>
      </c>
      <c r="E49" s="65">
        <f t="shared" ref="E49:AG49" si="7">E47/E$10</f>
        <v>0.27435897435897433</v>
      </c>
      <c r="F49" s="65">
        <f t="shared" si="7"/>
        <v>0.17410714285714288</v>
      </c>
      <c r="G49" s="65">
        <f t="shared" si="7"/>
        <v>0.20925925925925928</v>
      </c>
      <c r="H49" s="77">
        <f t="shared" si="7"/>
        <v>0.23673702224757556</v>
      </c>
      <c r="I49" s="65">
        <f t="shared" si="7"/>
        <v>0.20417633410672856</v>
      </c>
      <c r="J49" s="65">
        <f t="shared" si="7"/>
        <v>0.24561403508771928</v>
      </c>
      <c r="K49" s="65">
        <f t="shared" si="7"/>
        <v>0.19784172661870503</v>
      </c>
      <c r="L49" s="65">
        <f t="shared" si="7"/>
        <v>0.17081850533807827</v>
      </c>
      <c r="M49" s="77">
        <f t="shared" si="7"/>
        <v>0.20259481037924151</v>
      </c>
      <c r="N49" s="65">
        <f t="shared" si="7"/>
        <v>0.2471264367816092</v>
      </c>
      <c r="O49" s="65">
        <f t="shared" si="7"/>
        <v>0.30375426621160412</v>
      </c>
      <c r="P49" s="65">
        <f t="shared" si="7"/>
        <v>0.19372693726937268</v>
      </c>
      <c r="Q49" s="65">
        <f t="shared" si="7"/>
        <v>0.24689165186500889</v>
      </c>
      <c r="R49" s="77">
        <f t="shared" si="7"/>
        <v>0.24898328061455038</v>
      </c>
      <c r="S49" s="65">
        <f t="shared" si="7"/>
        <v>0.19800000000000001</v>
      </c>
      <c r="T49" s="65">
        <f t="shared" si="7"/>
        <v>0.21782178217821785</v>
      </c>
      <c r="U49" s="65">
        <f t="shared" si="7"/>
        <v>0.20119225037257826</v>
      </c>
      <c r="V49" s="65">
        <f t="shared" si="7"/>
        <v>0.23736600306278716</v>
      </c>
      <c r="W49" s="77">
        <f t="shared" si="7"/>
        <v>0.21409335727109516</v>
      </c>
      <c r="X49" s="65">
        <f t="shared" si="7"/>
        <v>0.17168141592920352</v>
      </c>
      <c r="Y49" s="65">
        <f t="shared" si="7"/>
        <v>0.20646319569120286</v>
      </c>
      <c r="Z49" s="65">
        <f t="shared" si="7"/>
        <v>0.11621966794380588</v>
      </c>
      <c r="AA49" s="65">
        <f t="shared" si="7"/>
        <v>0.28215223097112863</v>
      </c>
      <c r="AB49" s="65">
        <f t="shared" si="7"/>
        <v>0.19385076865391829</v>
      </c>
      <c r="AC49" s="65">
        <f t="shared" si="7"/>
        <v>0.17467248908296942</v>
      </c>
      <c r="AD49" s="65">
        <f t="shared" si="7"/>
        <v>0.24302788844621515</v>
      </c>
      <c r="AE49" s="65">
        <f t="shared" si="7"/>
        <v>0.20924574209245742</v>
      </c>
      <c r="AF49" s="65">
        <f t="shared" si="7"/>
        <v>0.39382716049382716</v>
      </c>
      <c r="AG49" s="65">
        <f t="shared" si="7"/>
        <v>0.25846354166666669</v>
      </c>
      <c r="AH49" s="65">
        <f>AH47/AH$10</f>
        <v>0.34587554269175108</v>
      </c>
      <c r="AI49" s="65">
        <f>AI47/AI$10</f>
        <v>0.30683403068340304</v>
      </c>
      <c r="AJ49" s="65">
        <v>0.24299999999999999</v>
      </c>
      <c r="AK49" s="65">
        <v>0.24351199686522071</v>
      </c>
      <c r="AL49" s="65">
        <v>0.28501715373050884</v>
      </c>
      <c r="AM49" s="65">
        <v>0.159</v>
      </c>
      <c r="AN49" s="65">
        <v>0.28399999999999997</v>
      </c>
      <c r="AO49" s="65">
        <v>0.27899999999999997</v>
      </c>
      <c r="AP49" s="65">
        <v>0.26900000000000002</v>
      </c>
      <c r="AQ49" s="65">
        <v>0.253</v>
      </c>
      <c r="AR49" s="65">
        <f>AR47/AR10</f>
        <v>0.13698630136986301</v>
      </c>
      <c r="AS49" s="65">
        <f>AS47/AS10</f>
        <v>0.16731517509727628</v>
      </c>
      <c r="AT49" s="65">
        <v>0.12159192800572434</v>
      </c>
      <c r="AU49" s="65">
        <v>0.188</v>
      </c>
      <c r="AV49" s="65">
        <v>0.153</v>
      </c>
      <c r="AW49" s="65">
        <v>0.28599999999999998</v>
      </c>
      <c r="AX49" s="65">
        <v>0.35099999999999998</v>
      </c>
      <c r="AY49" s="65">
        <v>0.14000000000000001</v>
      </c>
      <c r="AZ49" s="65">
        <v>0.121</v>
      </c>
      <c r="BA49" s="65">
        <v>0.21099999999999999</v>
      </c>
      <c r="BB49" s="65">
        <v>0.14099999999999999</v>
      </c>
      <c r="BC49" s="65">
        <v>1.1599999999999999</v>
      </c>
      <c r="BD49" s="65">
        <v>0.39100000000000001</v>
      </c>
      <c r="BE49" s="65">
        <v>0.59305303531247155</v>
      </c>
      <c r="BF49" s="65">
        <v>0.43360566427732411</v>
      </c>
      <c r="BG49" s="65">
        <v>0.48480006772371947</v>
      </c>
    </row>
    <row r="50" spans="1:59">
      <c r="A50" s="21"/>
      <c r="B50" s="5" t="s">
        <v>277</v>
      </c>
      <c r="C50" s="5" t="s">
        <v>671</v>
      </c>
      <c r="D50" s="59">
        <v>12</v>
      </c>
      <c r="E50" s="59">
        <v>12.1</v>
      </c>
      <c r="F50" s="59">
        <v>8.8000000000000007</v>
      </c>
      <c r="G50" s="59">
        <v>9.5</v>
      </c>
      <c r="H50" s="59">
        <v>42.400000000000006</v>
      </c>
      <c r="I50" s="59">
        <v>14.4</v>
      </c>
      <c r="J50" s="59">
        <v>17.2</v>
      </c>
      <c r="K50" s="59">
        <v>20.5</v>
      </c>
      <c r="L50" s="59">
        <v>28.4</v>
      </c>
      <c r="M50" s="59">
        <v>80.5</v>
      </c>
      <c r="N50" s="59">
        <v>20.8</v>
      </c>
      <c r="O50" s="59">
        <v>21</v>
      </c>
      <c r="P50" s="59">
        <v>13.5</v>
      </c>
      <c r="Q50" s="59">
        <v>14.4</v>
      </c>
      <c r="R50" s="59">
        <v>69.7</v>
      </c>
      <c r="S50" s="59">
        <v>18.2</v>
      </c>
      <c r="T50" s="59">
        <v>25.8</v>
      </c>
      <c r="U50" s="59">
        <v>33.299999999999997</v>
      </c>
      <c r="V50" s="59">
        <v>25.1</v>
      </c>
      <c r="W50" s="59">
        <v>102.4</v>
      </c>
      <c r="X50" s="59">
        <v>20.399999999999999</v>
      </c>
      <c r="Y50" s="59">
        <v>28.1</v>
      </c>
      <c r="Z50" s="60">
        <v>24.2</v>
      </c>
      <c r="AA50" s="60">
        <v>20.399999999999999</v>
      </c>
      <c r="AB50" s="60">
        <v>93</v>
      </c>
      <c r="AC50" s="60">
        <v>22.8</v>
      </c>
      <c r="AD50" s="59">
        <v>27</v>
      </c>
      <c r="AE50" s="59">
        <v>29.3</v>
      </c>
      <c r="AF50" s="59">
        <v>35.200000000000003</v>
      </c>
      <c r="AG50" s="60">
        <v>114.2</v>
      </c>
      <c r="AH50" s="60">
        <v>103.7</v>
      </c>
      <c r="AI50" s="60">
        <v>94.1</v>
      </c>
      <c r="AJ50" s="60">
        <v>101</v>
      </c>
      <c r="AK50" s="60">
        <v>104.8</v>
      </c>
      <c r="AL50" s="61">
        <v>403.60300000000001</v>
      </c>
      <c r="AM50" s="61">
        <v>75</v>
      </c>
      <c r="AN50" s="60">
        <v>100.2</v>
      </c>
      <c r="AO50" s="60">
        <v>105.4</v>
      </c>
      <c r="AP50" s="60">
        <v>107.9</v>
      </c>
      <c r="AQ50" s="60">
        <v>388.4</v>
      </c>
      <c r="AR50" s="60">
        <v>101.5</v>
      </c>
      <c r="AS50" s="61">
        <v>107.3</v>
      </c>
      <c r="AT50" s="61">
        <v>84.46</v>
      </c>
      <c r="AU50" s="61">
        <v>81.8</v>
      </c>
      <c r="AV50" s="60">
        <v>375.1</v>
      </c>
      <c r="AW50" s="61">
        <v>84.4</v>
      </c>
      <c r="AX50" s="61">
        <v>107.6</v>
      </c>
      <c r="AY50" s="61">
        <v>94.2</v>
      </c>
      <c r="AZ50" s="61">
        <v>121</v>
      </c>
      <c r="BA50" s="61">
        <v>407.2</v>
      </c>
      <c r="BB50" s="61">
        <v>54</v>
      </c>
      <c r="BC50" s="61">
        <v>84.3</v>
      </c>
      <c r="BD50" s="61">
        <v>84</v>
      </c>
      <c r="BE50" s="61">
        <v>60.712007</v>
      </c>
      <c r="BF50" s="61">
        <v>283.02775399999996</v>
      </c>
      <c r="BG50" s="61">
        <v>73.399362999999994</v>
      </c>
    </row>
    <row r="51" spans="1:59">
      <c r="A51" s="21"/>
      <c r="B51" s="78" t="s">
        <v>278</v>
      </c>
      <c r="C51" s="78" t="s">
        <v>672</v>
      </c>
      <c r="D51" s="79">
        <v>0</v>
      </c>
      <c r="E51" s="79">
        <v>0</v>
      </c>
      <c r="F51" s="79">
        <v>0.7</v>
      </c>
      <c r="G51" s="79">
        <v>0.8</v>
      </c>
      <c r="H51" s="79">
        <v>1.5</v>
      </c>
      <c r="I51" s="79">
        <v>1.1000000000000001</v>
      </c>
      <c r="J51" s="79">
        <v>1.2</v>
      </c>
      <c r="K51" s="79">
        <v>1.2</v>
      </c>
      <c r="L51" s="79">
        <v>2</v>
      </c>
      <c r="M51" s="79">
        <v>5.5</v>
      </c>
      <c r="N51" s="79">
        <v>1.4</v>
      </c>
      <c r="O51" s="79">
        <v>1.9</v>
      </c>
      <c r="P51" s="79">
        <v>1.6</v>
      </c>
      <c r="Q51" s="79">
        <v>1.4</v>
      </c>
      <c r="R51" s="79">
        <v>6.3000000000000007</v>
      </c>
      <c r="S51" s="79">
        <v>2.1</v>
      </c>
      <c r="T51" s="79">
        <v>0.8</v>
      </c>
      <c r="U51" s="79">
        <v>2.1</v>
      </c>
      <c r="V51" s="79">
        <v>2.1</v>
      </c>
      <c r="W51" s="79">
        <v>7.1</v>
      </c>
      <c r="X51" s="79">
        <v>2.9</v>
      </c>
      <c r="Y51" s="79">
        <v>1.4</v>
      </c>
      <c r="Z51" s="80">
        <v>2.2000000000000002</v>
      </c>
      <c r="AA51" s="80">
        <v>3.6</v>
      </c>
      <c r="AB51" s="80">
        <v>10</v>
      </c>
      <c r="AC51" s="80">
        <v>2.2000000000000002</v>
      </c>
      <c r="AD51" s="79">
        <v>1.9</v>
      </c>
      <c r="AE51" s="79">
        <v>1.7</v>
      </c>
      <c r="AF51" s="79">
        <v>5.0999999999999996</v>
      </c>
      <c r="AG51" s="80">
        <v>10.9</v>
      </c>
      <c r="AH51" s="80">
        <v>2.5</v>
      </c>
      <c r="AI51" s="80">
        <v>2.2000000000000002</v>
      </c>
      <c r="AJ51" s="81">
        <v>0</v>
      </c>
      <c r="AK51" s="80">
        <v>0</v>
      </c>
      <c r="AL51" s="80">
        <v>4.7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  <c r="AY51" s="80">
        <v>0</v>
      </c>
      <c r="AZ51" s="80">
        <v>0</v>
      </c>
      <c r="BA51" s="80">
        <v>0</v>
      </c>
      <c r="BB51" s="80">
        <v>0</v>
      </c>
      <c r="BC51" s="80">
        <v>0</v>
      </c>
      <c r="BD51" s="80">
        <v>0</v>
      </c>
      <c r="BE51" s="80">
        <v>0</v>
      </c>
      <c r="BF51" s="80">
        <v>0</v>
      </c>
      <c r="BG51" s="80">
        <v>0</v>
      </c>
    </row>
    <row r="52" spans="1:59">
      <c r="A52" s="21"/>
      <c r="B52" s="78" t="s">
        <v>279</v>
      </c>
      <c r="C52" s="78" t="s">
        <v>673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1.6</v>
      </c>
      <c r="O52" s="79">
        <v>1.3</v>
      </c>
      <c r="P52" s="79">
        <v>0.7</v>
      </c>
      <c r="Q52" s="79">
        <v>0.2</v>
      </c>
      <c r="R52" s="79">
        <v>3.8000000000000007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79">
        <v>0</v>
      </c>
      <c r="Z52" s="80">
        <v>0</v>
      </c>
      <c r="AA52" s="80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79">
        <v>0</v>
      </c>
      <c r="AI52" s="79">
        <v>0</v>
      </c>
      <c r="AJ52" s="79">
        <v>0</v>
      </c>
      <c r="AK52" s="80">
        <v>0</v>
      </c>
      <c r="AL52" s="80">
        <v>0</v>
      </c>
      <c r="AM52" s="79">
        <v>0</v>
      </c>
      <c r="AN52" s="79">
        <v>0</v>
      </c>
      <c r="AO52" s="79">
        <v>0</v>
      </c>
      <c r="AP52" s="79">
        <v>0</v>
      </c>
      <c r="AQ52" s="79">
        <v>0</v>
      </c>
      <c r="AR52" s="79">
        <v>0</v>
      </c>
      <c r="AS52" s="79">
        <v>0</v>
      </c>
      <c r="AT52" s="79">
        <v>0</v>
      </c>
      <c r="AU52" s="79">
        <v>0</v>
      </c>
      <c r="AV52" s="79">
        <v>0</v>
      </c>
      <c r="AW52" s="79">
        <v>0</v>
      </c>
      <c r="AX52" s="79">
        <v>0</v>
      </c>
      <c r="AY52" s="79">
        <v>0</v>
      </c>
      <c r="AZ52" s="79">
        <v>0</v>
      </c>
      <c r="BA52" s="80">
        <v>0</v>
      </c>
      <c r="BB52" s="80">
        <v>0</v>
      </c>
      <c r="BC52" s="80">
        <v>0</v>
      </c>
      <c r="BD52" s="80">
        <v>0</v>
      </c>
      <c r="BE52" s="80">
        <v>0</v>
      </c>
      <c r="BF52" s="80">
        <v>0</v>
      </c>
      <c r="BG52" s="80">
        <v>0</v>
      </c>
    </row>
    <row r="53" spans="1:59">
      <c r="A53" s="21"/>
      <c r="B53" s="78" t="s">
        <v>280</v>
      </c>
      <c r="C53" s="78" t="s">
        <v>674</v>
      </c>
      <c r="D53" s="79">
        <v>0</v>
      </c>
      <c r="E53" s="79">
        <v>0</v>
      </c>
      <c r="F53" s="79">
        <v>0.7</v>
      </c>
      <c r="G53" s="79">
        <v>0.8</v>
      </c>
      <c r="H53" s="79">
        <v>1.5</v>
      </c>
      <c r="I53" s="79">
        <v>1.1000000000000001</v>
      </c>
      <c r="J53" s="79">
        <v>1.2</v>
      </c>
      <c r="K53" s="79">
        <v>1.2</v>
      </c>
      <c r="L53" s="79">
        <v>2</v>
      </c>
      <c r="M53" s="79">
        <v>5.5</v>
      </c>
      <c r="N53" s="79">
        <v>3</v>
      </c>
      <c r="O53" s="79">
        <v>3.2</v>
      </c>
      <c r="P53" s="79">
        <v>2.2999999999999998</v>
      </c>
      <c r="Q53" s="79">
        <v>1.5999999999999999</v>
      </c>
      <c r="R53" s="79">
        <v>10.100000000000001</v>
      </c>
      <c r="S53" s="79">
        <v>2.1</v>
      </c>
      <c r="T53" s="79">
        <v>0.8</v>
      </c>
      <c r="U53" s="79">
        <v>2.1</v>
      </c>
      <c r="V53" s="79">
        <v>2.1</v>
      </c>
      <c r="W53" s="79">
        <v>7.1</v>
      </c>
      <c r="X53" s="79">
        <v>2.9</v>
      </c>
      <c r="Y53" s="79">
        <v>1.4</v>
      </c>
      <c r="Z53" s="79">
        <v>2.2000000000000002</v>
      </c>
      <c r="AA53" s="79">
        <v>3.6</v>
      </c>
      <c r="AB53" s="79">
        <v>10</v>
      </c>
      <c r="AC53" s="79">
        <v>2.2000000000000002</v>
      </c>
      <c r="AD53" s="79">
        <v>1.9</v>
      </c>
      <c r="AE53" s="79">
        <v>1.7</v>
      </c>
      <c r="AF53" s="79">
        <v>5.0999999999999996</v>
      </c>
      <c r="AG53" s="79">
        <v>10.9</v>
      </c>
      <c r="AH53" s="79">
        <v>2.5</v>
      </c>
      <c r="AI53" s="79">
        <v>2.2000000000000002</v>
      </c>
      <c r="AJ53" s="79">
        <v>0</v>
      </c>
      <c r="AK53" s="80">
        <v>0</v>
      </c>
      <c r="AL53" s="80">
        <v>4.7</v>
      </c>
      <c r="AM53" s="79">
        <v>0</v>
      </c>
      <c r="AN53" s="79">
        <v>0</v>
      </c>
      <c r="AO53" s="79">
        <v>0</v>
      </c>
      <c r="AP53" s="79">
        <v>0</v>
      </c>
      <c r="AQ53" s="79">
        <v>0</v>
      </c>
      <c r="AR53" s="79">
        <v>0</v>
      </c>
      <c r="AS53" s="79">
        <v>0</v>
      </c>
      <c r="AT53" s="79">
        <v>0</v>
      </c>
      <c r="AU53" s="79">
        <v>0</v>
      </c>
      <c r="AV53" s="79">
        <v>0</v>
      </c>
      <c r="AW53" s="79">
        <v>0</v>
      </c>
      <c r="AX53" s="79">
        <v>0</v>
      </c>
      <c r="AY53" s="79">
        <v>0</v>
      </c>
      <c r="AZ53" s="79">
        <v>0</v>
      </c>
      <c r="BA53" s="80">
        <v>0</v>
      </c>
      <c r="BB53" s="80">
        <v>0</v>
      </c>
      <c r="BC53" s="80">
        <v>0</v>
      </c>
      <c r="BD53" s="80">
        <v>0</v>
      </c>
      <c r="BE53" s="80">
        <v>0</v>
      </c>
      <c r="BF53" s="80">
        <v>0</v>
      </c>
      <c r="BG53" s="80">
        <v>0</v>
      </c>
    </row>
    <row r="54" spans="1:59">
      <c r="A54" s="21"/>
      <c r="B54" s="78"/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80"/>
      <c r="AL54" s="80"/>
      <c r="AM54" s="79"/>
      <c r="AN54" s="79"/>
      <c r="AO54" s="79"/>
      <c r="AP54" s="79"/>
      <c r="AQ54" s="79"/>
      <c r="AR54" s="79"/>
      <c r="AS54" s="79"/>
      <c r="AT54" s="79"/>
      <c r="AU54" s="79"/>
      <c r="AV54" s="79"/>
    </row>
    <row r="55" spans="1:59">
      <c r="A55" s="21"/>
      <c r="B55" s="82" t="s">
        <v>281</v>
      </c>
      <c r="C55" s="82" t="s">
        <v>675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</row>
    <row r="56" spans="1:59">
      <c r="A56" s="21"/>
      <c r="B56" s="57" t="s">
        <v>251</v>
      </c>
      <c r="C56" s="57" t="s">
        <v>469</v>
      </c>
      <c r="D56" s="60">
        <v>76.599999999999994</v>
      </c>
      <c r="E56" s="60">
        <v>83.6</v>
      </c>
      <c r="F56" s="60">
        <v>98.2</v>
      </c>
      <c r="G56" s="60">
        <v>104.5</v>
      </c>
      <c r="H56" s="60">
        <v>362.9</v>
      </c>
      <c r="I56" s="60">
        <v>100.7</v>
      </c>
      <c r="J56" s="60">
        <v>98.6</v>
      </c>
      <c r="K56" s="60">
        <v>103.9</v>
      </c>
      <c r="L56" s="60">
        <v>99.4</v>
      </c>
      <c r="M56" s="60">
        <v>402.6</v>
      </c>
      <c r="N56" s="60">
        <v>103.5</v>
      </c>
      <c r="O56" s="60">
        <v>101.3</v>
      </c>
      <c r="P56" s="60">
        <v>97.7</v>
      </c>
      <c r="Q56" s="60">
        <v>105.2</v>
      </c>
      <c r="R56" s="60">
        <v>407.7</v>
      </c>
      <c r="S56" s="60">
        <v>140.80000000000001</v>
      </c>
      <c r="T56" s="60">
        <v>139.6</v>
      </c>
      <c r="U56" s="60">
        <v>158.69999999999999</v>
      </c>
      <c r="V56" s="60">
        <v>151.1</v>
      </c>
      <c r="W56" s="60">
        <v>590.19999999999993</v>
      </c>
      <c r="X56" s="60">
        <v>165.7</v>
      </c>
      <c r="Y56" s="60">
        <v>149.69999999999999</v>
      </c>
      <c r="Z56" s="60">
        <v>184.9</v>
      </c>
      <c r="AA56" s="60">
        <v>196</v>
      </c>
      <c r="AB56" s="60">
        <v>696.3</v>
      </c>
      <c r="AC56" s="60">
        <v>199.2</v>
      </c>
      <c r="AD56" s="60">
        <v>198.9</v>
      </c>
      <c r="AE56" s="60">
        <v>247.2</v>
      </c>
      <c r="AF56" s="60">
        <v>199.5</v>
      </c>
      <c r="AG56" s="60">
        <v>844.8</v>
      </c>
      <c r="AH56" s="60">
        <v>192.7</v>
      </c>
      <c r="AI56" s="60">
        <v>201.8</v>
      </c>
      <c r="AJ56" s="60">
        <v>182.2</v>
      </c>
      <c r="AK56" s="61">
        <v>181.47315071783299</v>
      </c>
      <c r="AL56" s="61">
        <v>758.1731507178331</v>
      </c>
      <c r="AM56" s="60">
        <v>137.80000000000001</v>
      </c>
      <c r="AN56" s="60">
        <v>161.1</v>
      </c>
      <c r="AO56" s="60">
        <v>167</v>
      </c>
      <c r="AP56" s="61">
        <v>165.1</v>
      </c>
      <c r="AQ56" s="61">
        <v>631</v>
      </c>
      <c r="AR56" s="61">
        <v>148.69999999999999</v>
      </c>
      <c r="AS56" s="61">
        <v>176.7</v>
      </c>
      <c r="AT56" s="61">
        <v>199.67018561591701</v>
      </c>
      <c r="AU56" s="61">
        <v>188</v>
      </c>
      <c r="AV56" s="61">
        <v>713</v>
      </c>
      <c r="AW56" s="61">
        <v>169.7</v>
      </c>
      <c r="AX56" s="61">
        <v>193.8</v>
      </c>
      <c r="AY56" s="61">
        <v>303.39999999999998</v>
      </c>
      <c r="AZ56" s="61">
        <v>269.7</v>
      </c>
      <c r="BA56" s="61">
        <v>936.6</v>
      </c>
      <c r="BB56" s="61">
        <v>244.5</v>
      </c>
      <c r="BC56" s="61">
        <v>236.6</v>
      </c>
      <c r="BD56" s="61">
        <v>262.39999999999998</v>
      </c>
      <c r="BE56" s="61">
        <v>274.24189765148697</v>
      </c>
      <c r="BF56" s="61">
        <v>1017.7121648826019</v>
      </c>
      <c r="BG56" s="61">
        <v>244.034747740797</v>
      </c>
    </row>
    <row r="57" spans="1:59">
      <c r="A57" s="21"/>
      <c r="B57" s="28" t="s">
        <v>270</v>
      </c>
      <c r="C57" s="28" t="s">
        <v>665</v>
      </c>
      <c r="D57" s="65">
        <f t="shared" ref="D57:AI57" si="8">D56/D$9</f>
        <v>0.45032333921222806</v>
      </c>
      <c r="E57" s="65">
        <f t="shared" si="8"/>
        <v>0.44256220222339859</v>
      </c>
      <c r="F57" s="65">
        <f t="shared" si="8"/>
        <v>0.50384812724474093</v>
      </c>
      <c r="G57" s="65">
        <f t="shared" si="8"/>
        <v>0.51503203548546084</v>
      </c>
      <c r="H57" s="65">
        <f t="shared" si="8"/>
        <v>0.47951902748414377</v>
      </c>
      <c r="I57" s="65">
        <f t="shared" si="8"/>
        <v>0.48883495145631067</v>
      </c>
      <c r="J57" s="65">
        <f t="shared" si="8"/>
        <v>0.46509433962264146</v>
      </c>
      <c r="K57" s="65">
        <f t="shared" si="8"/>
        <v>0.45530236634531118</v>
      </c>
      <c r="L57" s="65">
        <f t="shared" si="8"/>
        <v>0.43653930610452352</v>
      </c>
      <c r="M57" s="65">
        <f t="shared" si="8"/>
        <v>0.46069344318571914</v>
      </c>
      <c r="N57" s="65">
        <f t="shared" si="8"/>
        <v>0.4726027397260274</v>
      </c>
      <c r="O57" s="65">
        <f t="shared" si="8"/>
        <v>0.44062635928664634</v>
      </c>
      <c r="P57" s="65">
        <f t="shared" si="8"/>
        <v>0.43713646532438483</v>
      </c>
      <c r="Q57" s="65">
        <f t="shared" si="8"/>
        <v>0.46880570409982175</v>
      </c>
      <c r="R57" s="65">
        <f t="shared" si="8"/>
        <v>0.45461641391614632</v>
      </c>
      <c r="S57" s="65">
        <f t="shared" si="8"/>
        <v>0.52674897119341568</v>
      </c>
      <c r="T57" s="65">
        <f t="shared" si="8"/>
        <v>0.50708318198329094</v>
      </c>
      <c r="U57" s="65">
        <f t="shared" si="8"/>
        <v>0.50253324889170359</v>
      </c>
      <c r="V57" s="65">
        <f t="shared" si="8"/>
        <v>0.47725837018319639</v>
      </c>
      <c r="W57" s="65">
        <f t="shared" si="8"/>
        <v>0.50229787234042544</v>
      </c>
      <c r="X57" s="65">
        <f t="shared" si="8"/>
        <v>0.55214928357214255</v>
      </c>
      <c r="Y57" s="65">
        <f t="shared" si="8"/>
        <v>0.50831918505942275</v>
      </c>
      <c r="Z57" s="65">
        <f t="shared" si="8"/>
        <v>0.5393815635939323</v>
      </c>
      <c r="AA57" s="65">
        <f t="shared" si="8"/>
        <v>0.54656999442275511</v>
      </c>
      <c r="AB57" s="65">
        <f t="shared" si="8"/>
        <v>0.53722706581282309</v>
      </c>
      <c r="AC57" s="65">
        <f t="shared" si="8"/>
        <v>0.5516477430074771</v>
      </c>
      <c r="AD57" s="65">
        <f t="shared" si="8"/>
        <v>0.52549537648612943</v>
      </c>
      <c r="AE57" s="65">
        <f t="shared" si="8"/>
        <v>0.5477509417239087</v>
      </c>
      <c r="AF57" s="65">
        <f t="shared" si="8"/>
        <v>0.44680851063829785</v>
      </c>
      <c r="AG57" s="65">
        <f t="shared" si="8"/>
        <v>0.51593990472700613</v>
      </c>
      <c r="AH57" s="65">
        <f t="shared" si="8"/>
        <v>0.4348905438952832</v>
      </c>
      <c r="AI57" s="65">
        <f t="shared" si="8"/>
        <v>0.46094106898127002</v>
      </c>
      <c r="AJ57" s="65">
        <v>0.42699999999999999</v>
      </c>
      <c r="AK57" s="65">
        <v>0.43516572315909335</v>
      </c>
      <c r="AL57" s="65">
        <v>0.43982133066403345</v>
      </c>
      <c r="AM57" s="65">
        <v>0.38400000000000001</v>
      </c>
      <c r="AN57" s="65">
        <v>0.41099999999999998</v>
      </c>
      <c r="AO57" s="65">
        <v>0.40500000000000003</v>
      </c>
      <c r="AP57" s="65">
        <v>0.40100000000000002</v>
      </c>
      <c r="AQ57" s="65">
        <v>0.40100000000000002</v>
      </c>
      <c r="AR57" s="65">
        <f>AR56/AR9</f>
        <v>0.384933989127621</v>
      </c>
      <c r="AS57" s="65">
        <f>AS56/AS9</f>
        <v>0.41881962550367385</v>
      </c>
      <c r="AT57" s="65">
        <v>0.41697743567791029</v>
      </c>
      <c r="AU57" s="65">
        <v>0.42</v>
      </c>
      <c r="AV57" s="65">
        <v>0.41099999999999998</v>
      </c>
      <c r="AW57" s="65">
        <v>0.39799999999999996</v>
      </c>
      <c r="AX57" s="65">
        <v>0.41799999999999998</v>
      </c>
      <c r="AY57" s="65">
        <v>0.53300000000000003</v>
      </c>
      <c r="AZ57" s="65">
        <v>0.49099999999999999</v>
      </c>
      <c r="BA57" s="65">
        <v>0.46600000000000003</v>
      </c>
      <c r="BB57" s="65">
        <v>0.52700000000000002</v>
      </c>
      <c r="BC57" s="65">
        <v>0.57099999999999995</v>
      </c>
      <c r="BD57" s="65">
        <v>0.503</v>
      </c>
      <c r="BE57" s="65">
        <v>0.50912581783149458</v>
      </c>
      <c r="BF57" s="65">
        <v>0.52485023573421741</v>
      </c>
      <c r="BG57" s="65">
        <v>0.49833520061424752</v>
      </c>
    </row>
    <row r="58" spans="1:59">
      <c r="A58" s="21"/>
      <c r="B58" s="57" t="s">
        <v>252</v>
      </c>
      <c r="C58" s="57" t="s">
        <v>648</v>
      </c>
      <c r="D58" s="60">
        <v>5.2</v>
      </c>
      <c r="E58" s="60">
        <v>7.9</v>
      </c>
      <c r="F58" s="60">
        <v>14.9</v>
      </c>
      <c r="G58" s="60">
        <v>18.7</v>
      </c>
      <c r="H58" s="60">
        <v>46.7</v>
      </c>
      <c r="I58" s="60">
        <v>15.1</v>
      </c>
      <c r="J58" s="60">
        <v>15.3</v>
      </c>
      <c r="K58" s="60">
        <v>16.899999999999999</v>
      </c>
      <c r="L58" s="60">
        <v>15.2</v>
      </c>
      <c r="M58" s="60">
        <v>62.5</v>
      </c>
      <c r="N58" s="61">
        <v>16</v>
      </c>
      <c r="O58" s="60">
        <v>15.6</v>
      </c>
      <c r="P58" s="60">
        <v>13.5</v>
      </c>
      <c r="Q58" s="60">
        <v>12.5</v>
      </c>
      <c r="R58" s="60">
        <v>57.6</v>
      </c>
      <c r="S58" s="61">
        <v>11</v>
      </c>
      <c r="T58" s="60">
        <v>3.6</v>
      </c>
      <c r="U58" s="61">
        <v>10</v>
      </c>
      <c r="V58" s="60">
        <v>8.6</v>
      </c>
      <c r="W58" s="60">
        <v>33.200000000000003</v>
      </c>
      <c r="X58" s="60">
        <v>12.4</v>
      </c>
      <c r="Y58" s="60">
        <v>12.2</v>
      </c>
      <c r="Z58" s="60">
        <v>26.5</v>
      </c>
      <c r="AA58" s="60">
        <v>20.5</v>
      </c>
      <c r="AB58" s="60">
        <v>71.599999999999994</v>
      </c>
      <c r="AC58" s="60">
        <v>18.899999999999999</v>
      </c>
      <c r="AD58" s="60">
        <v>18.399999999999999</v>
      </c>
      <c r="AE58" s="60">
        <v>21.7</v>
      </c>
      <c r="AF58" s="60">
        <v>5.7</v>
      </c>
      <c r="AG58" s="60">
        <v>64.7</v>
      </c>
      <c r="AH58" s="60">
        <v>10.9</v>
      </c>
      <c r="AI58" s="61">
        <v>14</v>
      </c>
      <c r="AJ58" s="61">
        <v>14.6</v>
      </c>
      <c r="AK58" s="61">
        <v>13.49868</v>
      </c>
      <c r="AL58" s="61">
        <v>52.99868</v>
      </c>
      <c r="AM58" s="61">
        <v>-5.3</v>
      </c>
      <c r="AN58" s="61">
        <v>7.4</v>
      </c>
      <c r="AO58" s="61">
        <v>4.7</v>
      </c>
      <c r="AP58" s="61">
        <v>4</v>
      </c>
      <c r="AQ58" s="61">
        <v>10.8</v>
      </c>
      <c r="AR58" s="61">
        <v>9.8000000000000007</v>
      </c>
      <c r="AS58" s="61">
        <v>17.899999999999999</v>
      </c>
      <c r="AT58" s="61">
        <v>19.5928558398649</v>
      </c>
      <c r="AU58" s="61">
        <v>10</v>
      </c>
      <c r="AV58" s="61">
        <v>57.3</v>
      </c>
      <c r="AW58" s="61">
        <v>2.1</v>
      </c>
      <c r="AX58" s="61">
        <v>9</v>
      </c>
      <c r="AY58" s="61">
        <v>37.6</v>
      </c>
      <c r="AZ58" s="61">
        <v>23.4</v>
      </c>
      <c r="BA58" s="61">
        <v>72.099999999999994</v>
      </c>
      <c r="BB58" s="61">
        <v>8.6999999999999993</v>
      </c>
      <c r="BC58" s="61">
        <v>17.5</v>
      </c>
      <c r="BD58" s="61">
        <v>26.4</v>
      </c>
      <c r="BE58" s="61">
        <v>11.814147241971899</v>
      </c>
      <c r="BF58" s="61">
        <v>64.442786625203951</v>
      </c>
      <c r="BG58" s="61">
        <v>10.1126573931581</v>
      </c>
    </row>
    <row r="59" spans="1:59">
      <c r="A59" s="21"/>
      <c r="B59" s="63" t="s">
        <v>253</v>
      </c>
      <c r="C59" s="63" t="s">
        <v>649</v>
      </c>
      <c r="D59" s="64">
        <f>IFERROR(D58/D56,"N/A")</f>
        <v>6.7885117493472591E-2</v>
      </c>
      <c r="E59" s="64">
        <f t="shared" ref="E59:AG59" si="9">IFERROR(E58/E56,"N/A")</f>
        <v>9.44976076555024E-2</v>
      </c>
      <c r="F59" s="64">
        <f t="shared" si="9"/>
        <v>0.15173116089613034</v>
      </c>
      <c r="G59" s="64">
        <f t="shared" si="9"/>
        <v>0.17894736842105263</v>
      </c>
      <c r="H59" s="77">
        <f t="shared" si="9"/>
        <v>0.12868558831634061</v>
      </c>
      <c r="I59" s="64">
        <f t="shared" si="9"/>
        <v>0.14995034756703077</v>
      </c>
      <c r="J59" s="64">
        <f t="shared" si="9"/>
        <v>0.15517241379310345</v>
      </c>
      <c r="K59" s="64">
        <f t="shared" si="9"/>
        <v>0.16265640038498555</v>
      </c>
      <c r="L59" s="64">
        <f t="shared" si="9"/>
        <v>0.15291750503018106</v>
      </c>
      <c r="M59" s="77">
        <f t="shared" si="9"/>
        <v>0.15524093392945851</v>
      </c>
      <c r="N59" s="64">
        <f t="shared" si="9"/>
        <v>0.15458937198067632</v>
      </c>
      <c r="O59" s="64">
        <f t="shared" si="9"/>
        <v>0.15399802566633761</v>
      </c>
      <c r="P59" s="64">
        <f t="shared" si="9"/>
        <v>0.13817809621289662</v>
      </c>
      <c r="Q59" s="64">
        <f t="shared" si="9"/>
        <v>0.1188212927756654</v>
      </c>
      <c r="R59" s="64">
        <f t="shared" si="9"/>
        <v>0.141280353200883</v>
      </c>
      <c r="S59" s="64">
        <f t="shared" si="9"/>
        <v>7.8125E-2</v>
      </c>
      <c r="T59" s="64">
        <f t="shared" si="9"/>
        <v>2.5787965616045846E-2</v>
      </c>
      <c r="U59" s="64">
        <f t="shared" si="9"/>
        <v>6.3011972274732209E-2</v>
      </c>
      <c r="V59" s="64">
        <f t="shared" si="9"/>
        <v>5.6915949702183985E-2</v>
      </c>
      <c r="W59" s="64">
        <f t="shared" si="9"/>
        <v>5.6252117926126749E-2</v>
      </c>
      <c r="X59" s="64">
        <f t="shared" si="9"/>
        <v>7.4834037417018717E-2</v>
      </c>
      <c r="Y59" s="64">
        <f t="shared" si="9"/>
        <v>8.1496325985303944E-2</v>
      </c>
      <c r="Z59" s="64">
        <f t="shared" si="9"/>
        <v>0.14332071389940507</v>
      </c>
      <c r="AA59" s="64">
        <f t="shared" si="9"/>
        <v>0.10459183673469388</v>
      </c>
      <c r="AB59" s="64">
        <f t="shared" si="9"/>
        <v>0.10282924026999857</v>
      </c>
      <c r="AC59" s="64">
        <f t="shared" si="9"/>
        <v>9.4879518072289157E-2</v>
      </c>
      <c r="AD59" s="64">
        <f t="shared" si="9"/>
        <v>9.2508798391151323E-2</v>
      </c>
      <c r="AE59" s="64">
        <f t="shared" si="9"/>
        <v>8.7783171521035597E-2</v>
      </c>
      <c r="AF59" s="64">
        <f t="shared" si="9"/>
        <v>2.8571428571428574E-2</v>
      </c>
      <c r="AG59" s="64">
        <f t="shared" si="9"/>
        <v>7.6586174242424254E-2</v>
      </c>
      <c r="AH59" s="64">
        <f>IFERROR(AH58/AH56,"N/A")</f>
        <v>5.6564608199273489E-2</v>
      </c>
      <c r="AI59" s="64">
        <f>IFERROR(AI58/AI56,"N/A")</f>
        <v>6.9375619425173438E-2</v>
      </c>
      <c r="AJ59" s="64">
        <v>0.08</v>
      </c>
      <c r="AK59" s="64">
        <v>7.4383896166484054E-2</v>
      </c>
      <c r="AL59" s="64">
        <v>6.9903134857547011E-2</v>
      </c>
      <c r="AM59" s="64">
        <v>-3.7999999999999999E-2</v>
      </c>
      <c r="AN59" s="64">
        <v>4.5999999999999999E-2</v>
      </c>
      <c r="AO59" s="64">
        <v>2.7999999999999997E-2</v>
      </c>
      <c r="AP59" s="64">
        <v>2.4E-2</v>
      </c>
      <c r="AQ59" s="64">
        <v>1.7000000000000001E-2</v>
      </c>
      <c r="AR59" s="64">
        <f>AR58/AR56</f>
        <v>6.5904505716207137E-2</v>
      </c>
      <c r="AS59" s="64">
        <f>AS58/AS56</f>
        <v>0.10130164119977363</v>
      </c>
      <c r="AT59" s="64">
        <v>9.812609618921006E-2</v>
      </c>
      <c r="AU59" s="64">
        <v>5.2999999999999999E-2</v>
      </c>
      <c r="AV59" s="64">
        <v>0.08</v>
      </c>
      <c r="AW59" s="64">
        <v>1.2E-2</v>
      </c>
      <c r="AX59" s="64">
        <v>4.5999999999999999E-2</v>
      </c>
      <c r="AY59" s="64">
        <v>0.124</v>
      </c>
      <c r="AZ59" s="64">
        <v>8.6999999999999994E-2</v>
      </c>
      <c r="BA59" s="65">
        <v>7.6999999999999999E-2</v>
      </c>
      <c r="BB59" s="65">
        <v>3.5999999999999997E-2</v>
      </c>
      <c r="BC59" s="65">
        <v>7.3999999999999996E-2</v>
      </c>
      <c r="BD59" s="65">
        <v>0.10100000000000001</v>
      </c>
      <c r="BE59" s="65">
        <v>4.3079293656965549E-2</v>
      </c>
      <c r="BF59" s="65">
        <v>6.3321230549148191E-2</v>
      </c>
      <c r="BG59" s="65">
        <v>4.1439415848677913E-2</v>
      </c>
    </row>
    <row r="60" spans="1:59">
      <c r="A60" s="21"/>
      <c r="B60" s="6" t="s">
        <v>271</v>
      </c>
      <c r="C60" s="6" t="s">
        <v>666</v>
      </c>
      <c r="D60" s="65">
        <f t="shared" ref="D60:AI60" si="10">D58/D$10</f>
        <v>0.13866666666666666</v>
      </c>
      <c r="E60" s="77">
        <f t="shared" si="10"/>
        <v>0.20256410256410257</v>
      </c>
      <c r="F60" s="77">
        <f t="shared" si="10"/>
        <v>0.33258928571428575</v>
      </c>
      <c r="G60" s="77">
        <f t="shared" si="10"/>
        <v>0.34629629629629627</v>
      </c>
      <c r="H60" s="77">
        <f t="shared" si="10"/>
        <v>0.26640045636052484</v>
      </c>
      <c r="I60" s="77">
        <f t="shared" si="10"/>
        <v>0.35034802784222735</v>
      </c>
      <c r="J60" s="77">
        <f t="shared" si="10"/>
        <v>0.33552631578947367</v>
      </c>
      <c r="K60" s="77">
        <f t="shared" si="10"/>
        <v>0.30395683453237404</v>
      </c>
      <c r="L60" s="77">
        <f t="shared" si="10"/>
        <v>0.27046263345195726</v>
      </c>
      <c r="M60" s="77">
        <f t="shared" si="10"/>
        <v>0.31187624750498999</v>
      </c>
      <c r="N60" s="77">
        <f t="shared" si="10"/>
        <v>0.3065134099616858</v>
      </c>
      <c r="O60" s="77">
        <f t="shared" si="10"/>
        <v>0.2662116040955631</v>
      </c>
      <c r="P60" s="77">
        <f t="shared" si="10"/>
        <v>0.24907749077490773</v>
      </c>
      <c r="Q60" s="77">
        <f t="shared" si="10"/>
        <v>0.22202486678507993</v>
      </c>
      <c r="R60" s="77">
        <f t="shared" si="10"/>
        <v>0.26028016267510168</v>
      </c>
      <c r="S60" s="77">
        <f t="shared" si="10"/>
        <v>0.22</v>
      </c>
      <c r="T60" s="77">
        <f t="shared" si="10"/>
        <v>8.9108910891089119E-2</v>
      </c>
      <c r="U60" s="77">
        <f t="shared" si="10"/>
        <v>0.1490312965722802</v>
      </c>
      <c r="V60" s="77">
        <f t="shared" si="10"/>
        <v>0.13169984686064318</v>
      </c>
      <c r="W60" s="77">
        <f t="shared" si="10"/>
        <v>0.14901256732495513</v>
      </c>
      <c r="X60" s="77">
        <f t="shared" si="10"/>
        <v>0.21946902654867256</v>
      </c>
      <c r="Y60" s="77">
        <f t="shared" si="10"/>
        <v>0.21903052064631953</v>
      </c>
      <c r="Z60" s="77">
        <f t="shared" si="10"/>
        <v>0.3384418901660281</v>
      </c>
      <c r="AA60" s="77">
        <f t="shared" si="10"/>
        <v>0.26902887139107612</v>
      </c>
      <c r="AB60" s="77">
        <f t="shared" si="10"/>
        <v>0.26846644169478812</v>
      </c>
      <c r="AC60" s="77">
        <f t="shared" si="10"/>
        <v>0.27510917030567683</v>
      </c>
      <c r="AD60" s="77">
        <f t="shared" si="10"/>
        <v>0.24435590969455509</v>
      </c>
      <c r="AE60" s="77">
        <f t="shared" si="10"/>
        <v>0.26399026763990263</v>
      </c>
      <c r="AF60" s="77">
        <f t="shared" si="10"/>
        <v>7.0370370370370375E-2</v>
      </c>
      <c r="AG60" s="77">
        <f t="shared" si="10"/>
        <v>0.21061197916666669</v>
      </c>
      <c r="AH60" s="77">
        <f t="shared" si="10"/>
        <v>0.15774240231548484</v>
      </c>
      <c r="AI60" s="77">
        <f t="shared" si="10"/>
        <v>0.19525801952580193</v>
      </c>
      <c r="AJ60" s="77">
        <v>0.19400000000000001</v>
      </c>
      <c r="AK60" s="77">
        <v>0.21484251776762206</v>
      </c>
      <c r="AL60" s="77">
        <v>0.19000670346005086</v>
      </c>
      <c r="AM60" s="77">
        <v>-0.105</v>
      </c>
      <c r="AN60" s="77">
        <v>0.123</v>
      </c>
      <c r="AO60" s="77">
        <v>6.8000000000000005E-2</v>
      </c>
      <c r="AP60" s="77">
        <v>6.0999999999999999E-2</v>
      </c>
      <c r="AQ60" s="77">
        <v>4.3999999999999997E-2</v>
      </c>
      <c r="AR60" s="77">
        <f>AR58/AR10</f>
        <v>0.13424657534246576</v>
      </c>
      <c r="AS60" s="77">
        <f>AS58/AS10</f>
        <v>0.23216601815823606</v>
      </c>
      <c r="AT60" s="77">
        <v>0.24172380753647915</v>
      </c>
      <c r="AU60" s="77">
        <v>0.13500000000000001</v>
      </c>
      <c r="AV60" s="77">
        <v>0.188</v>
      </c>
      <c r="AW60" s="77">
        <v>3.1E-2</v>
      </c>
      <c r="AX60" s="77">
        <v>0.14299999999999999</v>
      </c>
      <c r="AY60" s="77">
        <v>0.38500000000000001</v>
      </c>
      <c r="AZ60" s="77">
        <v>0.28999999999999998</v>
      </c>
      <c r="BA60" s="65">
        <v>0.23300000000000001</v>
      </c>
      <c r="BB60" s="65">
        <v>0.14499999999999999</v>
      </c>
      <c r="BC60" s="65">
        <v>1</v>
      </c>
      <c r="BD60" s="65">
        <v>0.35399999999999998</v>
      </c>
      <c r="BE60" s="65">
        <v>0.23436174576418137</v>
      </c>
      <c r="BF60" s="65">
        <v>0.31827379217746316</v>
      </c>
      <c r="BG60" s="65">
        <v>0.16582045607687376</v>
      </c>
    </row>
    <row r="61" spans="1:59">
      <c r="B61" s="5" t="s">
        <v>277</v>
      </c>
      <c r="C61" s="5" t="s">
        <v>671</v>
      </c>
      <c r="D61" s="59">
        <v>33.200000000000003</v>
      </c>
      <c r="E61" s="59">
        <v>47.8</v>
      </c>
      <c r="F61" s="59">
        <v>44.6</v>
      </c>
      <c r="G61" s="59">
        <v>45.4</v>
      </c>
      <c r="H61" s="59">
        <v>171</v>
      </c>
      <c r="I61" s="59">
        <v>48.9</v>
      </c>
      <c r="J61" s="59">
        <v>44.7</v>
      </c>
      <c r="K61" s="59">
        <v>51</v>
      </c>
      <c r="L61" s="59">
        <v>41.3</v>
      </c>
      <c r="M61" s="59">
        <v>185.89999999999998</v>
      </c>
      <c r="N61" s="59">
        <v>49.3</v>
      </c>
      <c r="O61" s="59">
        <v>41.2</v>
      </c>
      <c r="P61" s="59">
        <v>37</v>
      </c>
      <c r="Q61" s="59">
        <v>35.700000000000003</v>
      </c>
      <c r="R61" s="59">
        <v>163.19999999999999</v>
      </c>
      <c r="S61" s="59">
        <v>35.1</v>
      </c>
      <c r="T61" s="59">
        <v>40.4</v>
      </c>
      <c r="U61" s="59">
        <v>43.8</v>
      </c>
      <c r="V61" s="59">
        <v>37</v>
      </c>
      <c r="W61" s="59">
        <v>156.30000000000001</v>
      </c>
      <c r="X61" s="59">
        <v>297.8</v>
      </c>
      <c r="Y61" s="60">
        <v>230.1</v>
      </c>
      <c r="Z61" s="59">
        <v>193.2</v>
      </c>
      <c r="AA61" s="59">
        <v>172.7</v>
      </c>
      <c r="AB61" s="59">
        <v>893.8</v>
      </c>
      <c r="AC61" s="59">
        <v>166.9</v>
      </c>
      <c r="AD61" s="60">
        <v>100.5</v>
      </c>
      <c r="AE61" s="60">
        <v>148.19999999999999</v>
      </c>
      <c r="AF61" s="60">
        <v>102</v>
      </c>
      <c r="AG61" s="59">
        <v>517.6</v>
      </c>
      <c r="AH61" s="60">
        <v>93.7</v>
      </c>
      <c r="AI61" s="60">
        <v>103.7</v>
      </c>
      <c r="AJ61" s="60">
        <v>103.3</v>
      </c>
      <c r="AK61" s="60">
        <v>92.199999999999989</v>
      </c>
      <c r="AL61" s="61">
        <v>392.88899999999995</v>
      </c>
      <c r="AM61" s="60">
        <v>65.3</v>
      </c>
      <c r="AN61" s="60">
        <v>95.1</v>
      </c>
      <c r="AO61" s="60">
        <v>95.8</v>
      </c>
      <c r="AP61" s="60">
        <v>93.6</v>
      </c>
      <c r="AQ61" s="60">
        <v>349.9</v>
      </c>
      <c r="AR61" s="60">
        <v>84.5</v>
      </c>
      <c r="AS61" s="60">
        <v>83.6</v>
      </c>
      <c r="AT61" s="61">
        <v>92.319000000000003</v>
      </c>
      <c r="AU61" s="61">
        <v>92.8</v>
      </c>
      <c r="AV61" s="60">
        <v>353.4</v>
      </c>
      <c r="AW61" s="60">
        <v>74.8</v>
      </c>
      <c r="AX61" s="60">
        <v>74.8</v>
      </c>
      <c r="AY61" s="60">
        <v>78.400000000000006</v>
      </c>
      <c r="AZ61" s="60">
        <v>98</v>
      </c>
      <c r="BA61" s="60">
        <v>326.3</v>
      </c>
      <c r="BB61" s="60">
        <v>71.2</v>
      </c>
      <c r="BC61" s="61">
        <v>60</v>
      </c>
      <c r="BD61" s="61">
        <v>65.599999999999994</v>
      </c>
      <c r="BE61" s="61">
        <v>76.831446000000014</v>
      </c>
      <c r="BF61" s="61">
        <v>273.72416500000003</v>
      </c>
      <c r="BG61" s="61">
        <v>60.547815999999997</v>
      </c>
    </row>
    <row r="62" spans="1:59">
      <c r="A62" s="21"/>
    </row>
    <row r="63" spans="1:59">
      <c r="A63" s="21"/>
    </row>
    <row r="64" spans="1:59">
      <c r="A64" s="21"/>
    </row>
    <row r="65" spans="1:1">
      <c r="A65" s="21"/>
    </row>
    <row r="67" spans="1:1">
      <c r="A67" s="21"/>
    </row>
    <row r="68" spans="1:1">
      <c r="A68" s="21"/>
    </row>
    <row r="69" spans="1:1">
      <c r="A69" s="21"/>
    </row>
    <row r="70" spans="1:1">
      <c r="A70" s="21"/>
    </row>
    <row r="71" spans="1:1">
      <c r="A71" s="21"/>
    </row>
    <row r="72" spans="1:1">
      <c r="A72" s="21"/>
    </row>
    <row r="73" spans="1:1">
      <c r="A73" s="21"/>
    </row>
    <row r="75" spans="1:1">
      <c r="A75" s="21"/>
    </row>
    <row r="79" spans="1:1">
      <c r="A79" s="21"/>
    </row>
    <row r="80" spans="1:1">
      <c r="A80" s="21"/>
    </row>
    <row r="81" spans="1:1">
      <c r="A81" s="21"/>
    </row>
    <row r="82" spans="1:1">
      <c r="A82" s="21"/>
    </row>
    <row r="83" spans="1:1">
      <c r="A83" s="21"/>
    </row>
    <row r="87" spans="1:1">
      <c r="A87" s="21"/>
    </row>
    <row r="88" spans="1:1">
      <c r="A88" s="21"/>
    </row>
    <row r="89" spans="1:1">
      <c r="A89" s="21"/>
    </row>
    <row r="90" spans="1:1">
      <c r="A90" s="21"/>
    </row>
    <row r="91" spans="1:1">
      <c r="A91" s="21"/>
    </row>
  </sheetData>
  <pageMargins left="0" right="0" top="0" bottom="0" header="0" footer="0"/>
  <pageSetup paperSize="9" scale="45" orientation="landscape" r:id="rId1"/>
  <headerFooter>
    <oddFooter>&amp;L_x000D_&amp;1#&amp;"Calibri"&amp;10&amp;K000000 Classificação da Informação: Documento Restrito</oddFooter>
  </headerFooter>
  <ignoredErrors>
    <ignoredError sqref="AZ3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2">
    <pageSetUpPr fitToPage="1"/>
  </sheetPr>
  <dimension ref="A1:AI106"/>
  <sheetViews>
    <sheetView showGridLines="0" zoomScale="80" zoomScaleNormal="80" workbookViewId="0">
      <pane xSplit="3" ySplit="7" topLeftCell="L8" activePane="bottomRight" state="frozen"/>
      <selection activeCell="D47" sqref="D47"/>
      <selection pane="topRight" activeCell="D47" sqref="D47"/>
      <selection pane="bottomLeft" activeCell="D47" sqref="D47"/>
      <selection pane="bottomRight" activeCell="AH7" sqref="AH7"/>
    </sheetView>
  </sheetViews>
  <sheetFormatPr defaultRowHeight="14.5" outlineLevelCol="1"/>
  <cols>
    <col min="1" max="1" width="1.54296875" style="1" customWidth="1"/>
    <col min="2" max="3" width="42.26953125" style="28" bestFit="1" customWidth="1"/>
    <col min="4" max="7" width="9.1796875" style="6" customWidth="1" outlineLevel="1"/>
    <col min="8" max="8" width="9.1796875" style="6" customWidth="1"/>
    <col min="9" max="12" width="9.1796875" style="6" customWidth="1" outlineLevel="1"/>
    <col min="13" max="13" width="9.1796875" style="6" customWidth="1"/>
    <col min="14" max="17" width="9.1796875" style="6" customWidth="1" outlineLevel="1"/>
    <col min="18" max="18" width="9.1796875" style="6" customWidth="1"/>
    <col min="19" max="22" width="9.7265625" customWidth="1" outlineLevel="1"/>
    <col min="23" max="23" width="10.1796875" bestFit="1" customWidth="1"/>
    <col min="24" max="27" width="9.7265625" customWidth="1" outlineLevel="1"/>
    <col min="28" max="30" width="9.7265625" bestFit="1" customWidth="1"/>
    <col min="31" max="31" width="9.54296875" bestFit="1" customWidth="1"/>
    <col min="34" max="34" width="11.7265625" bestFit="1" customWidth="1"/>
  </cols>
  <sheetData>
    <row r="1" spans="1:35" s="21" customFormat="1" ht="8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35">
      <c r="A2" s="21"/>
    </row>
    <row r="3" spans="1:35">
      <c r="A3" s="21"/>
    </row>
    <row r="4" spans="1:35">
      <c r="A4" s="21"/>
    </row>
    <row r="5" spans="1:35">
      <c r="A5" s="21"/>
    </row>
    <row r="6" spans="1:35" ht="16.5">
      <c r="A6" s="21"/>
      <c r="B6" s="56"/>
      <c r="C6" s="56"/>
      <c r="D6" s="56" t="s">
        <v>711</v>
      </c>
      <c r="E6" s="56" t="s">
        <v>712</v>
      </c>
      <c r="F6" s="56" t="s">
        <v>713</v>
      </c>
      <c r="G6" s="56" t="s">
        <v>714</v>
      </c>
      <c r="H6" s="56">
        <v>2016</v>
      </c>
      <c r="I6" s="56" t="s">
        <v>715</v>
      </c>
      <c r="J6" s="56" t="s">
        <v>716</v>
      </c>
      <c r="K6" s="56" t="s">
        <v>717</v>
      </c>
      <c r="L6" s="56" t="s">
        <v>718</v>
      </c>
      <c r="M6" s="56">
        <v>2017</v>
      </c>
      <c r="N6" s="56" t="s">
        <v>719</v>
      </c>
      <c r="O6" s="56" t="s">
        <v>720</v>
      </c>
      <c r="P6" s="56" t="s">
        <v>721</v>
      </c>
      <c r="Q6" s="56" t="s">
        <v>722</v>
      </c>
      <c r="R6" s="56">
        <v>2018</v>
      </c>
      <c r="S6" s="24" t="s">
        <v>723</v>
      </c>
      <c r="T6" s="24" t="s">
        <v>724</v>
      </c>
      <c r="U6" s="24" t="s">
        <v>725</v>
      </c>
      <c r="V6" s="24" t="s">
        <v>726</v>
      </c>
      <c r="W6" s="24" t="s">
        <v>125</v>
      </c>
      <c r="X6" s="24" t="s">
        <v>727</v>
      </c>
      <c r="Y6" s="24" t="s">
        <v>728</v>
      </c>
      <c r="Z6" s="24" t="s">
        <v>729</v>
      </c>
      <c r="AA6" s="24" t="s">
        <v>730</v>
      </c>
      <c r="AB6" s="24" t="s">
        <v>124</v>
      </c>
      <c r="AC6" s="24" t="s">
        <v>731</v>
      </c>
      <c r="AD6" s="24" t="s">
        <v>732</v>
      </c>
      <c r="AE6" s="24" t="s">
        <v>733</v>
      </c>
      <c r="AF6" s="24" t="s">
        <v>734</v>
      </c>
      <c r="AG6" s="56" t="s">
        <v>286</v>
      </c>
      <c r="AH6" s="56" t="s">
        <v>772</v>
      </c>
    </row>
    <row r="7" spans="1:35" ht="18" customHeight="1">
      <c r="A7" s="21"/>
      <c r="B7" s="55" t="s">
        <v>282</v>
      </c>
      <c r="C7" s="55" t="s">
        <v>647</v>
      </c>
      <c r="D7" s="56" t="s">
        <v>69</v>
      </c>
      <c r="E7" s="56" t="s">
        <v>70</v>
      </c>
      <c r="F7" s="56" t="s">
        <v>72</v>
      </c>
      <c r="G7" s="56" t="s">
        <v>73</v>
      </c>
      <c r="H7" s="56">
        <v>2016</v>
      </c>
      <c r="I7" s="56" t="s">
        <v>74</v>
      </c>
      <c r="J7" s="56" t="s">
        <v>75</v>
      </c>
      <c r="K7" s="56" t="s">
        <v>77</v>
      </c>
      <c r="L7" s="56" t="s">
        <v>79</v>
      </c>
      <c r="M7" s="56">
        <v>2017</v>
      </c>
      <c r="N7" s="56" t="s">
        <v>80</v>
      </c>
      <c r="O7" s="56" t="s">
        <v>81</v>
      </c>
      <c r="P7" s="56" t="s">
        <v>82</v>
      </c>
      <c r="Q7" s="56" t="s">
        <v>83</v>
      </c>
      <c r="R7" s="56">
        <v>2018</v>
      </c>
      <c r="S7" s="56" t="s">
        <v>241</v>
      </c>
      <c r="T7" s="56" t="s">
        <v>242</v>
      </c>
      <c r="U7" s="56" t="s">
        <v>243</v>
      </c>
      <c r="V7" s="56" t="s">
        <v>244</v>
      </c>
      <c r="W7" s="56" t="s">
        <v>125</v>
      </c>
      <c r="X7" s="56" t="s">
        <v>245</v>
      </c>
      <c r="Y7" s="56" t="s">
        <v>246</v>
      </c>
      <c r="Z7" s="56" t="s">
        <v>247</v>
      </c>
      <c r="AA7" s="56" t="s">
        <v>248</v>
      </c>
      <c r="AB7" s="56" t="s">
        <v>249</v>
      </c>
      <c r="AC7" s="56" t="s">
        <v>250</v>
      </c>
      <c r="AD7" s="56" t="s">
        <v>283</v>
      </c>
      <c r="AE7" s="56" t="s">
        <v>284</v>
      </c>
      <c r="AF7" s="56" t="s">
        <v>285</v>
      </c>
      <c r="AG7" s="56" t="s">
        <v>286</v>
      </c>
      <c r="AH7" s="56" t="s">
        <v>287</v>
      </c>
    </row>
    <row r="8" spans="1:35">
      <c r="A8" s="21"/>
      <c r="D8" s="38"/>
      <c r="E8" s="38"/>
      <c r="F8" s="38"/>
      <c r="G8" s="84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85"/>
      <c r="T8" s="85"/>
      <c r="U8" s="85"/>
      <c r="V8" s="85"/>
      <c r="W8" s="38"/>
      <c r="X8" s="85"/>
      <c r="Y8" s="85"/>
      <c r="Z8" s="85"/>
      <c r="AA8" s="85"/>
      <c r="AB8" s="86"/>
    </row>
    <row r="9" spans="1:35">
      <c r="B9" s="57" t="s">
        <v>251</v>
      </c>
      <c r="C9" s="57" t="s">
        <v>469</v>
      </c>
      <c r="D9" s="59">
        <v>443.1</v>
      </c>
      <c r="E9" s="59">
        <v>437.8</v>
      </c>
      <c r="F9" s="59">
        <v>425.9</v>
      </c>
      <c r="G9" s="59">
        <v>417.020783255688</v>
      </c>
      <c r="H9" s="59">
        <v>1723.820783255688</v>
      </c>
      <c r="I9" s="59">
        <v>358.5</v>
      </c>
      <c r="J9" s="59">
        <v>391.9</v>
      </c>
      <c r="K9" s="60">
        <v>412.1</v>
      </c>
      <c r="L9" s="61">
        <v>411.9</v>
      </c>
      <c r="M9" s="59">
        <v>1574.4</v>
      </c>
      <c r="N9" s="61">
        <v>386.3</v>
      </c>
      <c r="O9" s="61">
        <v>421.9</v>
      </c>
      <c r="P9" s="61">
        <v>478.85129633285499</v>
      </c>
      <c r="Q9" s="61">
        <v>447.3</v>
      </c>
      <c r="R9" s="59">
        <v>1734.3</v>
      </c>
      <c r="S9" s="61">
        <v>426.8</v>
      </c>
      <c r="T9" s="61">
        <v>463.3</v>
      </c>
      <c r="U9" s="61">
        <v>569</v>
      </c>
      <c r="V9" s="61">
        <v>548.79999999999995</v>
      </c>
      <c r="W9" s="62">
        <v>2008</v>
      </c>
      <c r="X9" s="61">
        <v>463.7</v>
      </c>
      <c r="Y9" s="61">
        <v>414.6</v>
      </c>
      <c r="Z9" s="61">
        <v>522.1</v>
      </c>
      <c r="AA9" s="61">
        <v>538.70000000000005</v>
      </c>
      <c r="AB9" s="61">
        <v>1939.0525060142459</v>
      </c>
      <c r="AC9" s="61">
        <v>489.7</v>
      </c>
      <c r="AD9" s="61">
        <v>541.12116090000006</v>
      </c>
      <c r="AE9" s="61">
        <v>583.42600000000004</v>
      </c>
      <c r="AF9" s="61">
        <v>583.70000000000005</v>
      </c>
      <c r="AG9" s="61">
        <f>SUM(AC9:AF9)</f>
        <v>2197.9471609000002</v>
      </c>
      <c r="AH9" s="61">
        <v>579.70000000000005</v>
      </c>
    </row>
    <row r="10" spans="1:35">
      <c r="A10" s="21"/>
      <c r="B10" s="57" t="s">
        <v>264</v>
      </c>
      <c r="C10" s="57" t="s">
        <v>264</v>
      </c>
      <c r="D10" s="60">
        <v>69.099999999999994</v>
      </c>
      <c r="E10" s="60">
        <v>71.7</v>
      </c>
      <c r="F10" s="60">
        <v>75.3</v>
      </c>
      <c r="G10" s="61">
        <v>62.830580000000005</v>
      </c>
      <c r="H10" s="61">
        <v>278.93058000000002</v>
      </c>
      <c r="I10" s="60">
        <v>50.4</v>
      </c>
      <c r="J10" s="60">
        <v>60.3</v>
      </c>
      <c r="K10" s="60">
        <v>69.2</v>
      </c>
      <c r="L10" s="61">
        <v>66.099999999999994</v>
      </c>
      <c r="M10" s="61">
        <v>245.9</v>
      </c>
      <c r="N10" s="61">
        <v>73</v>
      </c>
      <c r="O10" s="61">
        <v>77.099999999999994</v>
      </c>
      <c r="P10" s="61">
        <v>81.054721252097153</v>
      </c>
      <c r="Q10" s="61">
        <v>73.8</v>
      </c>
      <c r="R10" s="61">
        <f>SUM(N10:Q10)</f>
        <v>304.95472125209716</v>
      </c>
      <c r="S10" s="61">
        <v>67.099999999999994</v>
      </c>
      <c r="T10" s="61">
        <v>63.6</v>
      </c>
      <c r="U10" s="61">
        <v>97.6</v>
      </c>
      <c r="V10" s="61">
        <v>80.7</v>
      </c>
      <c r="W10" s="61">
        <v>309</v>
      </c>
      <c r="X10" s="61">
        <v>60.2</v>
      </c>
      <c r="Y10" s="61">
        <v>17.5</v>
      </c>
      <c r="Z10" s="61">
        <v>74.5</v>
      </c>
      <c r="AA10" s="61">
        <v>50.409878981954193</v>
      </c>
      <c r="AB10" s="61">
        <v>202.4759443255445</v>
      </c>
      <c r="AC10" s="61">
        <v>60.985584242211402</v>
      </c>
      <c r="AD10" s="61">
        <v>73.400000000000006</v>
      </c>
      <c r="AE10" s="61">
        <v>98.5</v>
      </c>
      <c r="AF10" s="61">
        <v>101.60169911300167</v>
      </c>
      <c r="AG10" s="61">
        <f>SUM(AC10:AF10)</f>
        <v>334.48728335521309</v>
      </c>
      <c r="AH10" s="61">
        <v>102.94370608308081</v>
      </c>
    </row>
    <row r="11" spans="1:35">
      <c r="A11" s="21"/>
      <c r="B11" s="63" t="s">
        <v>253</v>
      </c>
      <c r="C11" s="63" t="s">
        <v>649</v>
      </c>
      <c r="D11" s="67">
        <f>D10/D9</f>
        <v>0.1559467388851275</v>
      </c>
      <c r="E11" s="67">
        <f>E10/E9</f>
        <v>0.16377341251713112</v>
      </c>
      <c r="F11" s="67">
        <f>F10/F9</f>
        <v>0.17680206621272598</v>
      </c>
      <c r="G11" s="67">
        <f t="shared" ref="G11:Q11" si="0">G10/G9</f>
        <v>0.15066534456503738</v>
      </c>
      <c r="H11" s="67">
        <f t="shared" si="0"/>
        <v>0.16180950056374119</v>
      </c>
      <c r="I11" s="67">
        <f t="shared" si="0"/>
        <v>0.14058577405857739</v>
      </c>
      <c r="J11" s="67">
        <f t="shared" si="0"/>
        <v>0.15386578208726717</v>
      </c>
      <c r="K11" s="67">
        <f t="shared" si="0"/>
        <v>0.16792040766804173</v>
      </c>
      <c r="L11" s="67">
        <f t="shared" si="0"/>
        <v>0.16047584365137169</v>
      </c>
      <c r="M11" s="67">
        <f t="shared" si="0"/>
        <v>0.1561864837398374</v>
      </c>
      <c r="N11" s="67">
        <f t="shared" si="0"/>
        <v>0.18897230132021745</v>
      </c>
      <c r="O11" s="67">
        <f>O10/O9</f>
        <v>0.18274472623844512</v>
      </c>
      <c r="P11" s="67">
        <f t="shared" si="0"/>
        <v>0.16926908598312554</v>
      </c>
      <c r="Q11" s="67">
        <f t="shared" si="0"/>
        <v>0.16498993963782696</v>
      </c>
      <c r="R11" s="67">
        <f>R10/R9</f>
        <v>0.17583735296782399</v>
      </c>
      <c r="S11" s="67">
        <v>0.157</v>
      </c>
      <c r="T11" s="67">
        <v>0.13700000000000001</v>
      </c>
      <c r="U11" s="67">
        <v>0.17199999999999999</v>
      </c>
      <c r="V11" s="67">
        <v>0.14699999999999999</v>
      </c>
      <c r="W11" s="67">
        <v>0.154</v>
      </c>
      <c r="X11" s="67">
        <v>0.13</v>
      </c>
      <c r="Y11" s="67">
        <v>4.2000000000000003E-2</v>
      </c>
      <c r="Z11" s="67">
        <v>0.14299999999999999</v>
      </c>
      <c r="AA11" s="67">
        <v>9.3585156328263683E-2</v>
      </c>
      <c r="AB11" s="67">
        <v>0.10442004210692422</v>
      </c>
      <c r="AC11" s="67">
        <v>0.12453662291650276</v>
      </c>
      <c r="AD11" s="67">
        <v>0.16087501287167594</v>
      </c>
      <c r="AE11" s="67">
        <v>0.16883032295441067</v>
      </c>
      <c r="AF11" s="67">
        <v>0.17406492909542859</v>
      </c>
      <c r="AG11" s="67">
        <f>AG10/AG9</f>
        <v>0.15218167629573476</v>
      </c>
      <c r="AH11" s="67">
        <v>0.17758100066082594</v>
      </c>
      <c r="AI11" s="87"/>
    </row>
    <row r="12" spans="1:35">
      <c r="A12" s="21"/>
      <c r="B12" s="57" t="s">
        <v>288</v>
      </c>
      <c r="C12" s="57" t="s">
        <v>676</v>
      </c>
      <c r="D12" s="60">
        <v>11.8</v>
      </c>
      <c r="E12" s="60">
        <v>-1.4</v>
      </c>
      <c r="F12" s="61">
        <v>50</v>
      </c>
      <c r="G12" s="61">
        <v>27.899999999999974</v>
      </c>
      <c r="H12" s="61">
        <v>88.300000000000168</v>
      </c>
      <c r="I12" s="61">
        <v>7.6</v>
      </c>
      <c r="J12" s="61">
        <v>3.2</v>
      </c>
      <c r="K12" s="61">
        <v>15.8</v>
      </c>
      <c r="L12" s="61">
        <v>1.1000000000000001</v>
      </c>
      <c r="M12" s="61">
        <v>27.7</v>
      </c>
      <c r="N12" s="61">
        <v>19.7</v>
      </c>
      <c r="O12" s="61">
        <v>13.5</v>
      </c>
      <c r="P12" s="61">
        <v>23.8</v>
      </c>
      <c r="Q12" s="61">
        <v>43.1</v>
      </c>
      <c r="R12" s="61">
        <v>100.1</v>
      </c>
      <c r="S12" s="61">
        <v>13.7</v>
      </c>
      <c r="T12" s="61">
        <v>6.3</v>
      </c>
      <c r="U12" s="61">
        <v>31.7</v>
      </c>
      <c r="V12" s="61">
        <v>35.5</v>
      </c>
      <c r="W12" s="61">
        <v>87.2</v>
      </c>
      <c r="X12" s="61">
        <v>2.1</v>
      </c>
      <c r="Y12" s="61">
        <v>-148.1</v>
      </c>
      <c r="Z12" s="61">
        <v>-2.4</v>
      </c>
      <c r="AA12" s="61">
        <v>-54</v>
      </c>
      <c r="AB12" s="61">
        <v>-202.39999999999998</v>
      </c>
      <c r="AC12" s="61">
        <v>-5</v>
      </c>
      <c r="AD12" s="61">
        <v>-17.600000000000001</v>
      </c>
      <c r="AE12" s="61">
        <v>52.258000000000003</v>
      </c>
      <c r="AF12" s="61">
        <v>30</v>
      </c>
      <c r="AG12" s="61">
        <f>SUM(AC12:AF12)</f>
        <v>59.658000000000001</v>
      </c>
      <c r="AH12" s="61">
        <v>-18.100000000000001</v>
      </c>
    </row>
    <row r="13" spans="1:35">
      <c r="A13" s="21"/>
      <c r="B13" s="63" t="s">
        <v>253</v>
      </c>
      <c r="C13" s="63" t="s">
        <v>649</v>
      </c>
      <c r="D13" s="67">
        <v>2.7000000000000003E-2</v>
      </c>
      <c r="E13" s="67">
        <v>-3.0000000000000001E-3</v>
      </c>
      <c r="F13" s="67">
        <v>0.11700000000000001</v>
      </c>
      <c r="G13" s="67">
        <v>6.6903140371528308E-2</v>
      </c>
      <c r="H13" s="67">
        <v>5.1223422328876139E-2</v>
      </c>
      <c r="I13" s="67">
        <v>2.1000000000000001E-2</v>
      </c>
      <c r="J13" s="67">
        <v>8.0000000000000002E-3</v>
      </c>
      <c r="K13" s="67">
        <v>3.8</v>
      </c>
      <c r="L13" s="67">
        <v>3.0000000000000001E-3</v>
      </c>
      <c r="M13" s="67">
        <v>1.7999999999999999E-2</v>
      </c>
      <c r="N13" s="67">
        <v>5.0999999999999997E-2</v>
      </c>
      <c r="O13" s="67">
        <v>3.2000000000000001E-2</v>
      </c>
      <c r="P13" s="67">
        <v>0.05</v>
      </c>
      <c r="Q13" s="67">
        <v>9.6000000000000002E-2</v>
      </c>
      <c r="R13" s="67">
        <v>5.8000000000000003E-2</v>
      </c>
      <c r="S13" s="67">
        <v>3.2000000000000001E-2</v>
      </c>
      <c r="T13" s="67">
        <v>1.4E-2</v>
      </c>
      <c r="U13" s="67">
        <v>5.6000000000000001E-2</v>
      </c>
      <c r="V13" s="67">
        <v>6.5000000000000002E-2</v>
      </c>
      <c r="W13" s="67">
        <v>4.2999999999999997E-2</v>
      </c>
      <c r="X13" s="67">
        <f>X12/X9</f>
        <v>4.5287901660556401E-3</v>
      </c>
      <c r="Y13" s="67">
        <v>-0.35699999999999998</v>
      </c>
      <c r="Z13" s="67">
        <v>-5.0000000000000001E-3</v>
      </c>
      <c r="AA13" s="67">
        <f t="shared" ref="AA13:AH13" si="1">AA12/AA9</f>
        <v>-0.10024132170038982</v>
      </c>
      <c r="AB13" s="67">
        <f t="shared" si="1"/>
        <v>-0.10438087641888383</v>
      </c>
      <c r="AC13" s="67">
        <f t="shared" si="1"/>
        <v>-1.0210332856851134E-2</v>
      </c>
      <c r="AD13" s="67">
        <f t="shared" si="1"/>
        <v>-3.2525063279224643E-2</v>
      </c>
      <c r="AE13" s="67">
        <v>8.9570913877681138E-2</v>
      </c>
      <c r="AF13" s="67">
        <f t="shared" si="1"/>
        <v>5.1396265204728453E-2</v>
      </c>
      <c r="AG13" s="67">
        <f t="shared" si="1"/>
        <v>2.7142599722721112E-2</v>
      </c>
      <c r="AH13" s="67">
        <f t="shared" si="1"/>
        <v>-3.1223046403312058E-2</v>
      </c>
    </row>
    <row r="14" spans="1:35">
      <c r="A14" s="21"/>
      <c r="B14" s="57" t="s">
        <v>289</v>
      </c>
      <c r="C14" s="57" t="s">
        <v>289</v>
      </c>
      <c r="D14" s="61">
        <f t="shared" ref="D14:AC14" si="2">D9-D10</f>
        <v>374</v>
      </c>
      <c r="E14" s="61">
        <f t="shared" si="2"/>
        <v>366.1</v>
      </c>
      <c r="F14" s="61">
        <f t="shared" si="2"/>
        <v>350.59999999999997</v>
      </c>
      <c r="G14" s="61">
        <f t="shared" si="2"/>
        <v>354.190203255688</v>
      </c>
      <c r="H14" s="61">
        <f t="shared" si="2"/>
        <v>1444.890203255688</v>
      </c>
      <c r="I14" s="61">
        <f t="shared" si="2"/>
        <v>308.10000000000002</v>
      </c>
      <c r="J14" s="61">
        <f t="shared" si="2"/>
        <v>331.59999999999997</v>
      </c>
      <c r="K14" s="61">
        <f t="shared" si="2"/>
        <v>342.90000000000003</v>
      </c>
      <c r="L14" s="61">
        <f t="shared" si="2"/>
        <v>345.79999999999995</v>
      </c>
      <c r="M14" s="61">
        <f t="shared" si="2"/>
        <v>1328.5</v>
      </c>
      <c r="N14" s="61">
        <f t="shared" si="2"/>
        <v>313.3</v>
      </c>
      <c r="O14" s="61">
        <f t="shared" si="2"/>
        <v>344.79999999999995</v>
      </c>
      <c r="P14" s="61">
        <f t="shared" si="2"/>
        <v>397.79657508075786</v>
      </c>
      <c r="Q14" s="61">
        <f t="shared" si="2"/>
        <v>373.5</v>
      </c>
      <c r="R14" s="61">
        <f t="shared" si="2"/>
        <v>1429.3452787479027</v>
      </c>
      <c r="S14" s="61">
        <f t="shared" si="2"/>
        <v>359.70000000000005</v>
      </c>
      <c r="T14" s="61">
        <f t="shared" si="2"/>
        <v>399.7</v>
      </c>
      <c r="U14" s="61">
        <f t="shared" si="2"/>
        <v>471.4</v>
      </c>
      <c r="V14" s="61">
        <f t="shared" si="2"/>
        <v>468.09999999999997</v>
      </c>
      <c r="W14" s="61">
        <f t="shared" si="2"/>
        <v>1699</v>
      </c>
      <c r="X14" s="61">
        <f t="shared" si="2"/>
        <v>403.5</v>
      </c>
      <c r="Y14" s="61">
        <f t="shared" si="2"/>
        <v>397.1</v>
      </c>
      <c r="Z14" s="61">
        <f t="shared" si="2"/>
        <v>447.6</v>
      </c>
      <c r="AA14" s="61">
        <f t="shared" si="2"/>
        <v>488.29012101804585</v>
      </c>
      <c r="AB14" s="61">
        <f t="shared" si="2"/>
        <v>1736.5765616887013</v>
      </c>
      <c r="AC14" s="61">
        <f t="shared" si="2"/>
        <v>428.71441575778857</v>
      </c>
      <c r="AD14" s="61">
        <f>AD9-AD10</f>
        <v>467.72116090000009</v>
      </c>
      <c r="AE14" s="61">
        <v>484.92600000000004</v>
      </c>
      <c r="AF14" s="61">
        <f>AF9-AF10</f>
        <v>482.09830088699835</v>
      </c>
      <c r="AG14" s="61">
        <f>SUM(AC14:AF14)</f>
        <v>1863.4598775447871</v>
      </c>
      <c r="AH14" s="61">
        <f>AH9-AH10</f>
        <v>476.75629391691922</v>
      </c>
    </row>
    <row r="15" spans="1:35">
      <c r="A15" s="21"/>
    </row>
    <row r="16" spans="1:35">
      <c r="A16" s="21"/>
      <c r="B16" s="57" t="s">
        <v>255</v>
      </c>
      <c r="C16" s="57" t="s">
        <v>651</v>
      </c>
    </row>
    <row r="17" spans="1:34">
      <c r="A17" s="21"/>
      <c r="B17" s="57" t="s">
        <v>256</v>
      </c>
      <c r="C17" s="57" t="s">
        <v>652</v>
      </c>
      <c r="D17" s="60">
        <v>11.8</v>
      </c>
      <c r="E17" s="60">
        <v>-1.4</v>
      </c>
      <c r="F17" s="61">
        <v>50</v>
      </c>
      <c r="G17" s="60">
        <v>27.899999999999974</v>
      </c>
      <c r="H17" s="60">
        <v>88.300000000000168</v>
      </c>
      <c r="I17" s="60">
        <v>7.6</v>
      </c>
      <c r="J17" s="60">
        <v>3.2</v>
      </c>
      <c r="K17" s="60">
        <v>15.8</v>
      </c>
      <c r="L17" s="60">
        <v>1.1000000000000001</v>
      </c>
      <c r="M17" s="60">
        <v>27.700000000000003</v>
      </c>
      <c r="N17" s="60">
        <v>19.7</v>
      </c>
      <c r="O17" s="60">
        <v>13.5</v>
      </c>
      <c r="P17" s="60">
        <v>23.8</v>
      </c>
      <c r="Q17" s="60">
        <v>43.1</v>
      </c>
      <c r="R17" s="60">
        <v>100.1</v>
      </c>
      <c r="S17" s="60">
        <v>13.7</v>
      </c>
      <c r="T17" s="60">
        <v>6.3</v>
      </c>
      <c r="U17" s="60">
        <v>31.7</v>
      </c>
      <c r="V17" s="60">
        <v>2.6</v>
      </c>
      <c r="W17" s="60">
        <v>54.3</v>
      </c>
      <c r="X17" s="60">
        <v>2.1</v>
      </c>
      <c r="Y17" s="60">
        <v>-148.1</v>
      </c>
      <c r="Z17" s="60">
        <v>-2.4</v>
      </c>
      <c r="AA17" s="61">
        <v>-54</v>
      </c>
      <c r="AB17" s="60">
        <v>-202.4</v>
      </c>
      <c r="AC17" s="60">
        <v>-5</v>
      </c>
      <c r="AD17" s="61">
        <f>AD12</f>
        <v>-17.600000000000001</v>
      </c>
      <c r="AE17" s="61">
        <v>52.258000000000003</v>
      </c>
      <c r="AF17" s="61">
        <f>AF12</f>
        <v>30</v>
      </c>
      <c r="AG17" s="61">
        <f>AG12</f>
        <v>59.658000000000001</v>
      </c>
      <c r="AH17" s="61">
        <f>AH12</f>
        <v>-18.100000000000001</v>
      </c>
    </row>
    <row r="18" spans="1:34">
      <c r="A18" s="21"/>
      <c r="B18" s="28" t="s">
        <v>257</v>
      </c>
      <c r="C18" s="28" t="s">
        <v>653</v>
      </c>
      <c r="D18" s="68">
        <v>0</v>
      </c>
      <c r="E18" s="68">
        <v>-0.2</v>
      </c>
      <c r="F18" s="68">
        <v>0.1</v>
      </c>
      <c r="G18" s="30">
        <v>-5</v>
      </c>
      <c r="H18" s="30">
        <v>20.999999999999993</v>
      </c>
      <c r="I18" s="68">
        <v>0.4</v>
      </c>
      <c r="J18" s="68">
        <v>0.3</v>
      </c>
      <c r="K18" s="68">
        <v>-0.4</v>
      </c>
      <c r="L18" s="68">
        <v>-0.1</v>
      </c>
      <c r="M18" s="68">
        <v>9.9999999999999922E-2</v>
      </c>
      <c r="N18" s="68">
        <v>0.6</v>
      </c>
      <c r="O18" s="68">
        <v>0</v>
      </c>
      <c r="P18" s="68">
        <v>0.4</v>
      </c>
      <c r="Q18" s="68">
        <v>-1</v>
      </c>
      <c r="R18" s="68">
        <v>0</v>
      </c>
      <c r="S18" s="68">
        <v>0.4</v>
      </c>
      <c r="T18" s="68">
        <v>0.6</v>
      </c>
      <c r="U18" s="68">
        <v>0.9</v>
      </c>
      <c r="V18" s="68">
        <v>-2.5</v>
      </c>
      <c r="W18" s="68">
        <v>-0.6</v>
      </c>
      <c r="X18" s="68">
        <v>-1.1000000000000001</v>
      </c>
      <c r="Y18" s="68">
        <v>0</v>
      </c>
      <c r="Z18" s="68">
        <v>2</v>
      </c>
      <c r="AA18" s="68">
        <v>-0.1</v>
      </c>
      <c r="AB18" s="68">
        <v>0.79999999999999993</v>
      </c>
      <c r="AC18" s="68">
        <v>2.2000000000000002</v>
      </c>
      <c r="AD18" s="68">
        <v>-0.7</v>
      </c>
      <c r="AE18" s="68">
        <v>0.46164000000013039</v>
      </c>
      <c r="AF18" s="68">
        <v>-3.9</v>
      </c>
      <c r="AG18" s="68">
        <f>SUM(AC18:AF18)</f>
        <v>-1.9383599999998693</v>
      </c>
      <c r="AH18" s="68">
        <v>1.6</v>
      </c>
    </row>
    <row r="19" spans="1:34">
      <c r="A19" s="21"/>
      <c r="B19" s="28" t="s">
        <v>258</v>
      </c>
      <c r="C19" s="28" t="s">
        <v>654</v>
      </c>
      <c r="D19" s="68">
        <v>7.3</v>
      </c>
      <c r="E19" s="68">
        <v>-2.1</v>
      </c>
      <c r="F19" s="68">
        <v>20.8</v>
      </c>
      <c r="G19" s="30">
        <v>0.3</v>
      </c>
      <c r="H19" s="30">
        <v>9.999999999999995E-2</v>
      </c>
      <c r="I19" s="68">
        <v>-0.8</v>
      </c>
      <c r="J19" s="68">
        <v>4.3</v>
      </c>
      <c r="K19" s="68">
        <v>10.199999999999999</v>
      </c>
      <c r="L19" s="68">
        <v>22.9</v>
      </c>
      <c r="M19" s="68">
        <v>36.6</v>
      </c>
      <c r="N19" s="68">
        <v>11.9</v>
      </c>
      <c r="O19" s="68">
        <v>9.4</v>
      </c>
      <c r="P19" s="68">
        <v>11.2</v>
      </c>
      <c r="Q19" s="68">
        <v>-6.2</v>
      </c>
      <c r="R19" s="68">
        <v>26.3</v>
      </c>
      <c r="S19" s="68">
        <v>8.9</v>
      </c>
      <c r="T19" s="68">
        <v>5</v>
      </c>
      <c r="U19" s="68">
        <v>11.9</v>
      </c>
      <c r="V19" s="68">
        <v>-9.6999999999999993</v>
      </c>
      <c r="W19" s="68">
        <v>16.100000000000001</v>
      </c>
      <c r="X19" s="68">
        <v>7.4</v>
      </c>
      <c r="Y19" s="68">
        <v>-10.9</v>
      </c>
      <c r="Z19" s="68">
        <v>-2.4</v>
      </c>
      <c r="AA19" s="68">
        <v>13.100000000000001</v>
      </c>
      <c r="AB19" s="68">
        <v>7.2000000000000011</v>
      </c>
      <c r="AC19" s="68">
        <v>4.3</v>
      </c>
      <c r="AD19" s="68">
        <v>-4.3999999999999995</v>
      </c>
      <c r="AE19" s="68">
        <v>6.0449999999999999</v>
      </c>
      <c r="AF19" s="68">
        <v>3.8000000000000003</v>
      </c>
      <c r="AG19" s="68">
        <f t="shared" ref="AG19:AG25" si="3">SUM(AC19:AF19)</f>
        <v>9.745000000000001</v>
      </c>
      <c r="AH19" s="68">
        <v>-7.9</v>
      </c>
    </row>
    <row r="20" spans="1:34">
      <c r="A20" s="21"/>
      <c r="B20" s="28" t="s">
        <v>259</v>
      </c>
      <c r="C20" s="28" t="s">
        <v>655</v>
      </c>
      <c r="D20" s="68">
        <v>19.100000000000001</v>
      </c>
      <c r="E20" s="68">
        <v>9.1</v>
      </c>
      <c r="F20" s="68">
        <v>12.1</v>
      </c>
      <c r="G20" s="30">
        <v>5.5</v>
      </c>
      <c r="H20" s="30">
        <v>45.800000000000004</v>
      </c>
      <c r="I20" s="68">
        <v>1.9</v>
      </c>
      <c r="J20" s="68">
        <v>14.1</v>
      </c>
      <c r="K20" s="68">
        <v>7.9</v>
      </c>
      <c r="L20" s="68">
        <v>5.3</v>
      </c>
      <c r="M20" s="68">
        <v>29.200000000000003</v>
      </c>
      <c r="N20" s="68">
        <v>4.5</v>
      </c>
      <c r="O20" s="68">
        <v>14.1</v>
      </c>
      <c r="P20" s="68">
        <v>14.1</v>
      </c>
      <c r="Q20" s="68">
        <v>-5.6</v>
      </c>
      <c r="R20" s="68">
        <v>26.2</v>
      </c>
      <c r="S20" s="68">
        <v>10.7</v>
      </c>
      <c r="T20" s="68">
        <v>18</v>
      </c>
      <c r="U20" s="68">
        <v>16.3</v>
      </c>
      <c r="V20" s="68">
        <v>15.5</v>
      </c>
      <c r="W20" s="68">
        <v>60.6</v>
      </c>
      <c r="X20" s="68">
        <v>24</v>
      </c>
      <c r="Y20" s="68">
        <v>10.999999999999996</v>
      </c>
      <c r="Z20" s="68">
        <v>33.1</v>
      </c>
      <c r="AA20" s="68">
        <v>16.999999999999996</v>
      </c>
      <c r="AB20" s="68">
        <v>85.1</v>
      </c>
      <c r="AC20" s="68">
        <v>18.599999999999998</v>
      </c>
      <c r="AD20" s="68">
        <v>31.6</v>
      </c>
      <c r="AE20" s="68">
        <v>-1.0899999999999963</v>
      </c>
      <c r="AF20" s="68">
        <v>19.100000000000001</v>
      </c>
      <c r="AG20" s="68">
        <f t="shared" si="3"/>
        <v>68.210000000000008</v>
      </c>
      <c r="AH20" s="68">
        <v>84.800000000000011</v>
      </c>
    </row>
    <row r="21" spans="1:34">
      <c r="A21" s="21"/>
      <c r="B21" s="28" t="s">
        <v>260</v>
      </c>
      <c r="C21" s="28" t="s">
        <v>656</v>
      </c>
      <c r="D21" s="30">
        <v>28.9</v>
      </c>
      <c r="E21" s="68">
        <v>27</v>
      </c>
      <c r="F21" s="68">
        <v>27</v>
      </c>
      <c r="G21" s="30">
        <v>29.200000000000003</v>
      </c>
      <c r="H21" s="30">
        <v>112.1</v>
      </c>
      <c r="I21" s="30">
        <v>28.2</v>
      </c>
      <c r="J21" s="30">
        <v>29.9</v>
      </c>
      <c r="K21" s="30">
        <v>25.9</v>
      </c>
      <c r="L21" s="30">
        <v>29</v>
      </c>
      <c r="M21" s="30">
        <v>113</v>
      </c>
      <c r="N21" s="30">
        <v>28.8</v>
      </c>
      <c r="O21" s="30">
        <v>31.3</v>
      </c>
      <c r="P21" s="68">
        <v>28.000000000000004</v>
      </c>
      <c r="Q21" s="68">
        <v>29</v>
      </c>
      <c r="R21" s="30">
        <v>117.1</v>
      </c>
      <c r="S21" s="68">
        <v>32.799999999999997</v>
      </c>
      <c r="T21" s="68">
        <v>34.299999999999997</v>
      </c>
      <c r="U21" s="68">
        <v>34.1</v>
      </c>
      <c r="V21" s="68">
        <v>34.1</v>
      </c>
      <c r="W21" s="68">
        <v>135.30000000000001</v>
      </c>
      <c r="X21" s="68">
        <v>34.4</v>
      </c>
      <c r="Y21" s="68">
        <v>37.200000000000003</v>
      </c>
      <c r="Z21" s="68">
        <v>45</v>
      </c>
      <c r="AA21" s="68">
        <v>41.500000000000007</v>
      </c>
      <c r="AB21" s="68">
        <v>152.1</v>
      </c>
      <c r="AC21" s="68">
        <v>36.4</v>
      </c>
      <c r="AD21" s="68">
        <v>36.600000000000009</v>
      </c>
      <c r="AE21" s="68">
        <v>37.137</v>
      </c>
      <c r="AF21" s="68">
        <v>43.1</v>
      </c>
      <c r="AG21" s="68">
        <f t="shared" si="3"/>
        <v>153.23699999999999</v>
      </c>
      <c r="AH21" s="68">
        <v>38.4</v>
      </c>
    </row>
    <row r="22" spans="1:34">
      <c r="A22" s="21"/>
      <c r="B22" s="28" t="s">
        <v>262</v>
      </c>
      <c r="C22" s="28" t="s">
        <v>658</v>
      </c>
      <c r="D22" s="58">
        <v>6.4</v>
      </c>
      <c r="E22" s="58">
        <v>42.3</v>
      </c>
      <c r="F22" s="58">
        <v>-30.7</v>
      </c>
      <c r="G22" s="58">
        <v>9.9</v>
      </c>
      <c r="H22" s="58">
        <v>27.999999999999993</v>
      </c>
      <c r="I22" s="58">
        <v>17.2</v>
      </c>
      <c r="J22" s="58">
        <v>12.7</v>
      </c>
      <c r="K22" s="58">
        <v>14.1</v>
      </c>
      <c r="L22" s="58">
        <v>10.9</v>
      </c>
      <c r="M22" s="58">
        <v>54.9</v>
      </c>
      <c r="N22" s="58">
        <v>11.7</v>
      </c>
      <c r="O22" s="58">
        <v>12.7</v>
      </c>
      <c r="P22" s="58">
        <v>4.7</v>
      </c>
      <c r="Q22" s="58">
        <v>16.899999999999999</v>
      </c>
      <c r="R22" s="58">
        <v>46</v>
      </c>
      <c r="S22" s="68">
        <v>4.4000000000000004</v>
      </c>
      <c r="T22" s="68">
        <v>2.8</v>
      </c>
      <c r="U22" s="68">
        <v>6.9</v>
      </c>
      <c r="V22" s="68">
        <v>47.5</v>
      </c>
      <c r="W22" s="68">
        <v>61.6</v>
      </c>
      <c r="X22" s="68">
        <v>-2.6</v>
      </c>
      <c r="Y22" s="68">
        <v>130.9</v>
      </c>
      <c r="Z22" s="68">
        <v>11.3</v>
      </c>
      <c r="AA22" s="68">
        <v>39.5</v>
      </c>
      <c r="AB22" s="68">
        <v>179.10000000000002</v>
      </c>
      <c r="AC22" s="68">
        <v>10.4</v>
      </c>
      <c r="AD22" s="68">
        <v>32</v>
      </c>
      <c r="AE22" s="68">
        <v>5.1509999999999998</v>
      </c>
      <c r="AF22" s="68">
        <v>12.6</v>
      </c>
      <c r="AG22" s="68">
        <f t="shared" si="3"/>
        <v>60.151000000000003</v>
      </c>
      <c r="AH22" s="68">
        <v>8.3000000000000007</v>
      </c>
    </row>
    <row r="23" spans="1:34">
      <c r="A23" s="21"/>
      <c r="B23" s="28" t="s">
        <v>265</v>
      </c>
      <c r="C23" s="28" t="s">
        <v>660</v>
      </c>
      <c r="D23" s="58">
        <v>-5.7</v>
      </c>
      <c r="E23" s="58">
        <v>-4.4000000000000004</v>
      </c>
      <c r="F23" s="58">
        <v>-4</v>
      </c>
      <c r="G23" s="58">
        <v>-5.0000000000000036</v>
      </c>
      <c r="H23" s="58">
        <v>-19.099999999999994</v>
      </c>
      <c r="I23" s="58">
        <v>-4.0999999999999996</v>
      </c>
      <c r="J23" s="58">
        <v>-4.2</v>
      </c>
      <c r="K23" s="58">
        <v>-4.5999999999999996</v>
      </c>
      <c r="L23" s="58">
        <v>-4.2745723307102992</v>
      </c>
      <c r="M23" s="58">
        <v>-17.2292814755526</v>
      </c>
      <c r="N23" s="58">
        <v>-4.2</v>
      </c>
      <c r="O23" s="58">
        <v>-5</v>
      </c>
      <c r="P23" s="58">
        <v>-1.1221639307668041</v>
      </c>
      <c r="Q23" s="58">
        <v>-3</v>
      </c>
      <c r="R23" s="58">
        <v>-13.4</v>
      </c>
      <c r="S23" s="68">
        <v>-4</v>
      </c>
      <c r="T23" s="68">
        <v>-3.9</v>
      </c>
      <c r="U23" s="68">
        <v>-4.2</v>
      </c>
      <c r="V23" s="68">
        <v>-3.7</v>
      </c>
      <c r="W23" s="68">
        <v>-15.9</v>
      </c>
      <c r="X23" s="68">
        <v>-4.2</v>
      </c>
      <c r="Y23" s="68">
        <v>-4.3</v>
      </c>
      <c r="Z23" s="68">
        <v>-11.4</v>
      </c>
      <c r="AA23" s="68">
        <v>-4.5561734057447083</v>
      </c>
      <c r="AB23" s="68">
        <v>-18.630426023430402</v>
      </c>
      <c r="AC23" s="68">
        <v>-5.9144157577885998</v>
      </c>
      <c r="AD23" s="68">
        <v>-4.5068818324179105</v>
      </c>
      <c r="AE23" s="68">
        <v>-2.2387875035087972</v>
      </c>
      <c r="AF23" s="68">
        <v>-4.6983008869983038</v>
      </c>
      <c r="AG23" s="68">
        <f t="shared" si="3"/>
        <v>-17.358385980713614</v>
      </c>
      <c r="AH23" s="68">
        <v>-4.556293916919202</v>
      </c>
    </row>
    <row r="24" spans="1:34">
      <c r="A24" s="21"/>
      <c r="B24" s="17" t="s">
        <v>266</v>
      </c>
      <c r="C24" s="17" t="s">
        <v>661</v>
      </c>
      <c r="D24" s="58">
        <v>1.3</v>
      </c>
      <c r="E24" s="58">
        <v>1.4</v>
      </c>
      <c r="F24" s="58">
        <v>0</v>
      </c>
      <c r="G24" s="58">
        <v>0</v>
      </c>
      <c r="H24" s="58">
        <v>2.7</v>
      </c>
      <c r="I24" s="58">
        <v>0</v>
      </c>
      <c r="J24" s="58">
        <v>0</v>
      </c>
      <c r="K24" s="58">
        <v>0.3</v>
      </c>
      <c r="L24" s="58">
        <v>1.3</v>
      </c>
      <c r="M24" s="58">
        <v>1.6</v>
      </c>
      <c r="N24" s="58">
        <v>0</v>
      </c>
      <c r="O24" s="58">
        <v>1.2</v>
      </c>
      <c r="P24" s="58">
        <v>0.8</v>
      </c>
      <c r="Q24" s="58">
        <v>0.6</v>
      </c>
      <c r="R24" s="58">
        <v>2.7</v>
      </c>
      <c r="S24" s="68">
        <v>0.2</v>
      </c>
      <c r="T24" s="68">
        <v>0.5</v>
      </c>
      <c r="U24" s="68">
        <v>0</v>
      </c>
      <c r="V24" s="68">
        <v>-3.1</v>
      </c>
      <c r="W24" s="68">
        <v>-2.4</v>
      </c>
      <c r="X24" s="68">
        <v>0.2</v>
      </c>
      <c r="Y24" s="68">
        <v>1.7</v>
      </c>
      <c r="Z24" s="68">
        <v>-0.7</v>
      </c>
      <c r="AA24" s="68">
        <v>-2</v>
      </c>
      <c r="AB24" s="68">
        <v>-0.8</v>
      </c>
      <c r="AC24" s="68">
        <v>0</v>
      </c>
      <c r="AD24" s="68">
        <v>0.4</v>
      </c>
      <c r="AE24" s="68">
        <v>0.68100000000000005</v>
      </c>
      <c r="AF24" s="68">
        <v>1.6</v>
      </c>
      <c r="AG24" s="68">
        <f t="shared" si="3"/>
        <v>2.681</v>
      </c>
      <c r="AH24" s="68">
        <v>0.4</v>
      </c>
    </row>
    <row r="25" spans="1:34">
      <c r="A25" s="21"/>
      <c r="B25" s="57" t="s">
        <v>264</v>
      </c>
      <c r="C25" s="57" t="s">
        <v>264</v>
      </c>
      <c r="D25" s="59">
        <v>69.099999999999994</v>
      </c>
      <c r="E25" s="59">
        <v>71.7</v>
      </c>
      <c r="F25" s="59">
        <v>75.3</v>
      </c>
      <c r="G25" s="59">
        <v>62.800000000000011</v>
      </c>
      <c r="H25" s="59">
        <v>278.89999999999992</v>
      </c>
      <c r="I25" s="59">
        <v>50.4</v>
      </c>
      <c r="J25" s="59">
        <v>60.3</v>
      </c>
      <c r="K25" s="59">
        <v>69.2</v>
      </c>
      <c r="L25" s="59">
        <f>SUM(L22:L24)</f>
        <v>7.925427669289701</v>
      </c>
      <c r="M25" s="59">
        <f t="shared" ref="M25:AH25" si="4">SUM(M17:M24)</f>
        <v>245.8707185244474</v>
      </c>
      <c r="N25" s="59">
        <f t="shared" si="4"/>
        <v>73</v>
      </c>
      <c r="O25" s="59">
        <f t="shared" si="4"/>
        <v>77.2</v>
      </c>
      <c r="P25" s="59">
        <f t="shared" si="4"/>
        <v>81.877836069233197</v>
      </c>
      <c r="Q25" s="59">
        <f t="shared" si="4"/>
        <v>73.799999999999983</v>
      </c>
      <c r="R25" s="59">
        <f t="shared" si="4"/>
        <v>305</v>
      </c>
      <c r="S25" s="59">
        <f t="shared" si="4"/>
        <v>67.100000000000009</v>
      </c>
      <c r="T25" s="59">
        <f t="shared" si="4"/>
        <v>63.599999999999987</v>
      </c>
      <c r="U25" s="59">
        <f t="shared" si="4"/>
        <v>97.600000000000009</v>
      </c>
      <c r="V25" s="59">
        <f t="shared" si="4"/>
        <v>80.7</v>
      </c>
      <c r="W25" s="59">
        <f t="shared" si="4"/>
        <v>309.00000000000011</v>
      </c>
      <c r="X25" s="59">
        <f t="shared" si="4"/>
        <v>60.2</v>
      </c>
      <c r="Y25" s="59">
        <f t="shared" si="4"/>
        <v>17.500000000000007</v>
      </c>
      <c r="Z25" s="59">
        <f t="shared" si="4"/>
        <v>74.499999999999986</v>
      </c>
      <c r="AA25" s="59">
        <f t="shared" si="4"/>
        <v>50.443826594255292</v>
      </c>
      <c r="AB25" s="59">
        <f t="shared" si="4"/>
        <v>202.46957397656959</v>
      </c>
      <c r="AC25" s="59">
        <f t="shared" si="4"/>
        <v>60.985584242211402</v>
      </c>
      <c r="AD25" s="59">
        <f t="shared" si="4"/>
        <v>73.393118167582116</v>
      </c>
      <c r="AE25" s="59">
        <v>98.40485249649133</v>
      </c>
      <c r="AF25" s="59">
        <f t="shared" si="4"/>
        <v>101.60169911300167</v>
      </c>
      <c r="AG25" s="59">
        <f t="shared" si="3"/>
        <v>334.38525401928655</v>
      </c>
      <c r="AH25" s="59">
        <f t="shared" si="4"/>
        <v>102.94370608308081</v>
      </c>
    </row>
    <row r="26" spans="1:34">
      <c r="A26" s="21"/>
    </row>
    <row r="27" spans="1:34" ht="18" customHeight="1">
      <c r="A27" s="21"/>
      <c r="B27" s="89" t="s">
        <v>290</v>
      </c>
      <c r="C27" s="89" t="s">
        <v>677</v>
      </c>
      <c r="D27" s="90" t="s">
        <v>69</v>
      </c>
      <c r="E27" s="90" t="s">
        <v>70</v>
      </c>
      <c r="F27" s="90" t="s">
        <v>72</v>
      </c>
      <c r="G27" s="90" t="s">
        <v>73</v>
      </c>
      <c r="H27" s="90">
        <v>2016</v>
      </c>
      <c r="I27" s="90" t="s">
        <v>74</v>
      </c>
      <c r="J27" s="90" t="s">
        <v>75</v>
      </c>
      <c r="K27" s="90" t="s">
        <v>77</v>
      </c>
      <c r="L27" s="90" t="s">
        <v>79</v>
      </c>
      <c r="M27" s="90">
        <v>2017</v>
      </c>
      <c r="N27" s="90" t="s">
        <v>80</v>
      </c>
      <c r="O27" s="90" t="s">
        <v>81</v>
      </c>
      <c r="P27" s="90" t="s">
        <v>82</v>
      </c>
      <c r="Q27" s="90" t="s">
        <v>83</v>
      </c>
      <c r="R27" s="90">
        <v>2018</v>
      </c>
      <c r="S27" s="90" t="s">
        <v>241</v>
      </c>
      <c r="T27" s="90" t="s">
        <v>242</v>
      </c>
      <c r="U27" s="90" t="s">
        <v>243</v>
      </c>
      <c r="V27" s="90" t="s">
        <v>244</v>
      </c>
      <c r="W27" s="90" t="s">
        <v>125</v>
      </c>
      <c r="X27" s="90" t="s">
        <v>245</v>
      </c>
      <c r="Y27" s="90" t="s">
        <v>246</v>
      </c>
      <c r="Z27" s="90" t="s">
        <v>247</v>
      </c>
      <c r="AA27" s="90" t="s">
        <v>248</v>
      </c>
      <c r="AB27" s="90" t="s">
        <v>249</v>
      </c>
      <c r="AC27" s="90" t="s">
        <v>250</v>
      </c>
      <c r="AD27" s="90" t="s">
        <v>283</v>
      </c>
      <c r="AE27" s="90" t="s">
        <v>284</v>
      </c>
      <c r="AF27" s="90" t="s">
        <v>285</v>
      </c>
      <c r="AG27" s="90" t="s">
        <v>286</v>
      </c>
      <c r="AH27" s="90" t="s">
        <v>287</v>
      </c>
    </row>
    <row r="28" spans="1:34">
      <c r="A28" s="21"/>
      <c r="D28" s="38"/>
      <c r="E28" s="38"/>
      <c r="F28" s="38"/>
      <c r="G28" s="84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85"/>
      <c r="T28" s="85"/>
      <c r="U28" s="85"/>
      <c r="V28" s="85"/>
      <c r="W28" s="38"/>
      <c r="X28" s="85"/>
      <c r="Y28" s="85"/>
      <c r="Z28" s="85"/>
      <c r="AA28" s="85"/>
      <c r="AB28" s="86"/>
    </row>
    <row r="29" spans="1:34">
      <c r="B29" s="57" t="s">
        <v>251</v>
      </c>
      <c r="C29" s="57" t="s">
        <v>469</v>
      </c>
      <c r="D29" s="59">
        <f t="shared" ref="D29:S29" si="5">D9</f>
        <v>443.1</v>
      </c>
      <c r="E29" s="59">
        <f t="shared" si="5"/>
        <v>437.8</v>
      </c>
      <c r="F29" s="59">
        <f t="shared" si="5"/>
        <v>425.9</v>
      </c>
      <c r="G29" s="59">
        <f t="shared" si="5"/>
        <v>417.020783255688</v>
      </c>
      <c r="H29" s="59">
        <f t="shared" si="5"/>
        <v>1723.820783255688</v>
      </c>
      <c r="I29" s="59">
        <f t="shared" si="5"/>
        <v>358.5</v>
      </c>
      <c r="J29" s="59">
        <f t="shared" si="5"/>
        <v>391.9</v>
      </c>
      <c r="K29" s="59">
        <f t="shared" si="5"/>
        <v>412.1</v>
      </c>
      <c r="L29" s="59">
        <f t="shared" si="5"/>
        <v>411.9</v>
      </c>
      <c r="M29" s="59">
        <f t="shared" si="5"/>
        <v>1574.4</v>
      </c>
      <c r="N29" s="59">
        <f t="shared" si="5"/>
        <v>386.3</v>
      </c>
      <c r="O29" s="59">
        <f t="shared" si="5"/>
        <v>421.9</v>
      </c>
      <c r="P29" s="59">
        <f t="shared" si="5"/>
        <v>478.85129633285499</v>
      </c>
      <c r="Q29" s="59">
        <f t="shared" si="5"/>
        <v>447.3</v>
      </c>
      <c r="R29" s="59">
        <f t="shared" si="5"/>
        <v>1734.3</v>
      </c>
      <c r="S29" s="59">
        <f t="shared" si="5"/>
        <v>426.8</v>
      </c>
      <c r="T29" s="59">
        <f t="shared" ref="T29:AF29" si="6">T9</f>
        <v>463.3</v>
      </c>
      <c r="U29" s="59">
        <f t="shared" si="6"/>
        <v>569</v>
      </c>
      <c r="V29" s="59">
        <f t="shared" si="6"/>
        <v>548.79999999999995</v>
      </c>
      <c r="W29" s="59">
        <f t="shared" si="6"/>
        <v>2008</v>
      </c>
      <c r="X29" s="59">
        <f t="shared" si="6"/>
        <v>463.7</v>
      </c>
      <c r="Y29" s="59">
        <f t="shared" si="6"/>
        <v>414.6</v>
      </c>
      <c r="Z29" s="59">
        <f t="shared" si="6"/>
        <v>522.1</v>
      </c>
      <c r="AA29" s="59">
        <f t="shared" si="6"/>
        <v>538.70000000000005</v>
      </c>
      <c r="AB29" s="59">
        <f t="shared" si="6"/>
        <v>1939.0525060142459</v>
      </c>
      <c r="AC29" s="59">
        <f t="shared" si="6"/>
        <v>489.7</v>
      </c>
      <c r="AD29" s="59">
        <f t="shared" si="6"/>
        <v>541.12116090000006</v>
      </c>
      <c r="AE29" s="59">
        <f t="shared" si="6"/>
        <v>583.42600000000004</v>
      </c>
      <c r="AF29" s="59">
        <f t="shared" si="6"/>
        <v>583.70000000000005</v>
      </c>
      <c r="AG29" s="59">
        <f>AG9</f>
        <v>2197.9471609000002</v>
      </c>
      <c r="AH29" s="61">
        <f>AH9</f>
        <v>579.70000000000005</v>
      </c>
    </row>
    <row r="30" spans="1:34">
      <c r="A30" s="21"/>
      <c r="B30" s="57" t="s">
        <v>264</v>
      </c>
      <c r="C30" s="57" t="s">
        <v>264</v>
      </c>
      <c r="D30" s="60">
        <v>69.099999999999994</v>
      </c>
      <c r="E30" s="60">
        <v>71.7</v>
      </c>
      <c r="F30" s="60">
        <v>75.3</v>
      </c>
      <c r="G30" s="61">
        <v>62.830580000000005</v>
      </c>
      <c r="H30" s="61">
        <v>278.93058000000002</v>
      </c>
      <c r="I30" s="60">
        <v>50.4</v>
      </c>
      <c r="J30" s="60">
        <v>60.3</v>
      </c>
      <c r="K30" s="60">
        <v>69.2</v>
      </c>
      <c r="L30" s="61">
        <v>66.099999999999994</v>
      </c>
      <c r="M30" s="61">
        <v>245.9</v>
      </c>
      <c r="N30" s="61">
        <v>73</v>
      </c>
      <c r="O30" s="61">
        <v>77.099999999999994</v>
      </c>
      <c r="P30" s="61">
        <v>81.054721252097153</v>
      </c>
      <c r="Q30" s="61">
        <v>73.8</v>
      </c>
      <c r="R30" s="61">
        <f>SUM(N30:Q30)</f>
        <v>304.95472125209716</v>
      </c>
      <c r="S30" s="61">
        <v>67.099999999999994</v>
      </c>
      <c r="T30" s="61">
        <v>63.6</v>
      </c>
      <c r="U30" s="61">
        <v>97.6</v>
      </c>
      <c r="V30" s="61">
        <v>80.7</v>
      </c>
      <c r="W30" s="61">
        <v>309</v>
      </c>
      <c r="X30" s="61">
        <v>60.2</v>
      </c>
      <c r="Y30" s="61">
        <v>17.5</v>
      </c>
      <c r="Z30" s="61">
        <v>74.5</v>
      </c>
      <c r="AA30" s="61">
        <v>50.409878981954193</v>
      </c>
      <c r="AB30" s="61">
        <v>202.4759443255445</v>
      </c>
      <c r="AC30" s="61">
        <v>60.985584242211402</v>
      </c>
      <c r="AD30" s="61">
        <v>71.609224549999922</v>
      </c>
      <c r="AE30" s="61">
        <v>98.48919740999996</v>
      </c>
      <c r="AF30" s="61">
        <v>100.47576356777118</v>
      </c>
      <c r="AG30" s="59">
        <f>SUM(AC30:AF30)</f>
        <v>331.55976976998249</v>
      </c>
      <c r="AH30" s="61">
        <v>102.90009020913195</v>
      </c>
    </row>
    <row r="31" spans="1:34">
      <c r="A31" s="21"/>
      <c r="B31" s="63" t="s">
        <v>253</v>
      </c>
      <c r="C31" s="63" t="s">
        <v>649</v>
      </c>
      <c r="D31" s="64">
        <f>D30/D29</f>
        <v>0.1559467388851275</v>
      </c>
      <c r="E31" s="64">
        <f>E30/E29</f>
        <v>0.16377341251713112</v>
      </c>
      <c r="F31" s="64">
        <f>F30/F29</f>
        <v>0.17680206621272598</v>
      </c>
      <c r="G31" s="64">
        <f t="shared" ref="G31:N31" si="7">G30/G29</f>
        <v>0.15066534456503738</v>
      </c>
      <c r="H31" s="64">
        <f t="shared" si="7"/>
        <v>0.16180950056374119</v>
      </c>
      <c r="I31" s="64">
        <f t="shared" si="7"/>
        <v>0.14058577405857739</v>
      </c>
      <c r="J31" s="64">
        <f t="shared" si="7"/>
        <v>0.15386578208726717</v>
      </c>
      <c r="K31" s="64">
        <f t="shared" si="7"/>
        <v>0.16792040766804173</v>
      </c>
      <c r="L31" s="64">
        <f t="shared" si="7"/>
        <v>0.16047584365137169</v>
      </c>
      <c r="M31" s="64">
        <f t="shared" si="7"/>
        <v>0.1561864837398374</v>
      </c>
      <c r="N31" s="64">
        <f t="shared" si="7"/>
        <v>0.18897230132021745</v>
      </c>
      <c r="O31" s="64">
        <f>O30/O29</f>
        <v>0.18274472623844512</v>
      </c>
      <c r="P31" s="64">
        <f>P30/P29</f>
        <v>0.16926908598312554</v>
      </c>
      <c r="Q31" s="64">
        <f>Q30/Q29</f>
        <v>0.16498993963782696</v>
      </c>
      <c r="R31" s="64">
        <f>R30/R29</f>
        <v>0.17583735296782399</v>
      </c>
      <c r="S31" s="64">
        <v>0.157</v>
      </c>
      <c r="T31" s="64">
        <v>0.13700000000000001</v>
      </c>
      <c r="U31" s="64">
        <v>0.17199999999999999</v>
      </c>
      <c r="V31" s="64">
        <v>0.14699999999999999</v>
      </c>
      <c r="W31" s="64">
        <v>0.154</v>
      </c>
      <c r="X31" s="64">
        <v>0.13</v>
      </c>
      <c r="Y31" s="64">
        <v>4.2000000000000003E-2</v>
      </c>
      <c r="Z31" s="64">
        <v>0.14299999999999999</v>
      </c>
      <c r="AA31" s="64">
        <v>9.3585156328263683E-2</v>
      </c>
      <c r="AB31" s="64">
        <v>0.10442004210692422</v>
      </c>
      <c r="AC31" s="64">
        <v>0.12453662291650276</v>
      </c>
      <c r="AD31" s="64">
        <v>0.16087501287167594</v>
      </c>
      <c r="AE31" s="64">
        <v>0.16881211138000279</v>
      </c>
      <c r="AF31" s="64">
        <f>AF30/AF29</f>
        <v>0.17213596636589201</v>
      </c>
      <c r="AG31" s="64">
        <f>AG30/AG29</f>
        <v>0.15084974546622754</v>
      </c>
      <c r="AH31" s="64">
        <f>AH30/AH29</f>
        <v>0.17750576196158693</v>
      </c>
    </row>
    <row r="32" spans="1:34">
      <c r="A32" s="21"/>
      <c r="B32" s="57" t="s">
        <v>288</v>
      </c>
      <c r="C32" s="57" t="s">
        <v>676</v>
      </c>
      <c r="D32" s="60">
        <v>11.8</v>
      </c>
      <c r="E32" s="60">
        <v>-1.4</v>
      </c>
      <c r="F32" s="61">
        <v>50</v>
      </c>
      <c r="G32" s="61">
        <v>27.899999999999974</v>
      </c>
      <c r="H32" s="61">
        <v>88.300000000000168</v>
      </c>
      <c r="I32" s="61">
        <v>7.6</v>
      </c>
      <c r="J32" s="61">
        <v>3.2</v>
      </c>
      <c r="K32" s="61">
        <v>15.8</v>
      </c>
      <c r="L32" s="61">
        <v>1.1000000000000001</v>
      </c>
      <c r="M32" s="61">
        <v>27.7</v>
      </c>
      <c r="N32" s="61">
        <v>19.7</v>
      </c>
      <c r="O32" s="61">
        <v>13.5</v>
      </c>
      <c r="P32" s="61">
        <v>23.8</v>
      </c>
      <c r="Q32" s="61">
        <v>43.1</v>
      </c>
      <c r="R32" s="61">
        <v>100.1</v>
      </c>
      <c r="S32" s="61">
        <v>13.7</v>
      </c>
      <c r="T32" s="61">
        <v>6.3</v>
      </c>
      <c r="U32" s="61">
        <v>31.7</v>
      </c>
      <c r="V32" s="61">
        <v>35.5</v>
      </c>
      <c r="W32" s="61">
        <v>87.2</v>
      </c>
      <c r="X32" s="61">
        <v>-2.1470999999999947</v>
      </c>
      <c r="Y32" s="61">
        <v>-65.496380000000002</v>
      </c>
      <c r="Z32" s="61">
        <v>-2.4</v>
      </c>
      <c r="AA32" s="61">
        <v>-54</v>
      </c>
      <c r="AB32" s="61">
        <v>-202.39999999999998</v>
      </c>
      <c r="AC32" s="61">
        <v>-5</v>
      </c>
      <c r="AD32" s="61">
        <v>-22.458919999999999</v>
      </c>
      <c r="AE32" s="61">
        <v>35.700000000000003</v>
      </c>
      <c r="AF32" s="61">
        <v>23.829000000000001</v>
      </c>
      <c r="AG32" s="59">
        <f>SUM(AC32:AF32)</f>
        <v>32.070080000000004</v>
      </c>
      <c r="AH32" s="61">
        <v>-18.100000000000001</v>
      </c>
    </row>
    <row r="33" spans="1:34">
      <c r="A33" s="21"/>
      <c r="B33" s="63" t="s">
        <v>253</v>
      </c>
      <c r="C33" s="63" t="s">
        <v>649</v>
      </c>
      <c r="D33" s="64">
        <v>2.7000000000000003E-2</v>
      </c>
      <c r="E33" s="64">
        <v>-3.0000000000000001E-3</v>
      </c>
      <c r="F33" s="64">
        <v>0.11700000000000001</v>
      </c>
      <c r="G33" s="64">
        <v>6.6903140371528308E-2</v>
      </c>
      <c r="H33" s="64">
        <v>5.1223422328876139E-2</v>
      </c>
      <c r="I33" s="64">
        <v>2.1000000000000001E-2</v>
      </c>
      <c r="J33" s="64">
        <v>8.0000000000000002E-3</v>
      </c>
      <c r="K33" s="64">
        <v>3.8</v>
      </c>
      <c r="L33" s="64">
        <v>3.0000000000000001E-3</v>
      </c>
      <c r="M33" s="64">
        <v>1.7999999999999999E-2</v>
      </c>
      <c r="N33" s="64">
        <v>5.0999999999999997E-2</v>
      </c>
      <c r="O33" s="64">
        <v>3.2000000000000001E-2</v>
      </c>
      <c r="P33" s="64">
        <v>0.05</v>
      </c>
      <c r="Q33" s="64">
        <v>9.6000000000000002E-2</v>
      </c>
      <c r="R33" s="64">
        <v>5.8000000000000003E-2</v>
      </c>
      <c r="S33" s="64">
        <v>3.2000000000000001E-2</v>
      </c>
      <c r="T33" s="64">
        <v>1.4E-2</v>
      </c>
      <c r="U33" s="64">
        <v>5.6000000000000001E-2</v>
      </c>
      <c r="V33" s="64">
        <v>6.5000000000000002E-2</v>
      </c>
      <c r="W33" s="64">
        <v>4.2999999999999997E-2</v>
      </c>
      <c r="X33" s="67">
        <f>X32/X29</f>
        <v>-4.6303644597800184E-3</v>
      </c>
      <c r="Y33" s="88">
        <v>-0.35699999999999998</v>
      </c>
      <c r="Z33" s="67">
        <v>-5.0000000000000001E-3</v>
      </c>
      <c r="AA33" s="67">
        <f t="shared" ref="AA33:AH33" si="8">AA32/AA29</f>
        <v>-0.10024132170038982</v>
      </c>
      <c r="AB33" s="67">
        <f t="shared" si="8"/>
        <v>-0.10438087641888383</v>
      </c>
      <c r="AC33" s="67">
        <f t="shared" si="8"/>
        <v>-1.0210332856851134E-2</v>
      </c>
      <c r="AD33" s="67">
        <f t="shared" si="8"/>
        <v>-4.150442012403658E-2</v>
      </c>
      <c r="AE33" s="67">
        <v>6.1190389755924626E-2</v>
      </c>
      <c r="AF33" s="67">
        <f t="shared" si="8"/>
        <v>4.0824053452115809E-2</v>
      </c>
      <c r="AG33" s="67">
        <f t="shared" si="8"/>
        <v>1.4590924008777432E-2</v>
      </c>
      <c r="AH33" s="67">
        <f t="shared" si="8"/>
        <v>-3.1223046403312058E-2</v>
      </c>
    </row>
    <row r="34" spans="1:34">
      <c r="A34" s="21"/>
      <c r="B34" s="57" t="s">
        <v>289</v>
      </c>
      <c r="C34" s="57" t="s">
        <v>289</v>
      </c>
      <c r="D34" s="61">
        <f t="shared" ref="D34:AB34" si="9">D79+D90+D99+D108+D117</f>
        <v>7.6403798764947197</v>
      </c>
      <c r="E34" s="61">
        <f t="shared" si="9"/>
        <v>12.608120845580565</v>
      </c>
      <c r="F34" s="61">
        <f t="shared" si="9"/>
        <v>8.9452263999891475</v>
      </c>
      <c r="G34" s="61">
        <f t="shared" si="9"/>
        <v>9.4987984356005093</v>
      </c>
      <c r="H34" s="61">
        <f t="shared" si="9"/>
        <v>37.898043728126765</v>
      </c>
      <c r="I34" s="61">
        <f t="shared" si="9"/>
        <v>-4.4748986777324102</v>
      </c>
      <c r="J34" s="61">
        <f t="shared" si="9"/>
        <v>6.7453463288275604</v>
      </c>
      <c r="K34" s="61">
        <f t="shared" si="9"/>
        <v>2.4916499698306378</v>
      </c>
      <c r="L34" s="61">
        <f t="shared" si="9"/>
        <v>6.7772668910962981</v>
      </c>
      <c r="M34" s="61">
        <f t="shared" si="9"/>
        <v>10.83677832128606</v>
      </c>
      <c r="N34" s="61">
        <f t="shared" si="9"/>
        <v>5.4747959661812269</v>
      </c>
      <c r="O34" s="61">
        <f t="shared" si="9"/>
        <v>16.47287969886364</v>
      </c>
      <c r="P34" s="61">
        <f t="shared" si="9"/>
        <v>17.979206808517194</v>
      </c>
      <c r="Q34" s="61">
        <f t="shared" si="9"/>
        <v>6.8315271986515116</v>
      </c>
      <c r="R34" s="61">
        <f t="shared" si="9"/>
        <v>46.294478040334894</v>
      </c>
      <c r="S34" s="61">
        <f t="shared" si="9"/>
        <v>-0.94655617549601034</v>
      </c>
      <c r="T34" s="61">
        <f t="shared" si="9"/>
        <v>10.416628918245886</v>
      </c>
      <c r="U34" s="61">
        <f t="shared" si="9"/>
        <v>16.824885494654652</v>
      </c>
      <c r="V34" s="61">
        <f t="shared" si="9"/>
        <v>4.8068985142123104</v>
      </c>
      <c r="W34" s="61">
        <f t="shared" si="9"/>
        <v>30.407703224565484</v>
      </c>
      <c r="X34" s="61">
        <f t="shared" si="9"/>
        <v>5.0412197013490019</v>
      </c>
      <c r="Y34" s="61">
        <f t="shared" si="9"/>
        <v>9.4657719651156498</v>
      </c>
      <c r="Z34" s="61">
        <f t="shared" si="9"/>
        <v>15.422202798531924</v>
      </c>
      <c r="AA34" s="61">
        <f t="shared" si="9"/>
        <v>5.5658759704695111</v>
      </c>
      <c r="AB34" s="61">
        <f t="shared" si="9"/>
        <v>33.613104605794881</v>
      </c>
      <c r="AC34" s="61">
        <f>AC79+AC90+AC99+AC108+AC117</f>
        <v>-2.120600863566235</v>
      </c>
      <c r="AD34" s="61">
        <f>AD53+AD64+AD73+AD82+AD91</f>
        <v>154.91150999999999</v>
      </c>
      <c r="AE34" s="61">
        <v>484.93575122000004</v>
      </c>
      <c r="AF34" s="61">
        <f>AF53+AF64+AF73+AF82+AF91</f>
        <v>483.62483889623309</v>
      </c>
      <c r="AG34" s="61">
        <f>AG53+AG64+AG73+AG82+AG91</f>
        <v>1552.0953537446812</v>
      </c>
      <c r="AH34" s="61">
        <f>AH53+AH64+AH73+AH82+AH91</f>
        <v>476.75736195493209</v>
      </c>
    </row>
    <row r="35" spans="1:34">
      <c r="A35" s="21"/>
    </row>
    <row r="36" spans="1:34">
      <c r="A36" s="21"/>
      <c r="B36" s="57" t="s">
        <v>255</v>
      </c>
      <c r="C36" s="57" t="s">
        <v>651</v>
      </c>
    </row>
    <row r="37" spans="1:34">
      <c r="A37" s="21"/>
      <c r="B37" s="57" t="s">
        <v>256</v>
      </c>
      <c r="C37" s="57" t="s">
        <v>652</v>
      </c>
      <c r="D37" s="60">
        <v>11.8</v>
      </c>
      <c r="E37" s="60">
        <v>-1.4</v>
      </c>
      <c r="F37" s="61">
        <v>50</v>
      </c>
      <c r="G37" s="60">
        <v>27.899999999999974</v>
      </c>
      <c r="H37" s="60">
        <v>88.300000000000168</v>
      </c>
      <c r="I37" s="60">
        <v>7.6</v>
      </c>
      <c r="J37" s="60">
        <v>3.2</v>
      </c>
      <c r="K37" s="60">
        <v>15.8</v>
      </c>
      <c r="L37" s="60">
        <v>1.1000000000000001</v>
      </c>
      <c r="M37" s="60">
        <v>27.700000000000003</v>
      </c>
      <c r="N37" s="60">
        <v>19.7</v>
      </c>
      <c r="O37" s="60">
        <v>13.5</v>
      </c>
      <c r="P37" s="60">
        <v>23.8</v>
      </c>
      <c r="Q37" s="60">
        <v>43.1</v>
      </c>
      <c r="R37" s="60">
        <v>100.1</v>
      </c>
      <c r="S37" s="60">
        <v>13.7</v>
      </c>
      <c r="T37" s="60">
        <v>6.3</v>
      </c>
      <c r="U37" s="60">
        <v>31.7</v>
      </c>
      <c r="V37" s="60">
        <v>2.6</v>
      </c>
      <c r="W37" s="60">
        <v>54.3</v>
      </c>
      <c r="X37" s="60">
        <v>2.1</v>
      </c>
      <c r="Y37" s="61">
        <f>Y32</f>
        <v>-65.496380000000002</v>
      </c>
      <c r="Z37" s="60">
        <v>-2.4</v>
      </c>
      <c r="AA37" s="61">
        <v>-54</v>
      </c>
      <c r="AB37" s="60">
        <v>-202.4</v>
      </c>
      <c r="AC37" s="60">
        <v>-5</v>
      </c>
      <c r="AD37" s="61">
        <v>-22.458919999999999</v>
      </c>
      <c r="AE37" s="61">
        <v>35.700000000000003</v>
      </c>
      <c r="AF37" s="59">
        <f>AF32</f>
        <v>23.829000000000001</v>
      </c>
      <c r="AG37" s="59">
        <f>AG32</f>
        <v>32.070080000000004</v>
      </c>
      <c r="AH37" s="59">
        <f>AH32</f>
        <v>-18.100000000000001</v>
      </c>
    </row>
    <row r="38" spans="1:34">
      <c r="A38" s="21"/>
      <c r="B38" s="28" t="s">
        <v>257</v>
      </c>
      <c r="C38" s="28" t="s">
        <v>653</v>
      </c>
      <c r="D38" s="68">
        <v>0</v>
      </c>
      <c r="E38" s="68">
        <v>-0.2</v>
      </c>
      <c r="F38" s="68">
        <v>0.1</v>
      </c>
      <c r="G38" s="30">
        <v>-5</v>
      </c>
      <c r="H38" s="30">
        <v>20.999999999999993</v>
      </c>
      <c r="I38" s="68">
        <v>0.4</v>
      </c>
      <c r="J38" s="68">
        <v>0.3</v>
      </c>
      <c r="K38" s="68">
        <v>-0.4</v>
      </c>
      <c r="L38" s="68">
        <v>-0.1</v>
      </c>
      <c r="M38" s="68">
        <v>9.9999999999999922E-2</v>
      </c>
      <c r="N38" s="68">
        <v>0.6</v>
      </c>
      <c r="O38" s="68">
        <v>0</v>
      </c>
      <c r="P38" s="68">
        <v>0.4</v>
      </c>
      <c r="Q38" s="68">
        <v>-1</v>
      </c>
      <c r="R38" s="68">
        <v>0</v>
      </c>
      <c r="S38" s="68">
        <v>0.4</v>
      </c>
      <c r="T38" s="68">
        <v>0.6</v>
      </c>
      <c r="U38" s="68">
        <v>0.9</v>
      </c>
      <c r="V38" s="68">
        <v>-2.5</v>
      </c>
      <c r="W38" s="68">
        <v>-0.6</v>
      </c>
      <c r="X38" s="68">
        <v>-1.1000000000000001</v>
      </c>
      <c r="Y38" s="68">
        <v>0</v>
      </c>
      <c r="Z38" s="68">
        <v>2</v>
      </c>
      <c r="AA38" s="68">
        <v>-0.1</v>
      </c>
      <c r="AB38" s="68">
        <v>0.79999999999999993</v>
      </c>
      <c r="AC38" s="68">
        <v>2.2000000000000002</v>
      </c>
      <c r="AD38" s="68">
        <v>-0.7</v>
      </c>
      <c r="AE38" s="68">
        <v>-0.5</v>
      </c>
      <c r="AF38" s="68">
        <v>3.9</v>
      </c>
      <c r="AG38" s="68">
        <f t="shared" ref="AG38:AG45" si="10">SUM(AC38:AF38)</f>
        <v>4.9000000000000004</v>
      </c>
      <c r="AH38" s="68">
        <v>1.6</v>
      </c>
    </row>
    <row r="39" spans="1:34">
      <c r="A39" s="21"/>
      <c r="B39" s="28" t="s">
        <v>258</v>
      </c>
      <c r="C39" s="28" t="s">
        <v>654</v>
      </c>
      <c r="D39" s="68">
        <v>7.3</v>
      </c>
      <c r="E39" s="68">
        <v>-2.1</v>
      </c>
      <c r="F39" s="68">
        <v>20.8</v>
      </c>
      <c r="G39" s="30">
        <v>0.3</v>
      </c>
      <c r="H39" s="30">
        <v>9.999999999999995E-2</v>
      </c>
      <c r="I39" s="68">
        <v>-0.8</v>
      </c>
      <c r="J39" s="68">
        <v>4.3</v>
      </c>
      <c r="K39" s="68">
        <v>10.199999999999999</v>
      </c>
      <c r="L39" s="68">
        <v>22.9</v>
      </c>
      <c r="M39" s="68">
        <v>36.6</v>
      </c>
      <c r="N39" s="68">
        <v>11.9</v>
      </c>
      <c r="O39" s="68">
        <v>9.4</v>
      </c>
      <c r="P39" s="68">
        <v>11.2</v>
      </c>
      <c r="Q39" s="68">
        <v>-6.2</v>
      </c>
      <c r="R39" s="68">
        <v>26.3</v>
      </c>
      <c r="S39" s="68">
        <v>8.9</v>
      </c>
      <c r="T39" s="68">
        <v>5</v>
      </c>
      <c r="U39" s="68">
        <v>11.9</v>
      </c>
      <c r="V39" s="68">
        <v>-9.6999999999999993</v>
      </c>
      <c r="W39" s="68">
        <v>16.100000000000001</v>
      </c>
      <c r="X39" s="68">
        <v>5.2120999999999924</v>
      </c>
      <c r="Y39" s="68">
        <v>31.653380000000006</v>
      </c>
      <c r="Z39" s="68">
        <v>-2.4</v>
      </c>
      <c r="AA39" s="68">
        <v>13.100000000000001</v>
      </c>
      <c r="AB39" s="68">
        <v>7.2000000000000011</v>
      </c>
      <c r="AC39" s="68">
        <v>4.3</v>
      </c>
      <c r="AD39" s="68">
        <v>-6.9030799999999992</v>
      </c>
      <c r="AE39" s="68">
        <v>-22.7</v>
      </c>
      <c r="AF39" s="68">
        <v>-1.6999999999999993</v>
      </c>
      <c r="AG39" s="68">
        <f t="shared" si="10"/>
        <v>-27.003079999999997</v>
      </c>
      <c r="AH39" s="68">
        <v>-7.9</v>
      </c>
    </row>
    <row r="40" spans="1:34">
      <c r="A40" s="21"/>
      <c r="B40" s="28" t="s">
        <v>259</v>
      </c>
      <c r="C40" s="28" t="s">
        <v>655</v>
      </c>
      <c r="D40" s="68">
        <v>19.100000000000001</v>
      </c>
      <c r="E40" s="68">
        <v>9.1</v>
      </c>
      <c r="F40" s="68">
        <v>12.1</v>
      </c>
      <c r="G40" s="30">
        <v>5.5</v>
      </c>
      <c r="H40" s="30">
        <v>45.800000000000004</v>
      </c>
      <c r="I40" s="68">
        <v>1.9</v>
      </c>
      <c r="J40" s="68">
        <v>14.1</v>
      </c>
      <c r="K40" s="68">
        <v>7.9</v>
      </c>
      <c r="L40" s="68">
        <v>5.3</v>
      </c>
      <c r="M40" s="68">
        <v>29.200000000000003</v>
      </c>
      <c r="N40" s="68">
        <v>4.5</v>
      </c>
      <c r="O40" s="68">
        <v>14.1</v>
      </c>
      <c r="P40" s="68">
        <v>14.1</v>
      </c>
      <c r="Q40" s="68">
        <v>-5.6</v>
      </c>
      <c r="R40" s="68">
        <v>26.2</v>
      </c>
      <c r="S40" s="68">
        <v>10.7</v>
      </c>
      <c r="T40" s="68">
        <v>18</v>
      </c>
      <c r="U40" s="68">
        <v>16.3</v>
      </c>
      <c r="V40" s="68">
        <v>15.5</v>
      </c>
      <c r="W40" s="68">
        <v>60.6</v>
      </c>
      <c r="X40" s="68">
        <v>24</v>
      </c>
      <c r="Y40" s="68">
        <v>10.999999999999996</v>
      </c>
      <c r="Z40" s="68">
        <v>33.1</v>
      </c>
      <c r="AA40" s="68">
        <v>16.999999999999996</v>
      </c>
      <c r="AB40" s="68">
        <v>85.1</v>
      </c>
      <c r="AC40" s="68">
        <v>18.599999999999998</v>
      </c>
      <c r="AD40" s="68">
        <v>57.668000000000006</v>
      </c>
      <c r="AE40" s="68">
        <v>1.1000000000000014</v>
      </c>
      <c r="AF40" s="68">
        <v>-25.700000000000003</v>
      </c>
      <c r="AG40" s="68">
        <f t="shared" si="10"/>
        <v>51.667999999999992</v>
      </c>
      <c r="AH40" s="68">
        <v>84.800000000000011</v>
      </c>
    </row>
    <row r="41" spans="1:34">
      <c r="A41" s="21"/>
      <c r="B41" s="28" t="s">
        <v>260</v>
      </c>
      <c r="C41" s="28" t="s">
        <v>656</v>
      </c>
      <c r="D41" s="30">
        <v>28.9</v>
      </c>
      <c r="E41" s="68">
        <v>27</v>
      </c>
      <c r="F41" s="68">
        <v>27</v>
      </c>
      <c r="G41" s="30">
        <v>29.200000000000003</v>
      </c>
      <c r="H41" s="30">
        <v>112.1</v>
      </c>
      <c r="I41" s="30">
        <v>28.2</v>
      </c>
      <c r="J41" s="30">
        <v>29.9</v>
      </c>
      <c r="K41" s="30">
        <v>25.9</v>
      </c>
      <c r="L41" s="30">
        <v>29</v>
      </c>
      <c r="M41" s="30">
        <v>113</v>
      </c>
      <c r="N41" s="30">
        <v>28.8</v>
      </c>
      <c r="O41" s="30">
        <v>31.3</v>
      </c>
      <c r="P41" s="68">
        <v>28.000000000000004</v>
      </c>
      <c r="Q41" s="68">
        <v>29</v>
      </c>
      <c r="R41" s="30">
        <v>117.1</v>
      </c>
      <c r="S41" s="68">
        <v>32.799999999999997</v>
      </c>
      <c r="T41" s="68">
        <v>34.299999999999997</v>
      </c>
      <c r="U41" s="68">
        <v>34.1</v>
      </c>
      <c r="V41" s="68">
        <v>34.1</v>
      </c>
      <c r="W41" s="68">
        <v>135.30000000000001</v>
      </c>
      <c r="X41" s="68">
        <v>34.4</v>
      </c>
      <c r="Y41" s="68">
        <f>Y21</f>
        <v>37.200000000000003</v>
      </c>
      <c r="Z41" s="68">
        <v>45</v>
      </c>
      <c r="AA41" s="68">
        <v>41.500000000000007</v>
      </c>
      <c r="AB41" s="68">
        <v>152.1</v>
      </c>
      <c r="AC41" s="68">
        <v>36.4</v>
      </c>
      <c r="AD41" s="68">
        <f>AD21</f>
        <v>36.600000000000009</v>
      </c>
      <c r="AE41" s="68">
        <v>37.137</v>
      </c>
      <c r="AF41" s="68">
        <v>-38.401699113001698</v>
      </c>
      <c r="AG41" s="68">
        <f t="shared" si="10"/>
        <v>71.735300886998303</v>
      </c>
      <c r="AH41" s="68">
        <v>38.4</v>
      </c>
    </row>
    <row r="42" spans="1:34">
      <c r="A42" s="21"/>
      <c r="B42" s="28" t="s">
        <v>262</v>
      </c>
      <c r="C42" s="28" t="s">
        <v>658</v>
      </c>
      <c r="D42" s="58">
        <v>6.4</v>
      </c>
      <c r="E42" s="58">
        <v>42.3</v>
      </c>
      <c r="F42" s="58">
        <v>-30.7</v>
      </c>
      <c r="G42" s="58">
        <v>9.9</v>
      </c>
      <c r="H42" s="58">
        <v>27.999999999999993</v>
      </c>
      <c r="I42" s="58">
        <v>17.2</v>
      </c>
      <c r="J42" s="58">
        <v>12.7</v>
      </c>
      <c r="K42" s="58">
        <v>14.1</v>
      </c>
      <c r="L42" s="58">
        <v>10.9</v>
      </c>
      <c r="M42" s="58">
        <v>54.9</v>
      </c>
      <c r="N42" s="58">
        <v>11.7</v>
      </c>
      <c r="O42" s="58">
        <v>12.7</v>
      </c>
      <c r="P42" s="58">
        <v>4.7</v>
      </c>
      <c r="Q42" s="58">
        <v>16.899999999999999</v>
      </c>
      <c r="R42" s="58">
        <v>46</v>
      </c>
      <c r="S42" s="68">
        <v>4.4000000000000004</v>
      </c>
      <c r="T42" s="68">
        <v>2.8</v>
      </c>
      <c r="U42" s="68">
        <v>6.9</v>
      </c>
      <c r="V42" s="68">
        <v>47.5</v>
      </c>
      <c r="W42" s="68">
        <v>61.6</v>
      </c>
      <c r="X42" s="68">
        <v>3.835000000000008</v>
      </c>
      <c r="Y42" s="68">
        <v>5.7430000000000092</v>
      </c>
      <c r="Z42" s="68">
        <v>11.3</v>
      </c>
      <c r="AA42" s="68">
        <v>39.5</v>
      </c>
      <c r="AB42" s="68">
        <v>179.10000000000002</v>
      </c>
      <c r="AC42" s="68">
        <v>10.4</v>
      </c>
      <c r="AD42" s="68">
        <v>10.559999999999999</v>
      </c>
      <c r="AE42" s="68">
        <v>-5.2</v>
      </c>
      <c r="AF42" s="68">
        <v>-12.6</v>
      </c>
      <c r="AG42" s="68">
        <f t="shared" si="10"/>
        <v>3.1600000000000019</v>
      </c>
      <c r="AH42" s="68">
        <v>8.3000000000000007</v>
      </c>
    </row>
    <row r="43" spans="1:34">
      <c r="A43" s="21"/>
      <c r="B43" s="28" t="s">
        <v>265</v>
      </c>
      <c r="C43" s="28" t="s">
        <v>660</v>
      </c>
      <c r="D43" s="58">
        <v>-5.7</v>
      </c>
      <c r="E43" s="58">
        <v>-4.4000000000000004</v>
      </c>
      <c r="F43" s="58">
        <v>-4</v>
      </c>
      <c r="G43" s="58">
        <v>-5.0000000000000036</v>
      </c>
      <c r="H43" s="58">
        <v>-19.099999999999994</v>
      </c>
      <c r="I43" s="58">
        <v>-4.0999999999999996</v>
      </c>
      <c r="J43" s="58">
        <v>-4.2</v>
      </c>
      <c r="K43" s="58">
        <v>-4.5999999999999996</v>
      </c>
      <c r="L43" s="58">
        <v>-4.2745723307102992</v>
      </c>
      <c r="M43" s="58">
        <v>-17.2292814755526</v>
      </c>
      <c r="N43" s="58">
        <v>-4.2</v>
      </c>
      <c r="O43" s="58">
        <v>-5</v>
      </c>
      <c r="P43" s="58">
        <v>-1.1221639307668041</v>
      </c>
      <c r="Q43" s="58">
        <v>-3</v>
      </c>
      <c r="R43" s="58">
        <v>-13.4</v>
      </c>
      <c r="S43" s="68">
        <v>-4</v>
      </c>
      <c r="T43" s="68">
        <v>-3.9</v>
      </c>
      <c r="U43" s="68">
        <v>-4.2</v>
      </c>
      <c r="V43" s="68">
        <v>-3.7</v>
      </c>
      <c r="W43" s="68">
        <v>-15.9</v>
      </c>
      <c r="X43" s="68">
        <v>-4.2</v>
      </c>
      <c r="Y43" s="68">
        <f>Y23</f>
        <v>-4.3</v>
      </c>
      <c r="Z43" s="68">
        <v>-11.4</v>
      </c>
      <c r="AA43" s="68">
        <v>-4.5561734057447083</v>
      </c>
      <c r="AB43" s="68">
        <v>-18.630426023430402</v>
      </c>
      <c r="AC43" s="68">
        <v>-5.9144157577885998</v>
      </c>
      <c r="AD43" s="68">
        <f>AD23</f>
        <v>-4.5068818324179105</v>
      </c>
      <c r="AE43" s="68">
        <v>-2.2387875035087972</v>
      </c>
      <c r="AF43" s="68">
        <f>AF23</f>
        <v>-4.6983008869983038</v>
      </c>
      <c r="AG43" s="68">
        <f>AG23</f>
        <v>-17.358385980713614</v>
      </c>
      <c r="AH43" s="68">
        <v>-4.556293916919202</v>
      </c>
    </row>
    <row r="44" spans="1:34">
      <c r="A44" s="21"/>
      <c r="B44" s="17" t="s">
        <v>266</v>
      </c>
      <c r="C44" s="17" t="s">
        <v>661</v>
      </c>
      <c r="D44" s="58">
        <v>1.3</v>
      </c>
      <c r="E44" s="58">
        <v>1.4</v>
      </c>
      <c r="F44" s="58">
        <v>0</v>
      </c>
      <c r="G44" s="58">
        <v>0</v>
      </c>
      <c r="H44" s="58">
        <v>2.7</v>
      </c>
      <c r="I44" s="58">
        <v>0</v>
      </c>
      <c r="J44" s="58">
        <v>0</v>
      </c>
      <c r="K44" s="58">
        <v>0.3</v>
      </c>
      <c r="L44" s="58">
        <v>1.3</v>
      </c>
      <c r="M44" s="58">
        <v>1.6</v>
      </c>
      <c r="N44" s="58">
        <v>0</v>
      </c>
      <c r="O44" s="58">
        <v>1.2</v>
      </c>
      <c r="P44" s="58">
        <v>0.8</v>
      </c>
      <c r="Q44" s="58">
        <v>0.6</v>
      </c>
      <c r="R44" s="58">
        <v>2.7</v>
      </c>
      <c r="S44" s="68">
        <v>0.2</v>
      </c>
      <c r="T44" s="68">
        <v>0.5</v>
      </c>
      <c r="U44" s="68">
        <v>0</v>
      </c>
      <c r="V44" s="68">
        <v>-3.1</v>
      </c>
      <c r="W44" s="68">
        <v>-2.4</v>
      </c>
      <c r="X44" s="68">
        <v>0.2</v>
      </c>
      <c r="Y44" s="68">
        <v>1.7</v>
      </c>
      <c r="Z44" s="68">
        <v>-0.7</v>
      </c>
      <c r="AA44" s="68">
        <v>-2</v>
      </c>
      <c r="AB44" s="68">
        <v>-0.8</v>
      </c>
      <c r="AC44" s="68">
        <v>0</v>
      </c>
      <c r="AD44" s="68">
        <v>0.4</v>
      </c>
      <c r="AE44" s="68">
        <v>-0.7</v>
      </c>
      <c r="AF44" s="68">
        <v>-1.6</v>
      </c>
      <c r="AG44" s="68">
        <f t="shared" si="10"/>
        <v>-1.9</v>
      </c>
      <c r="AH44" s="68">
        <v>0.4</v>
      </c>
    </row>
    <row r="45" spans="1:34">
      <c r="A45" s="21"/>
      <c r="B45" s="57" t="s">
        <v>264</v>
      </c>
      <c r="C45" s="57" t="s">
        <v>264</v>
      </c>
      <c r="D45" s="59">
        <v>69.099999999999994</v>
      </c>
      <c r="E45" s="59">
        <v>71.7</v>
      </c>
      <c r="F45" s="59">
        <v>75.3</v>
      </c>
      <c r="G45" s="59">
        <v>62.800000000000011</v>
      </c>
      <c r="H45" s="59">
        <v>278.89999999999992</v>
      </c>
      <c r="I45" s="59">
        <v>50.4</v>
      </c>
      <c r="J45" s="59">
        <v>60.3</v>
      </c>
      <c r="K45" s="59">
        <v>69.2</v>
      </c>
      <c r="L45" s="59">
        <f>SUM(L42:L44)</f>
        <v>7.925427669289701</v>
      </c>
      <c r="M45" s="59">
        <f>SUM(M42:M44)</f>
        <v>39.270718524447396</v>
      </c>
      <c r="N45" s="59">
        <f>SUM(N42:N44)</f>
        <v>7.4999999999999991</v>
      </c>
      <c r="O45" s="59">
        <f t="shared" ref="O45:AC45" si="11">SUM(O37:O44)</f>
        <v>77.2</v>
      </c>
      <c r="P45" s="59">
        <f t="shared" si="11"/>
        <v>81.877836069233197</v>
      </c>
      <c r="Q45" s="59">
        <f t="shared" si="11"/>
        <v>73.799999999999983</v>
      </c>
      <c r="R45" s="59">
        <f t="shared" si="11"/>
        <v>305</v>
      </c>
      <c r="S45" s="59">
        <f t="shared" si="11"/>
        <v>67.100000000000009</v>
      </c>
      <c r="T45" s="59">
        <f t="shared" si="11"/>
        <v>63.599999999999987</v>
      </c>
      <c r="U45" s="59">
        <f t="shared" si="11"/>
        <v>97.600000000000009</v>
      </c>
      <c r="V45" s="59">
        <f t="shared" si="11"/>
        <v>80.7</v>
      </c>
      <c r="W45" s="59">
        <f t="shared" si="11"/>
        <v>309.00000000000011</v>
      </c>
      <c r="X45" s="61">
        <v>60.2</v>
      </c>
      <c r="Y45" s="59">
        <v>17.565239405496097</v>
      </c>
      <c r="Z45" s="59">
        <f t="shared" si="11"/>
        <v>74.499999999999986</v>
      </c>
      <c r="AA45" s="59">
        <f t="shared" si="11"/>
        <v>50.443826594255292</v>
      </c>
      <c r="AB45" s="59">
        <f t="shared" si="11"/>
        <v>202.46957397656959</v>
      </c>
      <c r="AC45" s="59">
        <f t="shared" si="11"/>
        <v>60.985584242211402</v>
      </c>
      <c r="AD45" s="59">
        <v>70.611999999999981</v>
      </c>
      <c r="AE45" s="59">
        <v>98.498212496491206</v>
      </c>
      <c r="AF45" s="59">
        <v>100.03069911300169</v>
      </c>
      <c r="AG45" s="59">
        <f t="shared" si="10"/>
        <v>330.12649585170425</v>
      </c>
      <c r="AH45" s="59">
        <v>102.94370608308081</v>
      </c>
    </row>
    <row r="46" spans="1:34">
      <c r="A46" s="21"/>
    </row>
    <row r="47" spans="1:34">
      <c r="A47" s="21"/>
      <c r="B47" s="91" t="s">
        <v>291</v>
      </c>
      <c r="C47" s="91" t="s">
        <v>678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</row>
    <row r="48" spans="1:34">
      <c r="A48" s="21"/>
      <c r="B48" s="57" t="s">
        <v>251</v>
      </c>
      <c r="C48" s="57" t="s">
        <v>469</v>
      </c>
      <c r="D48" s="59">
        <v>106.24017558854999</v>
      </c>
      <c r="E48" s="59">
        <v>108.69098901927499</v>
      </c>
      <c r="F48" s="59">
        <v>116.75129450815001</v>
      </c>
      <c r="G48" s="59">
        <v>112.35553979887499</v>
      </c>
      <c r="H48" s="59">
        <v>444.03799891484999</v>
      </c>
      <c r="I48" s="59">
        <v>124.95293796787502</v>
      </c>
      <c r="J48" s="59">
        <v>110.96820955590498</v>
      </c>
      <c r="K48" s="59">
        <v>123.53215374950001</v>
      </c>
      <c r="L48" s="59">
        <v>117.75320909754998</v>
      </c>
      <c r="M48" s="59">
        <v>477.20651037082996</v>
      </c>
      <c r="N48" s="59">
        <v>125.09676541375001</v>
      </c>
      <c r="O48" s="59">
        <v>119.71901745410001</v>
      </c>
      <c r="P48" s="59">
        <v>127.62827756350002</v>
      </c>
      <c r="Q48" s="59">
        <v>120.876421875625</v>
      </c>
      <c r="R48" s="59">
        <v>493.32048230697495</v>
      </c>
      <c r="S48" s="59">
        <v>124.29308265338179</v>
      </c>
      <c r="T48" s="59">
        <v>110.88421208214798</v>
      </c>
      <c r="U48" s="59">
        <v>200.134782201539</v>
      </c>
      <c r="V48" s="59">
        <v>154.49853529003843</v>
      </c>
      <c r="W48" s="59">
        <v>589.8106122271073</v>
      </c>
      <c r="X48" s="59">
        <v>114.66915220411001</v>
      </c>
      <c r="Y48" s="59">
        <v>25.726825522472144</v>
      </c>
      <c r="Z48" s="59">
        <v>75.763154890725104</v>
      </c>
      <c r="AA48" s="59">
        <v>99.996200000000002</v>
      </c>
      <c r="AB48" s="59">
        <v>316.15533261730724</v>
      </c>
      <c r="AC48" s="59">
        <v>73.054749999999999</v>
      </c>
      <c r="AD48" s="59">
        <v>34.175270000000005</v>
      </c>
      <c r="AE48" s="59">
        <v>121.14167000000002</v>
      </c>
      <c r="AF48" s="59">
        <v>105.23639770577502</v>
      </c>
      <c r="AG48" s="59">
        <f>SUM(AC48:AF48)</f>
        <v>333.60808770577501</v>
      </c>
      <c r="AH48" s="59">
        <v>101.55164239900601</v>
      </c>
    </row>
    <row r="49" spans="1:34">
      <c r="A49" s="21"/>
      <c r="B49" s="28" t="s">
        <v>270</v>
      </c>
      <c r="C49" s="28" t="s">
        <v>665</v>
      </c>
      <c r="D49" s="65">
        <v>0.23976568627521999</v>
      </c>
      <c r="E49" s="65">
        <v>0.24826630657669024</v>
      </c>
      <c r="F49" s="65">
        <v>0.27412842100997892</v>
      </c>
      <c r="G49" s="65">
        <v>0.26942431722878046</v>
      </c>
      <c r="H49" s="65">
        <v>0.25758942184014</v>
      </c>
      <c r="I49" s="65">
        <v>0.34854376002196658</v>
      </c>
      <c r="J49" s="65">
        <v>0.28315440049988511</v>
      </c>
      <c r="K49" s="65">
        <v>0.29976256673016261</v>
      </c>
      <c r="L49" s="65">
        <v>0.28587814784547216</v>
      </c>
      <c r="M49" s="65">
        <v>0.30310372864000884</v>
      </c>
      <c r="N49" s="65">
        <v>0.32383320065687288</v>
      </c>
      <c r="O49" s="65">
        <v>0.28376159624105241</v>
      </c>
      <c r="P49" s="65">
        <v>0.26653008677412904</v>
      </c>
      <c r="Q49" s="65">
        <v>0.27023568494438854</v>
      </c>
      <c r="R49" s="65">
        <v>0.28444933535546041</v>
      </c>
      <c r="S49" s="65">
        <v>0.29122090593575861</v>
      </c>
      <c r="T49" s="65">
        <v>0.23933566173569604</v>
      </c>
      <c r="U49" s="65">
        <v>0.35173072443152725</v>
      </c>
      <c r="V49" s="65">
        <v>0.28152065468301468</v>
      </c>
      <c r="W49" s="65">
        <v>0.29373038457525263</v>
      </c>
      <c r="X49" s="65">
        <v>0.24729168040567179</v>
      </c>
      <c r="Y49" s="65">
        <v>6.2052159967371304E-2</v>
      </c>
      <c r="Z49" s="65">
        <v>0.14511234416917276</v>
      </c>
      <c r="AA49" s="65">
        <v>0.18562502320400964</v>
      </c>
      <c r="AB49" s="65">
        <v>0.16304629794020881</v>
      </c>
      <c r="AC49" s="65">
        <v>0.14918266285480908</v>
      </c>
      <c r="AD49" s="65">
        <f>AD48/AD$9</f>
        <v>6.3156410189465204E-2</v>
      </c>
      <c r="AE49" s="65">
        <v>0.20763844943488979</v>
      </c>
      <c r="AF49" s="65">
        <f>AF48/AF$9</f>
        <v>0.18029192685587633</v>
      </c>
      <c r="AG49" s="65">
        <f>AG48/AG$9</f>
        <v>0.15178166865902795</v>
      </c>
      <c r="AH49" s="65">
        <f>AH48/AH$9</f>
        <v>0.17517964878213904</v>
      </c>
    </row>
    <row r="50" spans="1:34">
      <c r="A50" s="21"/>
      <c r="B50" s="57" t="s">
        <v>252</v>
      </c>
      <c r="C50" s="57" t="s">
        <v>648</v>
      </c>
      <c r="D50" s="59">
        <v>32.578322614007341</v>
      </c>
      <c r="E50" s="59">
        <v>30.388006165558313</v>
      </c>
      <c r="F50" s="59">
        <v>38.776401442982021</v>
      </c>
      <c r="G50" s="59">
        <v>34.009384413740918</v>
      </c>
      <c r="H50" s="59">
        <v>135.75211463628861</v>
      </c>
      <c r="I50" s="59">
        <v>46.286815366114986</v>
      </c>
      <c r="J50" s="59">
        <v>33.602220929784977</v>
      </c>
      <c r="K50" s="59">
        <v>46.16355988822</v>
      </c>
      <c r="L50" s="59">
        <v>40.411695482029984</v>
      </c>
      <c r="M50" s="59">
        <v>166.46429166614999</v>
      </c>
      <c r="N50" s="59">
        <v>52.51975783715001</v>
      </c>
      <c r="O50" s="59">
        <v>45.891990252520003</v>
      </c>
      <c r="P50" s="59">
        <v>47.691084225340006</v>
      </c>
      <c r="Q50" s="59">
        <v>45.353987578184999</v>
      </c>
      <c r="R50" s="59">
        <v>191.45681989319493</v>
      </c>
      <c r="S50" s="59">
        <v>43.351960390271806</v>
      </c>
      <c r="T50" s="59">
        <v>31.455435789957964</v>
      </c>
      <c r="U50" s="59">
        <v>64.53489477539901</v>
      </c>
      <c r="V50" s="59">
        <v>53.443353905168422</v>
      </c>
      <c r="W50" s="59">
        <v>192.78564486079728</v>
      </c>
      <c r="X50" s="59">
        <v>41.414333746900013</v>
      </c>
      <c r="Y50" s="59">
        <v>-19.050373369999996</v>
      </c>
      <c r="Z50" s="59">
        <v>14.08109975999999</v>
      </c>
      <c r="AA50" s="59">
        <v>8.5975675500000062</v>
      </c>
      <c r="AB50" s="59">
        <v>45.042627686900026</v>
      </c>
      <c r="AC50" s="59">
        <v>18.310220000000001</v>
      </c>
      <c r="AD50" s="59">
        <v>13.51728</v>
      </c>
      <c r="AE50" s="59">
        <v>43.483330000000002</v>
      </c>
      <c r="AF50" s="59">
        <v>45.123370727175015</v>
      </c>
      <c r="AG50" s="59">
        <f>SUM(AC50:AF50)</f>
        <v>120.43420072717502</v>
      </c>
      <c r="AH50" s="59">
        <v>37.555689981855089</v>
      </c>
    </row>
    <row r="51" spans="1:34">
      <c r="A51" s="21"/>
      <c r="B51" s="63" t="s">
        <v>253</v>
      </c>
      <c r="C51" s="63" t="s">
        <v>649</v>
      </c>
      <c r="D51" s="64">
        <v>0.30664786116485354</v>
      </c>
      <c r="E51" s="64">
        <v>0.27958165106188682</v>
      </c>
      <c r="F51" s="64">
        <v>0.33212823554838761</v>
      </c>
      <c r="G51" s="64">
        <v>0.30269432619540004</v>
      </c>
      <c r="H51" s="64">
        <v>0.30572184130196667</v>
      </c>
      <c r="I51" s="64">
        <v>0.3704339899395977</v>
      </c>
      <c r="J51" s="64">
        <v>0.3028094358218551</v>
      </c>
      <c r="K51" s="64">
        <v>0.3736967136655856</v>
      </c>
      <c r="L51" s="64">
        <v>0.34318975925787149</v>
      </c>
      <c r="M51" s="64">
        <v>0.34883072223133149</v>
      </c>
      <c r="N51" s="64">
        <v>0.41983306013903782</v>
      </c>
      <c r="O51" s="64">
        <v>0.38333082937399554</v>
      </c>
      <c r="P51" s="64">
        <v>0.37367176879443381</v>
      </c>
      <c r="Q51" s="64">
        <v>0.375209547688727</v>
      </c>
      <c r="R51" s="64">
        <v>0.38809825815028393</v>
      </c>
      <c r="S51" s="64">
        <v>0.34878819854495158</v>
      </c>
      <c r="T51" s="64">
        <v>0.28367821892132283</v>
      </c>
      <c r="U51" s="64">
        <v>0.32245716644301897</v>
      </c>
      <c r="V51" s="64">
        <v>0.34591495514724324</v>
      </c>
      <c r="W51" s="64">
        <v>0.32686025117934792</v>
      </c>
      <c r="X51" s="64">
        <v>0.36116368657878356</v>
      </c>
      <c r="Y51" s="64">
        <v>-0.74048674809722137</v>
      </c>
      <c r="Z51" s="64">
        <v>0.1858568294880206</v>
      </c>
      <c r="AA51" s="64">
        <v>8.5978942699822647E-2</v>
      </c>
      <c r="AB51" s="64">
        <v>0.14246992867086078</v>
      </c>
      <c r="AC51" s="64">
        <v>0.25063695379150569</v>
      </c>
      <c r="AD51" s="64">
        <f>IFERROR(AD50/AD48,"N/A")</f>
        <v>0.39552811140921484</v>
      </c>
      <c r="AE51" s="64">
        <v>0.35894610004963606</v>
      </c>
      <c r="AF51" s="64">
        <f>IFERROR(AF50/AF48,"N/A")</f>
        <v>0.4287810273906667</v>
      </c>
      <c r="AG51" s="64">
        <f>IFERROR(AG50/AG48,"N/A")</f>
        <v>0.36100503904267373</v>
      </c>
      <c r="AH51" s="64">
        <f>IFERROR(AH50/AH48,"N/A")</f>
        <v>0.36981863704670803</v>
      </c>
    </row>
    <row r="52" spans="1:34">
      <c r="A52" s="21"/>
      <c r="B52" s="6" t="s">
        <v>271</v>
      </c>
      <c r="C52" s="6" t="s">
        <v>666</v>
      </c>
      <c r="D52" s="65">
        <v>0.47146631858187182</v>
      </c>
      <c r="E52" s="65">
        <v>0.42382156437319823</v>
      </c>
      <c r="F52" s="65">
        <v>0.51495885050440937</v>
      </c>
      <c r="G52" s="65">
        <v>0.54128713142137019</v>
      </c>
      <c r="H52" s="65">
        <v>0.48668781542808465</v>
      </c>
      <c r="I52" s="65">
        <v>0.9183891937721228</v>
      </c>
      <c r="J52" s="65">
        <v>0.55725076168797638</v>
      </c>
      <c r="K52" s="65">
        <v>0.66710346659277453</v>
      </c>
      <c r="L52" s="65">
        <v>0.61137209503827517</v>
      </c>
      <c r="M52" s="65">
        <v>0.67695929917100439</v>
      </c>
      <c r="N52" s="65">
        <v>0.71944873749520566</v>
      </c>
      <c r="O52" s="65">
        <v>0.59522685152425425</v>
      </c>
      <c r="P52" s="65">
        <v>0.58838132422922962</v>
      </c>
      <c r="Q52" s="65">
        <v>0.6145526772111789</v>
      </c>
      <c r="R52" s="65">
        <v>0.62782048137212865</v>
      </c>
      <c r="S52" s="65">
        <v>0.64607988659123416</v>
      </c>
      <c r="T52" s="65">
        <v>0.49458232374147743</v>
      </c>
      <c r="U52" s="65">
        <v>0.66121818417417022</v>
      </c>
      <c r="V52" s="65">
        <v>0.66224726028709324</v>
      </c>
      <c r="W52" s="65">
        <v>0.62390176330355107</v>
      </c>
      <c r="X52" s="65">
        <v>0.68794574330398695</v>
      </c>
      <c r="Y52" s="65">
        <v>-1.0885927639999997</v>
      </c>
      <c r="Z52" s="65">
        <v>0.18900805046979852</v>
      </c>
      <c r="AA52" s="65">
        <v>0.17055322733620878</v>
      </c>
      <c r="AB52" s="65">
        <v>0.22245915600956365</v>
      </c>
      <c r="AC52" s="65">
        <v>0.30023849451501217</v>
      </c>
      <c r="AD52" s="65">
        <f>AD50/AD$10</f>
        <v>0.18415912806539508</v>
      </c>
      <c r="AE52" s="65">
        <v>0.44145512690355332</v>
      </c>
      <c r="AF52" s="65">
        <f>AF50/AF$10</f>
        <v>0.44412023736914757</v>
      </c>
      <c r="AG52" s="65">
        <f>AG50/AG$10</f>
        <v>0.36005614180338918</v>
      </c>
      <c r="AH52" s="65">
        <f>AH50/AH$10</f>
        <v>0.36481773787652189</v>
      </c>
    </row>
    <row r="53" spans="1:34">
      <c r="A53" s="21"/>
      <c r="B53" s="57" t="s">
        <v>289</v>
      </c>
      <c r="C53" s="57" t="s">
        <v>289</v>
      </c>
      <c r="D53" s="59">
        <v>73.661852974542654</v>
      </c>
      <c r="E53" s="59">
        <v>78.302982853716671</v>
      </c>
      <c r="F53" s="59">
        <v>77.97489306516799</v>
      </c>
      <c r="G53" s="59">
        <v>78.346155385134068</v>
      </c>
      <c r="H53" s="59">
        <v>308.28588427856141</v>
      </c>
      <c r="I53" s="59">
        <v>78.666122601760023</v>
      </c>
      <c r="J53" s="59">
        <v>77.36598862612</v>
      </c>
      <c r="K53" s="59">
        <v>77.368593861280004</v>
      </c>
      <c r="L53" s="59">
        <v>77.34151361552</v>
      </c>
      <c r="M53" s="59">
        <v>310.74221870468</v>
      </c>
      <c r="N53" s="59">
        <v>72.577007576599996</v>
      </c>
      <c r="O53" s="59">
        <v>73.827027201580009</v>
      </c>
      <c r="P53" s="59">
        <v>79.937193338160014</v>
      </c>
      <c r="Q53" s="59">
        <v>75.52243429744</v>
      </c>
      <c r="R53" s="59">
        <v>301.86366241377999</v>
      </c>
      <c r="S53" s="59">
        <v>80.941122263109975</v>
      </c>
      <c r="T53" s="59">
        <v>79.428776292190008</v>
      </c>
      <c r="U53" s="59">
        <v>135.59988742613999</v>
      </c>
      <c r="V53" s="59">
        <v>101.05518138487002</v>
      </c>
      <c r="W53" s="59">
        <v>397.02496736631002</v>
      </c>
      <c r="X53" s="59">
        <v>73.254818457210007</v>
      </c>
      <c r="Y53" s="59">
        <v>44.777198892472136</v>
      </c>
      <c r="Z53" s="59">
        <v>61.682055130725111</v>
      </c>
      <c r="AA53" s="59">
        <v>91.398632449999994</v>
      </c>
      <c r="AB53" s="59">
        <v>271.11270493040723</v>
      </c>
      <c r="AC53" s="59">
        <v>54.744529999999997</v>
      </c>
      <c r="AD53" s="59">
        <v>20.657990000000005</v>
      </c>
      <c r="AE53" s="59">
        <v>77.65834000000001</v>
      </c>
      <c r="AF53" s="59">
        <v>60.113026978599997</v>
      </c>
      <c r="AG53" s="59">
        <f>SUM(AC53:AF53)</f>
        <v>213.17388697860002</v>
      </c>
      <c r="AH53" s="59">
        <v>63.995952417150924</v>
      </c>
    </row>
    <row r="54" spans="1:34">
      <c r="A54" s="21"/>
      <c r="B54" s="6" t="s">
        <v>292</v>
      </c>
      <c r="C54" s="6" t="s">
        <v>679</v>
      </c>
      <c r="D54" s="65">
        <v>0.196923366885804</v>
      </c>
      <c r="E54" s="65">
        <v>0.21389665361895138</v>
      </c>
      <c r="F54" s="65">
        <v>0.22240591678122179</v>
      </c>
      <c r="G54" s="65">
        <v>0.22121189936765059</v>
      </c>
      <c r="H54" s="65">
        <v>0.21336032945827502</v>
      </c>
      <c r="I54" s="65">
        <v>0.25527750457755094</v>
      </c>
      <c r="J54" s="65">
        <v>0.23325794163667737</v>
      </c>
      <c r="K54" s="65">
        <v>0.22563462529663617</v>
      </c>
      <c r="L54" s="65">
        <v>0.22367008928289608</v>
      </c>
      <c r="M54" s="65">
        <v>0.23390243943485234</v>
      </c>
      <c r="N54" s="65">
        <v>0.2353818081873417</v>
      </c>
      <c r="O54" s="65">
        <v>0.2176916980433892</v>
      </c>
      <c r="P54" s="65">
        <v>0.20400947019595922</v>
      </c>
      <c r="Q54" s="65">
        <v>0.20544706534274595</v>
      </c>
      <c r="R54" s="65">
        <v>0.21455877089943132</v>
      </c>
      <c r="S54" s="65">
        <v>0.22505864168670314</v>
      </c>
      <c r="T54" s="65">
        <v>0.19870321072997343</v>
      </c>
      <c r="U54" s="65">
        <v>0.28765385934192977</v>
      </c>
      <c r="V54" s="65">
        <v>0.21591829274581845</v>
      </c>
      <c r="W54" s="65">
        <v>0.23370838935056845</v>
      </c>
      <c r="X54" s="65">
        <v>0.18150526098963274</v>
      </c>
      <c r="Y54" s="65">
        <v>0.11277567915855771</v>
      </c>
      <c r="Z54" s="65">
        <v>0.13797964278711339</v>
      </c>
      <c r="AA54" s="65">
        <v>0.18714809573475782</v>
      </c>
      <c r="AB54" s="65">
        <v>0.15616587228659451</v>
      </c>
      <c r="AC54" s="65">
        <v>0.12772179189198932</v>
      </c>
      <c r="AD54" s="65">
        <f>AD53/AD14</f>
        <v>4.4167319606086268E-2</v>
      </c>
      <c r="AE54" s="65">
        <v>0.16014472311239242</v>
      </c>
      <c r="AF54" s="65">
        <f>AF53/AF14</f>
        <v>0.12469039378068709</v>
      </c>
      <c r="AG54" s="65">
        <f>AG53/AG14</f>
        <v>0.1143968214971543</v>
      </c>
      <c r="AH54" s="65">
        <f>AH53/AH14</f>
        <v>0.13423200329748142</v>
      </c>
    </row>
    <row r="55" spans="1:34">
      <c r="A55" s="21"/>
      <c r="B55" s="5" t="s">
        <v>272</v>
      </c>
      <c r="C55" s="5" t="s">
        <v>667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34">
      <c r="A56" s="21"/>
      <c r="B56" s="72" t="s">
        <v>293</v>
      </c>
      <c r="C56" s="72" t="s">
        <v>671</v>
      </c>
      <c r="D56" s="58">
        <v>5.5652619999999997</v>
      </c>
      <c r="E56" s="58">
        <v>5.4620959999999998</v>
      </c>
      <c r="F56" s="58">
        <v>5.7991890000000001</v>
      </c>
      <c r="G56" s="58">
        <v>5.374015</v>
      </c>
      <c r="H56" s="58">
        <v>22.200561999999998</v>
      </c>
      <c r="I56" s="58">
        <v>5.885771000000001</v>
      </c>
      <c r="J56" s="58">
        <v>5.5044820000000003</v>
      </c>
      <c r="K56" s="58">
        <v>6.0555639999999995</v>
      </c>
      <c r="L56" s="58">
        <v>5.5833549999999992</v>
      </c>
      <c r="M56" s="58">
        <v>23.029171999999999</v>
      </c>
      <c r="N56" s="58">
        <v>6.1710000000000003</v>
      </c>
      <c r="O56" s="58">
        <v>5.9530000000000003</v>
      </c>
      <c r="P56" s="58">
        <v>6.3159969999999994</v>
      </c>
      <c r="Q56" s="58">
        <v>5.9483260000000007</v>
      </c>
      <c r="R56" s="58">
        <v>24.388323</v>
      </c>
      <c r="S56" s="58">
        <v>6.1982200000000001</v>
      </c>
      <c r="T56" s="58">
        <v>5.5838509999999992</v>
      </c>
      <c r="U56" s="58">
        <v>6.199001</v>
      </c>
      <c r="V56" s="58">
        <v>5.9240440000000003</v>
      </c>
      <c r="W56" s="58">
        <v>23.905116000000003</v>
      </c>
      <c r="X56" s="58">
        <v>5.5570300000000001</v>
      </c>
      <c r="Y56" s="58">
        <v>0.92371599999999987</v>
      </c>
      <c r="Z56" s="58">
        <v>3.1302280000000002</v>
      </c>
      <c r="AA56" s="58">
        <v>4.6612750000000007</v>
      </c>
      <c r="AB56" s="58">
        <v>14.272249</v>
      </c>
      <c r="AC56" s="58">
        <v>3.5560420000000006</v>
      </c>
      <c r="AD56" s="58">
        <v>0</v>
      </c>
      <c r="AE56" s="58">
        <v>5.71251</v>
      </c>
      <c r="AF56" s="58">
        <v>5.9914300000000011</v>
      </c>
      <c r="AG56" s="68">
        <f>SUM(AC56:AF56)</f>
        <v>15.259982000000001</v>
      </c>
      <c r="AH56" s="58">
        <v>5.5898680000000001</v>
      </c>
    </row>
    <row r="57" spans="1:34">
      <c r="A57" s="21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34">
      <c r="A58" s="21"/>
      <c r="B58" s="93" t="s">
        <v>294</v>
      </c>
      <c r="C58" s="93" t="s">
        <v>680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</row>
    <row r="59" spans="1:34">
      <c r="A59" s="21"/>
      <c r="B59" s="57" t="s">
        <v>251</v>
      </c>
      <c r="C59" s="57" t="s">
        <v>469</v>
      </c>
      <c r="D59" s="61">
        <v>90.943132299815289</v>
      </c>
      <c r="E59" s="61">
        <v>96.378879154529017</v>
      </c>
      <c r="F59" s="61">
        <v>101.33357964533279</v>
      </c>
      <c r="G59" s="61">
        <v>90.493636401102634</v>
      </c>
      <c r="H59" s="61">
        <v>379.1492275007796</v>
      </c>
      <c r="I59" s="61">
        <v>78.314875883155864</v>
      </c>
      <c r="J59" s="61">
        <v>85.605192206937119</v>
      </c>
      <c r="K59" s="61">
        <v>82.217938836488628</v>
      </c>
      <c r="L59" s="61">
        <v>77.055771048463342</v>
      </c>
      <c r="M59" s="61">
        <v>323.1937779750449</v>
      </c>
      <c r="N59" s="61">
        <v>77.466200003979665</v>
      </c>
      <c r="O59" s="61">
        <v>78.458428388414518</v>
      </c>
      <c r="P59" s="61">
        <v>82.361287215018294</v>
      </c>
      <c r="Q59" s="61">
        <v>83.562092312260063</v>
      </c>
      <c r="R59" s="61">
        <v>321.84800791967245</v>
      </c>
      <c r="S59" s="61">
        <v>89.126134603472977</v>
      </c>
      <c r="T59" s="61">
        <v>80.6231186593335</v>
      </c>
      <c r="U59" s="61">
        <v>94.480777238501886</v>
      </c>
      <c r="V59" s="61">
        <v>101.94635087212905</v>
      </c>
      <c r="W59" s="61">
        <v>366.17638137343755</v>
      </c>
      <c r="X59" s="61">
        <v>92.042706782870695</v>
      </c>
      <c r="Y59" s="61">
        <v>84.174262438148318</v>
      </c>
      <c r="Z59" s="61">
        <v>110.55777775454023</v>
      </c>
      <c r="AA59" s="61">
        <v>114.16402489733235</v>
      </c>
      <c r="AB59" s="61">
        <v>400.93877187289161</v>
      </c>
      <c r="AC59" s="61">
        <v>115.59501465802092</v>
      </c>
      <c r="AD59" s="61">
        <v>40.945639999999997</v>
      </c>
      <c r="AE59" s="61">
        <v>130.57176000000001</v>
      </c>
      <c r="AF59" s="61">
        <v>142.05455932027704</v>
      </c>
      <c r="AG59" s="59">
        <f>SUM(AC59:AF59)</f>
        <v>429.16697397829796</v>
      </c>
      <c r="AH59" s="61">
        <v>134.8405570867599</v>
      </c>
    </row>
    <row r="60" spans="1:34">
      <c r="A60" s="21"/>
      <c r="B60" s="28" t="s">
        <v>276</v>
      </c>
      <c r="C60" s="28" t="s">
        <v>665</v>
      </c>
      <c r="D60" s="65">
        <v>0.20524290746968019</v>
      </c>
      <c r="E60" s="65">
        <v>0.22014362529586343</v>
      </c>
      <c r="F60" s="65">
        <v>0.23792810435626391</v>
      </c>
      <c r="G60" s="65">
        <v>0.21700030318541286</v>
      </c>
      <c r="H60" s="65">
        <v>0.21994701025979091</v>
      </c>
      <c r="I60" s="65">
        <v>0.21845153663362862</v>
      </c>
      <c r="J60" s="65">
        <v>0.21843631591461374</v>
      </c>
      <c r="K60" s="65">
        <v>0.19950967929261981</v>
      </c>
      <c r="L60" s="65">
        <v>0.18707397681103022</v>
      </c>
      <c r="M60" s="65">
        <v>0.20528060084797059</v>
      </c>
      <c r="N60" s="65">
        <v>0.20053378204499006</v>
      </c>
      <c r="O60" s="65">
        <v>0.18596451383838475</v>
      </c>
      <c r="P60" s="65">
        <v>0.1719976281692428</v>
      </c>
      <c r="Q60" s="65">
        <v>0.18681442502181994</v>
      </c>
      <c r="R60" s="65">
        <v>0.1855780475809678</v>
      </c>
      <c r="S60" s="65">
        <v>0.20882412043925253</v>
      </c>
      <c r="T60" s="65">
        <v>0.17401925028994927</v>
      </c>
      <c r="U60" s="65">
        <v>0.16604706017311405</v>
      </c>
      <c r="V60" s="65">
        <v>0.18576230115183864</v>
      </c>
      <c r="W60" s="65">
        <v>0.18235875566406254</v>
      </c>
      <c r="X60" s="65">
        <v>0.19849624063590834</v>
      </c>
      <c r="Y60" s="65">
        <v>0.20302523501724146</v>
      </c>
      <c r="Z60" s="65">
        <v>0.2117559428357407</v>
      </c>
      <c r="AA60" s="65">
        <v>0.21192505085823712</v>
      </c>
      <c r="AB60" s="65">
        <v>0.20677045651385056</v>
      </c>
      <c r="AC60" s="65">
        <v>0.23605271525019586</v>
      </c>
      <c r="AD60" s="65">
        <f>AD59/AD$9</f>
        <v>7.5668155227747239E-2</v>
      </c>
      <c r="AE60" s="65">
        <v>0.22380175035051575</v>
      </c>
      <c r="AF60" s="65">
        <f>AF59/AF$9</f>
        <v>0.24336912681219294</v>
      </c>
      <c r="AG60" s="65">
        <f>AG59/AG$9</f>
        <v>0.19525809428583607</v>
      </c>
      <c r="AH60" s="65">
        <f>AH59/AH$9</f>
        <v>0.23260403154521286</v>
      </c>
    </row>
    <row r="61" spans="1:34">
      <c r="A61" s="21"/>
      <c r="B61" s="57" t="s">
        <v>252</v>
      </c>
      <c r="C61" s="57" t="s">
        <v>648</v>
      </c>
      <c r="D61" s="61">
        <v>7.7924276486202579</v>
      </c>
      <c r="E61" s="61">
        <v>8.2297659835897932</v>
      </c>
      <c r="F61" s="61">
        <v>8.4715927887098808</v>
      </c>
      <c r="G61" s="61">
        <v>3.7659225579840858</v>
      </c>
      <c r="H61" s="61">
        <v>28.259708978903888</v>
      </c>
      <c r="I61" s="61">
        <v>1.3806045552044088</v>
      </c>
      <c r="J61" s="61">
        <v>4.6694605387778285</v>
      </c>
      <c r="K61" s="61">
        <v>5.0036455990624091</v>
      </c>
      <c r="L61" s="61">
        <v>-2.920820345123706</v>
      </c>
      <c r="M61" s="61">
        <v>8.1328903479209398</v>
      </c>
      <c r="N61" s="61">
        <v>9.4414846497902758</v>
      </c>
      <c r="O61" s="61">
        <v>6.8057919221969785</v>
      </c>
      <c r="P61" s="61">
        <v>7.3628181539916699</v>
      </c>
      <c r="Q61" s="61">
        <v>8.2034975520818119</v>
      </c>
      <c r="R61" s="61">
        <v>31.813592278060678</v>
      </c>
      <c r="S61" s="61">
        <v>2.4725726609064878</v>
      </c>
      <c r="T61" s="61">
        <v>-1.0712686184214544</v>
      </c>
      <c r="U61" s="61">
        <v>2.1771454402490638</v>
      </c>
      <c r="V61" s="61">
        <v>5.6654787945414133</v>
      </c>
      <c r="W61" s="61">
        <v>9.243928277275641</v>
      </c>
      <c r="X61" s="61">
        <v>5.6355423164999374</v>
      </c>
      <c r="Y61" s="61">
        <v>7.0453745861546482</v>
      </c>
      <c r="Z61" s="61">
        <v>17.853695909957036</v>
      </c>
      <c r="AA61" s="61">
        <v>8.198762369999983</v>
      </c>
      <c r="AB61" s="61">
        <v>38.733375182611574</v>
      </c>
      <c r="AC61" s="61">
        <v>11.549400000000009</v>
      </c>
      <c r="AD61" s="61">
        <v>2.1132399999999909</v>
      </c>
      <c r="AE61" s="61">
        <v>10.402619999999995</v>
      </c>
      <c r="AF61" s="61">
        <v>18.0779202190778</v>
      </c>
      <c r="AG61" s="59">
        <f>SUM(AC61:AF61)</f>
        <v>42.143180219077792</v>
      </c>
      <c r="AH61" s="61">
        <v>17.297212088813861</v>
      </c>
    </row>
    <row r="62" spans="1:34">
      <c r="A62" s="21"/>
      <c r="B62" s="63" t="s">
        <v>253</v>
      </c>
      <c r="C62" s="63" t="s">
        <v>649</v>
      </c>
      <c r="D62" s="75">
        <v>8.5684619075255722E-2</v>
      </c>
      <c r="E62" s="75">
        <v>8.5389724966552089E-2</v>
      </c>
      <c r="F62" s="75">
        <v>8.3601041415495528E-2</v>
      </c>
      <c r="G62" s="75">
        <v>4.161533017959481E-2</v>
      </c>
      <c r="H62" s="75">
        <v>7.4534528700433075E-2</v>
      </c>
      <c r="I62" s="75">
        <v>1.762889284615916E-2</v>
      </c>
      <c r="J62" s="75">
        <v>5.4546464044962835E-2</v>
      </c>
      <c r="K62" s="75">
        <v>6.0858319606058676E-2</v>
      </c>
      <c r="L62" s="75">
        <v>-3.7905276988101123E-2</v>
      </c>
      <c r="M62" s="75">
        <v>2.5164130321063648E-2</v>
      </c>
      <c r="N62" s="75">
        <v>0.12187876324519906</v>
      </c>
      <c r="O62" s="75">
        <v>8.6743923654758665E-2</v>
      </c>
      <c r="P62" s="75">
        <v>8.9396589137439877E-2</v>
      </c>
      <c r="Q62" s="75">
        <v>9.8172476598916023E-2</v>
      </c>
      <c r="R62" s="75">
        <v>9.8846634110597895E-2</v>
      </c>
      <c r="S62" s="75">
        <v>2.7742397579644827E-2</v>
      </c>
      <c r="T62" s="75">
        <v>-1.3287362684988827E-2</v>
      </c>
      <c r="U62" s="75">
        <v>2.3043263443453709E-2</v>
      </c>
      <c r="V62" s="75">
        <v>5.5573139657030035E-2</v>
      </c>
      <c r="W62" s="75">
        <v>2.5244468915782987E-2</v>
      </c>
      <c r="X62" s="75">
        <v>6.1227472696932045E-2</v>
      </c>
      <c r="Y62" s="75">
        <v>8.3699867181273202E-2</v>
      </c>
      <c r="Z62" s="75">
        <v>0.16148747082811046</v>
      </c>
      <c r="AA62" s="75">
        <v>7.1815638747610072E-2</v>
      </c>
      <c r="AB62" s="75">
        <v>9.6606708804134064E-2</v>
      </c>
      <c r="AC62" s="75">
        <v>9.9912613309216095E-2</v>
      </c>
      <c r="AD62" s="75">
        <f>AD61/AD59</f>
        <v>5.1610867481861097E-2</v>
      </c>
      <c r="AE62" s="75">
        <v>7.9669754011127636E-2</v>
      </c>
      <c r="AF62" s="75">
        <f>AF61/AF59</f>
        <v>0.12726040125413515</v>
      </c>
      <c r="AG62" s="75">
        <f>AG61/AG59</f>
        <v>9.8197631165367533E-2</v>
      </c>
      <c r="AH62" s="75">
        <f>AH61/AH59</f>
        <v>0.12827900197478706</v>
      </c>
    </row>
    <row r="63" spans="1:34">
      <c r="A63" s="21"/>
      <c r="B63" s="6" t="s">
        <v>271</v>
      </c>
      <c r="C63" s="6" t="s">
        <v>666</v>
      </c>
      <c r="D63" s="65">
        <v>0.11277029882229028</v>
      </c>
      <c r="E63" s="65">
        <v>0.1147805576511826</v>
      </c>
      <c r="F63" s="65">
        <v>0.11250455230690413</v>
      </c>
      <c r="G63" s="65">
        <v>5.9937733472842133E-2</v>
      </c>
      <c r="H63" s="65">
        <v>0.10131448828200869</v>
      </c>
      <c r="I63" s="65">
        <v>2.7392947523897003E-2</v>
      </c>
      <c r="J63" s="65">
        <v>7.7437156530312246E-2</v>
      </c>
      <c r="K63" s="65">
        <v>7.2307017327491452E-2</v>
      </c>
      <c r="L63" s="65">
        <v>-4.418790234680342E-2</v>
      </c>
      <c r="M63" s="65">
        <v>3.3073974574708988E-2</v>
      </c>
      <c r="N63" s="65">
        <v>0.12933540616151062</v>
      </c>
      <c r="O63" s="65">
        <v>8.8272268770388837E-2</v>
      </c>
      <c r="P63" s="65">
        <v>9.0837622290893635E-2</v>
      </c>
      <c r="Q63" s="65">
        <v>0.11115850341574271</v>
      </c>
      <c r="R63" s="65">
        <v>0.10432234709283714</v>
      </c>
      <c r="S63" s="65">
        <v>3.6849070952406679E-2</v>
      </c>
      <c r="T63" s="65">
        <v>-1.6843846201595195E-2</v>
      </c>
      <c r="U63" s="65">
        <v>2.2306818035338769E-2</v>
      </c>
      <c r="V63" s="65">
        <v>7.0204198197539203E-2</v>
      </c>
      <c r="W63" s="65">
        <v>2.9915625492801426E-2</v>
      </c>
      <c r="X63" s="65">
        <v>9.3613659742523878E-2</v>
      </c>
      <c r="Y63" s="65">
        <v>0.40259283349455133</v>
      </c>
      <c r="Z63" s="65">
        <v>0.23964692496586626</v>
      </c>
      <c r="AA63" s="65">
        <v>0.16264197684217788</v>
      </c>
      <c r="AB63" s="65">
        <v>0.19129865185533029</v>
      </c>
      <c r="AC63" s="65">
        <v>0.18937918105580839</v>
      </c>
      <c r="AD63" s="65">
        <f>AD61/AD$10</f>
        <v>2.8790735694822763E-2</v>
      </c>
      <c r="AE63" s="65">
        <v>0.1056103553299492</v>
      </c>
      <c r="AF63" s="65">
        <f>AF61/AF$10</f>
        <v>0.17792931001056872</v>
      </c>
      <c r="AG63" s="65">
        <f>AG61/AG$10</f>
        <v>0.12599337049930026</v>
      </c>
      <c r="AH63" s="65">
        <f>AH61/AH$10</f>
        <v>0.16802593132652646</v>
      </c>
    </row>
    <row r="64" spans="1:34">
      <c r="A64" s="21"/>
      <c r="B64" s="57" t="s">
        <v>289</v>
      </c>
      <c r="C64" s="57" t="s">
        <v>289</v>
      </c>
      <c r="D64" s="61">
        <v>83.150704651195028</v>
      </c>
      <c r="E64" s="61">
        <v>88.149113170939216</v>
      </c>
      <c r="F64" s="61">
        <v>92.861986856622906</v>
      </c>
      <c r="G64" s="61">
        <v>86.727713843118551</v>
      </c>
      <c r="H64" s="61">
        <v>350.88951852187574</v>
      </c>
      <c r="I64" s="61">
        <v>76.934271327951464</v>
      </c>
      <c r="J64" s="61">
        <v>80.935731668159292</v>
      </c>
      <c r="K64" s="61">
        <v>77.214293237426219</v>
      </c>
      <c r="L64" s="61">
        <v>79.976591393587043</v>
      </c>
      <c r="M64" s="61">
        <v>315.06088762712398</v>
      </c>
      <c r="N64" s="61">
        <v>68.024715354189397</v>
      </c>
      <c r="O64" s="61">
        <v>71.65263646621753</v>
      </c>
      <c r="P64" s="61">
        <v>74.998469061026626</v>
      </c>
      <c r="Q64" s="61">
        <v>75.358594760178249</v>
      </c>
      <c r="R64" s="61">
        <v>290.03441564161182</v>
      </c>
      <c r="S64" s="61">
        <v>86.653561942566498</v>
      </c>
      <c r="T64" s="61">
        <v>81.694387277754956</v>
      </c>
      <c r="U64" s="61">
        <v>92.303631798252823</v>
      </c>
      <c r="V64" s="61">
        <v>96.280872077587631</v>
      </c>
      <c r="W64" s="61">
        <v>356.93245309616191</v>
      </c>
      <c r="X64" s="61">
        <v>86.407164466370759</v>
      </c>
      <c r="Y64" s="61">
        <v>77.128887851993667</v>
      </c>
      <c r="Z64" s="61">
        <v>92.704081844583186</v>
      </c>
      <c r="AA64" s="61">
        <v>105.96526252733237</v>
      </c>
      <c r="AB64" s="61">
        <v>362.20539669028</v>
      </c>
      <c r="AC64" s="61">
        <v>104.04561465802091</v>
      </c>
      <c r="AD64" s="61">
        <v>38.832400000000007</v>
      </c>
      <c r="AE64" s="61">
        <v>120.16914000000001</v>
      </c>
      <c r="AF64" s="61">
        <v>123.97663910119924</v>
      </c>
      <c r="AG64" s="59">
        <f>SUM(AC64:AF64)</f>
        <v>387.02379375922015</v>
      </c>
      <c r="AH64" s="61">
        <v>117.54334499794602</v>
      </c>
    </row>
    <row r="65" spans="1:34">
      <c r="A65" s="21"/>
      <c r="B65" s="6" t="s">
        <v>292</v>
      </c>
      <c r="C65" s="6" t="s">
        <v>679</v>
      </c>
      <c r="D65" s="65">
        <v>0.2222903179546587</v>
      </c>
      <c r="E65" s="65">
        <v>0.24079287454433396</v>
      </c>
      <c r="F65" s="65">
        <v>0.26486801724385911</v>
      </c>
      <c r="G65" s="65">
        <v>0.24487739331610736</v>
      </c>
      <c r="H65" s="65">
        <v>0.24284570618755758</v>
      </c>
      <c r="I65" s="65">
        <v>0.24965751649557305</v>
      </c>
      <c r="J65" s="65">
        <v>0.24402069318867928</v>
      </c>
      <c r="K65" s="65">
        <v>0.2251846292231815</v>
      </c>
      <c r="L65" s="65">
        <v>0.23129068079106849</v>
      </c>
      <c r="M65" s="65">
        <v>0.23715319564133724</v>
      </c>
      <c r="N65" s="65">
        <v>0.22061781046289353</v>
      </c>
      <c r="O65" s="65">
        <v>0.2112801326677656</v>
      </c>
      <c r="P65" s="65">
        <v>0.19140524328797087</v>
      </c>
      <c r="Q65" s="65">
        <v>0.20500136530102098</v>
      </c>
      <c r="R65" s="65">
        <v>0.20615077429656958</v>
      </c>
      <c r="S65" s="65">
        <v>0.24094221086673731</v>
      </c>
      <c r="T65" s="65">
        <v>0.20437098251385172</v>
      </c>
      <c r="U65" s="65">
        <v>0.19580765457866806</v>
      </c>
      <c r="V65" s="65">
        <v>0.20571732431904535</v>
      </c>
      <c r="W65" s="65">
        <v>0.21010796694578318</v>
      </c>
      <c r="X65" s="65">
        <v>0.21409315138776558</v>
      </c>
      <c r="Y65" s="65">
        <v>0.19425651727658996</v>
      </c>
      <c r="Z65" s="65">
        <v>0.20737435013658148</v>
      </c>
      <c r="AA65" s="65">
        <v>0.21697476826989381</v>
      </c>
      <c r="AB65" s="65">
        <v>0.2086369273456557</v>
      </c>
      <c r="AC65" s="65">
        <v>0.24274374704880761</v>
      </c>
      <c r="AD65" s="65">
        <f>AD64/AD14</f>
        <v>8.3024680613718191E-2</v>
      </c>
      <c r="AE65" s="65">
        <v>0.24780923274891428</v>
      </c>
      <c r="AF65" s="65">
        <f>AF64/AF14</f>
        <v>0.25716049791732992</v>
      </c>
      <c r="AG65" s="65">
        <f>AG64/AG14</f>
        <v>0.20769097227311689</v>
      </c>
      <c r="AH65" s="65">
        <f>AH64/AH14</f>
        <v>0.24654807182981717</v>
      </c>
    </row>
    <row r="66" spans="1:34">
      <c r="A66" s="21"/>
      <c r="B66" s="78"/>
      <c r="C66" s="78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34">
      <c r="A67" s="21"/>
      <c r="B67" s="95" t="s">
        <v>295</v>
      </c>
      <c r="C67" s="95" t="s">
        <v>681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</row>
    <row r="68" spans="1:34">
      <c r="A68" s="21"/>
      <c r="B68" s="57" t="s">
        <v>251</v>
      </c>
      <c r="C68" s="57" t="s">
        <v>469</v>
      </c>
      <c r="D68" s="61">
        <v>15.03042643413996</v>
      </c>
      <c r="E68" s="61">
        <v>20.38361990192497</v>
      </c>
      <c r="F68" s="61">
        <v>18.203762358755018</v>
      </c>
      <c r="G68" s="61">
        <v>17.214044322085389</v>
      </c>
      <c r="H68" s="61">
        <v>70.831853016905328</v>
      </c>
      <c r="I68" s="61">
        <v>20.580993438434678</v>
      </c>
      <c r="J68" s="61">
        <v>21.827563194804775</v>
      </c>
      <c r="K68" s="61">
        <v>22.836791961084799</v>
      </c>
      <c r="L68" s="61">
        <v>22.064264184197096</v>
      </c>
      <c r="M68" s="61">
        <v>87.309612778521341</v>
      </c>
      <c r="N68" s="61">
        <v>27.249095889416765</v>
      </c>
      <c r="O68" s="61">
        <v>29.668878001736537</v>
      </c>
      <c r="P68" s="61">
        <v>37.071892298249331</v>
      </c>
      <c r="Q68" s="61">
        <v>34.199849412835604</v>
      </c>
      <c r="R68" s="61">
        <v>128.18971560223824</v>
      </c>
      <c r="S68" s="61">
        <v>28.834076973027297</v>
      </c>
      <c r="T68" s="61">
        <v>30.5528298414498</v>
      </c>
      <c r="U68" s="61">
        <v>33.707729941249895</v>
      </c>
      <c r="V68" s="61">
        <v>37.249146224075325</v>
      </c>
      <c r="W68" s="61">
        <v>130.34378297980234</v>
      </c>
      <c r="X68" s="61">
        <v>28.579573526280797</v>
      </c>
      <c r="Y68" s="61">
        <v>31.714891221165832</v>
      </c>
      <c r="Z68" s="61">
        <v>35.501761854582604</v>
      </c>
      <c r="AA68" s="61">
        <v>40.822695489999994</v>
      </c>
      <c r="AB68" s="61">
        <v>136.61892209202918</v>
      </c>
      <c r="AC68" s="61">
        <v>42.702250567934684</v>
      </c>
      <c r="AD68" s="61">
        <v>16.65541</v>
      </c>
      <c r="AE68" s="61">
        <v>49.590638630000001</v>
      </c>
      <c r="AF68" s="61">
        <v>53.686855126643543</v>
      </c>
      <c r="AG68" s="59">
        <f>SUM(AC68:AF68)</f>
        <v>162.63515432457822</v>
      </c>
      <c r="AH68" s="61">
        <v>53.136340307463428</v>
      </c>
    </row>
    <row r="69" spans="1:34">
      <c r="A69" s="21"/>
      <c r="B69" s="28" t="s">
        <v>270</v>
      </c>
      <c r="C69" s="28" t="s">
        <v>665</v>
      </c>
      <c r="D69" s="65">
        <v>3.3921070715729994E-2</v>
      </c>
      <c r="E69" s="65">
        <v>4.6559204892473664E-2</v>
      </c>
      <c r="F69" s="65">
        <v>4.2741869825675086E-2</v>
      </c>
      <c r="G69" s="65">
        <v>4.1278624503304287E-2</v>
      </c>
      <c r="H69" s="65">
        <v>4.109003308518476E-2</v>
      </c>
      <c r="I69" s="65">
        <v>5.7408628838032577E-2</v>
      </c>
      <c r="J69" s="65">
        <v>5.5696767529483993E-2</v>
      </c>
      <c r="K69" s="65">
        <v>5.5415656299647655E-2</v>
      </c>
      <c r="L69" s="65">
        <v>5.3567040991010194E-2</v>
      </c>
      <c r="M69" s="65">
        <v>5.5455800799365684E-2</v>
      </c>
      <c r="N69" s="65">
        <v>7.053868985093649E-2</v>
      </c>
      <c r="O69" s="65">
        <v>7.0322062104139701E-2</v>
      </c>
      <c r="P69" s="65">
        <v>7.7418381410165882E-2</v>
      </c>
      <c r="Q69" s="65">
        <v>7.645841585699889E-2</v>
      </c>
      <c r="R69" s="65">
        <v>7.3914383671935785E-2</v>
      </c>
      <c r="S69" s="65">
        <v>6.7558755794346989E-2</v>
      </c>
      <c r="T69" s="65">
        <v>6.5946103694042302E-2</v>
      </c>
      <c r="U69" s="65">
        <v>5.9240298666520023E-2</v>
      </c>
      <c r="V69" s="65">
        <v>6.7873808717338432E-2</v>
      </c>
      <c r="W69" s="65">
        <v>6.4912242519821889E-2</v>
      </c>
      <c r="X69" s="65">
        <v>6.1633757874230748E-2</v>
      </c>
      <c r="Y69" s="65">
        <v>7.6495154899097514E-2</v>
      </c>
      <c r="Z69" s="65">
        <v>6.7998011596595673E-2</v>
      </c>
      <c r="AA69" s="65">
        <v>7.5780017616484105E-2</v>
      </c>
      <c r="AB69" s="65">
        <v>7.045653568858308E-2</v>
      </c>
      <c r="AC69" s="65">
        <v>8.7200838407054698E-2</v>
      </c>
      <c r="AD69" s="65">
        <f>AD68/AD$9</f>
        <v>3.077944682905857E-2</v>
      </c>
      <c r="AE69" s="65">
        <v>8.4999020664145913E-2</v>
      </c>
      <c r="AF69" s="65">
        <f>AF68/AF$9</f>
        <v>9.1976794803226902E-2</v>
      </c>
      <c r="AG69" s="65">
        <f>AG68/AG$9</f>
        <v>7.3994114698364047E-2</v>
      </c>
      <c r="AH69" s="65">
        <f>AH68/AH$9</f>
        <v>9.1661791111718863E-2</v>
      </c>
    </row>
    <row r="70" spans="1:34">
      <c r="A70" s="21"/>
      <c r="B70" s="57" t="s">
        <v>252</v>
      </c>
      <c r="C70" s="57" t="s">
        <v>648</v>
      </c>
      <c r="D70" s="61">
        <v>3.903758805424877E-2</v>
      </c>
      <c r="E70" s="61">
        <v>1.0205555385940861</v>
      </c>
      <c r="F70" s="61">
        <v>1.5258043072111578</v>
      </c>
      <c r="G70" s="61">
        <v>0.81834166627402005</v>
      </c>
      <c r="H70" s="61">
        <v>3.4037391001335053</v>
      </c>
      <c r="I70" s="61">
        <v>3.6239828460340504E-2</v>
      </c>
      <c r="J70" s="61">
        <v>-1.1012416089659747</v>
      </c>
      <c r="K70" s="61">
        <v>-2.8258542732327623</v>
      </c>
      <c r="L70" s="61">
        <v>5.2890527168643784</v>
      </c>
      <c r="M70" s="61">
        <v>1.3981966631259857</v>
      </c>
      <c r="N70" s="61">
        <v>0.97626271384233765</v>
      </c>
      <c r="O70" s="61">
        <v>0.79071515376800383</v>
      </c>
      <c r="P70" s="61">
        <v>3.7283874664373653</v>
      </c>
      <c r="Q70" s="61">
        <v>5.5163961285270853</v>
      </c>
      <c r="R70" s="61">
        <v>11.011761462574766</v>
      </c>
      <c r="S70" s="61">
        <v>3.2506302942650001</v>
      </c>
      <c r="T70" s="61">
        <v>0.72730380530500038</v>
      </c>
      <c r="U70" s="61">
        <v>0.42158605838999941</v>
      </c>
      <c r="V70" s="61">
        <v>6.9037521097943353</v>
      </c>
      <c r="W70" s="61">
        <v>11.303272267754364</v>
      </c>
      <c r="X70" s="61">
        <v>-0.56845932827592338</v>
      </c>
      <c r="Y70" s="61">
        <v>0.53113907374066183</v>
      </c>
      <c r="Z70" s="61">
        <v>-1.2967817209470669</v>
      </c>
      <c r="AA70" s="61">
        <v>-1.2516197119594363</v>
      </c>
      <c r="AB70" s="61">
        <v>-2.5857216874418083</v>
      </c>
      <c r="AC70" s="61">
        <v>4.0785453281665101</v>
      </c>
      <c r="AD70" s="61">
        <v>2.938000000000102E-2</v>
      </c>
      <c r="AE70" s="61">
        <v>3.236607410000004</v>
      </c>
      <c r="AF70" s="61">
        <v>2.8214749046090581</v>
      </c>
      <c r="AG70" s="59">
        <f>SUM(AC70:AF70)</f>
        <v>10.166007642775572</v>
      </c>
      <c r="AH70" s="61">
        <v>3.351202223814151</v>
      </c>
    </row>
    <row r="71" spans="1:34">
      <c r="A71" s="21"/>
      <c r="B71" s="63" t="s">
        <v>253</v>
      </c>
      <c r="C71" s="63" t="s">
        <v>649</v>
      </c>
      <c r="D71" s="64">
        <v>2.5972375584487201E-3</v>
      </c>
      <c r="E71" s="64">
        <v>5.0067433728869119E-2</v>
      </c>
      <c r="F71" s="64">
        <v>8.381807437061653E-2</v>
      </c>
      <c r="G71" s="64">
        <v>4.7539186664234311E-2</v>
      </c>
      <c r="H71" s="64">
        <v>4.8053791552243312E-2</v>
      </c>
      <c r="I71" s="64">
        <v>1.7608396100386096E-3</v>
      </c>
      <c r="J71" s="64">
        <v>-5.0451880456728382E-2</v>
      </c>
      <c r="K71" s="64">
        <v>-0.12374129772904091</v>
      </c>
      <c r="L71" s="64">
        <v>0.23971126672116772</v>
      </c>
      <c r="M71" s="64">
        <v>1.6014235072520561E-2</v>
      </c>
      <c r="N71" s="64">
        <v>3.5827343329270123E-2</v>
      </c>
      <c r="O71" s="64">
        <v>2.6651333215961952E-2</v>
      </c>
      <c r="P71" s="64">
        <v>0.10057181425868118</v>
      </c>
      <c r="Q71" s="64">
        <v>0.16129884263340402</v>
      </c>
      <c r="R71" s="64">
        <v>8.5902066408691649E-2</v>
      </c>
      <c r="S71" s="64">
        <v>0.11273571535880227</v>
      </c>
      <c r="T71" s="64">
        <v>2.3804793502901538E-2</v>
      </c>
      <c r="U71" s="64">
        <v>1.2507103240852855E-2</v>
      </c>
      <c r="V71" s="64">
        <v>0.1853398751279893</v>
      </c>
      <c r="W71" s="64">
        <v>8.6718921373533278E-2</v>
      </c>
      <c r="X71" s="64">
        <v>-1.9890406263522009E-2</v>
      </c>
      <c r="Y71" s="64">
        <v>1.6747308702297899E-2</v>
      </c>
      <c r="Z71" s="64">
        <v>-3.6527249725204186E-2</v>
      </c>
      <c r="AA71" s="64">
        <v>-3.065989878757603E-2</v>
      </c>
      <c r="AB71" s="64">
        <v>-1.8926526778625993E-2</v>
      </c>
      <c r="AC71" s="64">
        <v>9.5511249967445713E-2</v>
      </c>
      <c r="AD71" s="64">
        <f>IFERROR(AD70/AD68,"N/A")</f>
        <v>1.7639913997914804E-3</v>
      </c>
      <c r="AE71" s="64">
        <v>6.526649987608768E-2</v>
      </c>
      <c r="AF71" s="64">
        <f>IFERROR(AF70/AF68,"N/A")</f>
        <v>5.2554296539691063E-2</v>
      </c>
      <c r="AG71" s="64">
        <f>IFERROR(AG70/AG68,"N/A")</f>
        <v>6.2508057898028727E-2</v>
      </c>
      <c r="AH71" s="64">
        <f>IFERROR(AH70/AH68,"N/A")</f>
        <v>6.3067990840600802E-2</v>
      </c>
    </row>
    <row r="72" spans="1:34">
      <c r="A72" s="21"/>
      <c r="B72" s="6" t="s">
        <v>271</v>
      </c>
      <c r="C72" s="6" t="s">
        <v>666</v>
      </c>
      <c r="D72" s="77">
        <v>5.6494338718160312E-4</v>
      </c>
      <c r="E72" s="77">
        <v>1.4233689520140671E-2</v>
      </c>
      <c r="F72" s="77">
        <v>2.0263005407850702E-2</v>
      </c>
      <c r="G72" s="77">
        <v>1.302457603087573E-2</v>
      </c>
      <c r="H72" s="77">
        <v>1.2202817991965976E-2</v>
      </c>
      <c r="I72" s="77">
        <v>7.1904421548294655E-4</v>
      </c>
      <c r="J72" s="77">
        <v>-1.8262713249850328E-2</v>
      </c>
      <c r="K72" s="77">
        <v>-4.0836044410878063E-2</v>
      </c>
      <c r="L72" s="77">
        <v>8.0015926125028419E-2</v>
      </c>
      <c r="M72" s="77">
        <v>5.6860376702968099E-3</v>
      </c>
      <c r="N72" s="77">
        <v>1.337346183345668E-2</v>
      </c>
      <c r="O72" s="77">
        <v>1.0255708868586302E-2</v>
      </c>
      <c r="P72" s="77">
        <v>4.5998399708775749E-2</v>
      </c>
      <c r="Q72" s="77">
        <v>7.474791502069221E-2</v>
      </c>
      <c r="R72" s="77">
        <v>3.6109496574974038E-2</v>
      </c>
      <c r="S72" s="77">
        <v>4.8444564743144562E-2</v>
      </c>
      <c r="T72" s="77">
        <v>1.1435594423034597E-2</v>
      </c>
      <c r="U72" s="77">
        <v>4.3195292867827815E-3</v>
      </c>
      <c r="V72" s="77">
        <v>8.5548353281218528E-2</v>
      </c>
      <c r="W72" s="77">
        <v>3.6580169151308621E-2</v>
      </c>
      <c r="X72" s="77">
        <v>-9.4428459846498895E-3</v>
      </c>
      <c r="Y72" s="77">
        <v>3.0350804213752105E-2</v>
      </c>
      <c r="Z72" s="77">
        <v>-1.7406466052980765E-2</v>
      </c>
      <c r="AA72" s="77">
        <v>-2.4828857700838623E-2</v>
      </c>
      <c r="AB72" s="77">
        <v>-1.2770513040721706E-2</v>
      </c>
      <c r="AC72" s="77">
        <v>6.6877203503832791E-2</v>
      </c>
      <c r="AD72" s="77">
        <f>AD70/AD$10</f>
        <v>4.0027247956404659E-4</v>
      </c>
      <c r="AE72" s="77">
        <v>3.2858958477157398E-2</v>
      </c>
      <c r="AF72" s="77">
        <f>AF70/AF$10</f>
        <v>2.7769957877092258E-2</v>
      </c>
      <c r="AG72" s="77">
        <f>AG70/AG$10</f>
        <v>3.0392807585392263E-2</v>
      </c>
      <c r="AH72" s="77">
        <f>AH70/AH$10</f>
        <v>3.2553735933205673E-2</v>
      </c>
    </row>
    <row r="73" spans="1:34">
      <c r="A73" s="21"/>
      <c r="B73" s="57" t="s">
        <v>289</v>
      </c>
      <c r="C73" s="57" t="s">
        <v>289</v>
      </c>
      <c r="D73" s="61">
        <v>14.991388846085711</v>
      </c>
      <c r="E73" s="61">
        <v>19.363064363330881</v>
      </c>
      <c r="F73" s="61">
        <v>16.677958051543861</v>
      </c>
      <c r="G73" s="61">
        <v>16.39570265581137</v>
      </c>
      <c r="H73" s="61">
        <v>67.428113916771821</v>
      </c>
      <c r="I73" s="61">
        <v>20.544753609974336</v>
      </c>
      <c r="J73" s="61">
        <v>22.928804803770749</v>
      </c>
      <c r="K73" s="61">
        <v>25.662646234317563</v>
      </c>
      <c r="L73" s="61">
        <v>16.775211467332721</v>
      </c>
      <c r="M73" s="61">
        <v>85.911416115395355</v>
      </c>
      <c r="N73" s="61">
        <v>26.272833175574426</v>
      </c>
      <c r="O73" s="61">
        <v>28.878162847968536</v>
      </c>
      <c r="P73" s="61">
        <v>33.343504831811963</v>
      </c>
      <c r="Q73" s="61">
        <v>28.683453284308516</v>
      </c>
      <c r="R73" s="61">
        <v>117.17795413966346</v>
      </c>
      <c r="S73" s="61">
        <v>25.5834466787623</v>
      </c>
      <c r="T73" s="61">
        <v>29.825526036144797</v>
      </c>
      <c r="U73" s="61">
        <v>33.286143882859896</v>
      </c>
      <c r="V73" s="61">
        <v>30.345394114280989</v>
      </c>
      <c r="W73" s="61">
        <v>119.04051071204796</v>
      </c>
      <c r="X73" s="61">
        <v>29.148032854556721</v>
      </c>
      <c r="Y73" s="61">
        <v>31.183752147425171</v>
      </c>
      <c r="Z73" s="61">
        <v>36.798543575529671</v>
      </c>
      <c r="AA73" s="61">
        <v>42.074315201959429</v>
      </c>
      <c r="AB73" s="61">
        <v>139.20464377947098</v>
      </c>
      <c r="AC73" s="61">
        <v>38.623705239768178</v>
      </c>
      <c r="AD73" s="61">
        <v>16.62603</v>
      </c>
      <c r="AE73" s="61">
        <v>46.354031219999996</v>
      </c>
      <c r="AF73" s="61">
        <v>50.865380222034489</v>
      </c>
      <c r="AG73" s="59">
        <f>SUM(AC73:AF73)</f>
        <v>152.46914668180267</v>
      </c>
      <c r="AH73" s="61">
        <v>49.785138083649272</v>
      </c>
    </row>
    <row r="74" spans="1:34">
      <c r="A74" s="21"/>
      <c r="B74" s="6" t="s">
        <v>292</v>
      </c>
      <c r="C74" s="6" t="s">
        <v>679</v>
      </c>
      <c r="D74" s="65">
        <v>4.0077117892835842E-2</v>
      </c>
      <c r="E74" s="65">
        <v>5.2893191551364516E-2</v>
      </c>
      <c r="F74" s="65">
        <v>4.7570139626768343E-2</v>
      </c>
      <c r="G74" s="65">
        <v>4.6293586559927907E-2</v>
      </c>
      <c r="H74" s="65">
        <v>4.6666050356795365E-2</v>
      </c>
      <c r="I74" s="65">
        <v>6.6669275925359262E-2</v>
      </c>
      <c r="J74" s="65">
        <v>6.9130194129142744E-2</v>
      </c>
      <c r="K74" s="65">
        <v>7.4841499350271082E-2</v>
      </c>
      <c r="L74" s="65">
        <v>4.8513571447415291E-2</v>
      </c>
      <c r="M74" s="65">
        <v>6.4667395014615742E-2</v>
      </c>
      <c r="N74" s="65">
        <v>8.5208073266786991E-2</v>
      </c>
      <c r="O74" s="65">
        <v>8.5152234148380357E-2</v>
      </c>
      <c r="P74" s="65">
        <v>8.5096692429993959E-2</v>
      </c>
      <c r="Q74" s="65">
        <v>7.8028884476207719E-2</v>
      </c>
      <c r="R74" s="65">
        <v>8.3287791633076064E-2</v>
      </c>
      <c r="S74" s="65">
        <v>7.1135358618700864E-2</v>
      </c>
      <c r="T74" s="65">
        <v>7.4613107009117011E-2</v>
      </c>
      <c r="U74" s="65">
        <v>7.0611325217587437E-2</v>
      </c>
      <c r="V74" s="65">
        <v>6.4837107806483454E-2</v>
      </c>
      <c r="W74" s="65">
        <v>7.0073089384107529E-2</v>
      </c>
      <c r="X74" s="65">
        <v>7.2220796147232758E-2</v>
      </c>
      <c r="Y74" s="65">
        <v>7.853927700084963E-2</v>
      </c>
      <c r="Z74" s="65">
        <v>8.2316483892710429E-2</v>
      </c>
      <c r="AA74" s="65">
        <v>8.6151485622044235E-2</v>
      </c>
      <c r="AB74" s="65">
        <v>8.0184418608290606E-2</v>
      </c>
      <c r="AC74" s="65">
        <v>9.0111082198188724E-2</v>
      </c>
      <c r="AD74" s="65">
        <f>AD73/AD14</f>
        <v>3.5546884318870244E-2</v>
      </c>
      <c r="AE74" s="65">
        <v>9.558990695487557E-2</v>
      </c>
      <c r="AF74" s="65">
        <f>AF73/AF14</f>
        <v>0.10550831672388969</v>
      </c>
      <c r="AG74" s="65">
        <f>AG73/AG14</f>
        <v>8.1820461239385162E-2</v>
      </c>
      <c r="AH74" s="65">
        <f>AH73/AH14</f>
        <v>0.10442471073559641</v>
      </c>
    </row>
    <row r="75" spans="1:34">
      <c r="A75" s="21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34">
      <c r="A76" s="21"/>
      <c r="B76" s="97" t="s">
        <v>296</v>
      </c>
      <c r="C76" s="97" t="s">
        <v>682</v>
      </c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</row>
    <row r="77" spans="1:34">
      <c r="A77" s="21"/>
      <c r="B77" s="57" t="s">
        <v>251</v>
      </c>
      <c r="C77" s="57" t="s">
        <v>469</v>
      </c>
      <c r="D77" s="61">
        <v>108.31073528046102</v>
      </c>
      <c r="E77" s="61">
        <v>113.08909377376098</v>
      </c>
      <c r="F77" s="61">
        <v>87.976173835996107</v>
      </c>
      <c r="G77" s="61">
        <v>96.454773438818094</v>
      </c>
      <c r="H77" s="61">
        <v>405.83077632903615</v>
      </c>
      <c r="I77" s="61">
        <v>65.062461174069497</v>
      </c>
      <c r="J77" s="61">
        <v>85.929422365200338</v>
      </c>
      <c r="K77" s="61">
        <v>95.412496918660409</v>
      </c>
      <c r="L77" s="61">
        <v>101.12599626224994</v>
      </c>
      <c r="M77" s="61">
        <v>347.53037672018019</v>
      </c>
      <c r="N77" s="61">
        <v>81.269252106335628</v>
      </c>
      <c r="O77" s="61">
        <v>108.31510345697377</v>
      </c>
      <c r="P77" s="61">
        <v>129.25828306890349</v>
      </c>
      <c r="Q77" s="61">
        <v>111.37819908001694</v>
      </c>
      <c r="R77" s="61">
        <v>430.22083771222981</v>
      </c>
      <c r="S77" s="61">
        <v>87.933519442290347</v>
      </c>
      <c r="T77" s="61">
        <v>120.48826873890971</v>
      </c>
      <c r="U77" s="61">
        <v>145.18432168895313</v>
      </c>
      <c r="V77" s="61">
        <v>138.05764326600897</v>
      </c>
      <c r="W77" s="61">
        <v>491.66375313616214</v>
      </c>
      <c r="X77" s="61">
        <v>156.51020219761705</v>
      </c>
      <c r="Y77" s="61">
        <v>151.42841999999999</v>
      </c>
      <c r="Z77" s="61">
        <v>163.63175698903859</v>
      </c>
      <c r="AA77" s="61">
        <v>159.84846546899749</v>
      </c>
      <c r="AB77" s="61">
        <v>631.41884465565283</v>
      </c>
      <c r="AC77" s="61">
        <v>127.87720093729163</v>
      </c>
      <c r="AD77" s="61">
        <v>50.121259999999992</v>
      </c>
      <c r="AE77" s="61">
        <v>162.58869999999999</v>
      </c>
      <c r="AF77" s="61">
        <v>148.2008660376153</v>
      </c>
      <c r="AG77" s="59">
        <f>SUM(AC77:AF77)</f>
        <v>488.78802697490693</v>
      </c>
      <c r="AH77" s="61">
        <v>134.05073827368292</v>
      </c>
    </row>
    <row r="78" spans="1:34" s="28" customFormat="1">
      <c r="A78" s="21"/>
      <c r="B78" s="28" t="s">
        <v>270</v>
      </c>
      <c r="C78" s="28" t="s">
        <v>665</v>
      </c>
      <c r="D78" s="65">
        <v>0.24443858108883099</v>
      </c>
      <c r="E78" s="65">
        <v>0.25831222881169708</v>
      </c>
      <c r="F78" s="65">
        <v>0.20656532950456941</v>
      </c>
      <c r="G78" s="65">
        <v>0.23129488340076032</v>
      </c>
      <c r="H78" s="65">
        <v>0.23542515571866196</v>
      </c>
      <c r="I78" s="65">
        <v>0.1814852473474742</v>
      </c>
      <c r="J78" s="65">
        <v>0.21926364471855153</v>
      </c>
      <c r="K78" s="65">
        <v>0.23152753438160739</v>
      </c>
      <c r="L78" s="65">
        <v>0.24551103729606688</v>
      </c>
      <c r="M78" s="65">
        <v>0.22073829822165916</v>
      </c>
      <c r="N78" s="65">
        <v>0.2103785972206462</v>
      </c>
      <c r="O78" s="65">
        <v>0.25673169816775016</v>
      </c>
      <c r="P78" s="65">
        <v>0.26993407777903267</v>
      </c>
      <c r="Q78" s="65">
        <v>0.24900111576127193</v>
      </c>
      <c r="R78" s="65">
        <v>0.24806598495775231</v>
      </c>
      <c r="S78" s="65">
        <v>0.20602980187978057</v>
      </c>
      <c r="T78" s="65">
        <v>0.26006533291368378</v>
      </c>
      <c r="U78" s="65">
        <v>0.25515698012118299</v>
      </c>
      <c r="V78" s="65">
        <v>0.25156276105322334</v>
      </c>
      <c r="W78" s="65">
        <v>0.24485246670127597</v>
      </c>
      <c r="X78" s="65">
        <v>0.33752469742854657</v>
      </c>
      <c r="Y78" s="65">
        <v>0.36523979739507956</v>
      </c>
      <c r="Z78" s="65">
        <v>0.31341075845439298</v>
      </c>
      <c r="AA78" s="65">
        <v>0.29673002685910055</v>
      </c>
      <c r="AB78" s="65">
        <v>0.32563266992369616</v>
      </c>
      <c r="AC78" s="65">
        <v>0.26113375727443666</v>
      </c>
      <c r="AD78" s="65">
        <f>AD77/AD$9</f>
        <v>9.2624838246276736E-2</v>
      </c>
      <c r="AE78" s="65">
        <v>0.27867921553033287</v>
      </c>
      <c r="AF78" s="65">
        <f>AF77/AF$9</f>
        <v>0.253899033814657</v>
      </c>
      <c r="AG78" s="65">
        <f>AG77/AG$9</f>
        <v>0.22238388423075711</v>
      </c>
      <c r="AH78" s="65">
        <f>AH77/AH$9</f>
        <v>0.23124157024958239</v>
      </c>
    </row>
    <row r="79" spans="1:34">
      <c r="B79" s="57" t="s">
        <v>252</v>
      </c>
      <c r="C79" s="57" t="s">
        <v>648</v>
      </c>
      <c r="D79" s="61">
        <v>7.3315061303439286</v>
      </c>
      <c r="E79" s="61">
        <v>12.332637682057918</v>
      </c>
      <c r="F79" s="61">
        <v>8.7085465212998816</v>
      </c>
      <c r="G79" s="61">
        <v>9.2604350691864088</v>
      </c>
      <c r="H79" s="61">
        <v>37.633125402888112</v>
      </c>
      <c r="I79" s="61">
        <v>-4.6193083084903774</v>
      </c>
      <c r="J79" s="61">
        <v>6.4698621012325601</v>
      </c>
      <c r="K79" s="61">
        <v>2.2220743456839553</v>
      </c>
      <c r="L79" s="61">
        <v>6.5227064013273779</v>
      </c>
      <c r="M79" s="61">
        <v>10.595334539753502</v>
      </c>
      <c r="N79" s="61">
        <v>5.3417287657824346</v>
      </c>
      <c r="O79" s="61">
        <v>16.305282744962156</v>
      </c>
      <c r="P79" s="61">
        <v>17.851056888828957</v>
      </c>
      <c r="Q79" s="61">
        <v>6.6423376738419178</v>
      </c>
      <c r="R79" s="61">
        <v>46.140406073415477</v>
      </c>
      <c r="S79" s="61">
        <v>-1.2340903887396999</v>
      </c>
      <c r="T79" s="61">
        <v>10.063937904654319</v>
      </c>
      <c r="U79" s="61">
        <v>16.68330146993129</v>
      </c>
      <c r="V79" s="61">
        <v>4.6822481589195375</v>
      </c>
      <c r="W79" s="61">
        <v>30.195397144765476</v>
      </c>
      <c r="X79" s="61">
        <v>4.8956018420481122</v>
      </c>
      <c r="Y79" s="61">
        <v>8.2787099999999914</v>
      </c>
      <c r="Z79" s="61">
        <v>15.029752520119567</v>
      </c>
      <c r="AA79" s="61">
        <v>4.9705242925461786</v>
      </c>
      <c r="AB79" s="61">
        <v>33.174588654713702</v>
      </c>
      <c r="AC79" s="61">
        <v>-2.6084810313232736</v>
      </c>
      <c r="AD79" s="61">
        <v>1.9413800000000045</v>
      </c>
      <c r="AE79" s="61">
        <v>10.00578</v>
      </c>
      <c r="AF79" s="61">
        <v>0.660505384865537</v>
      </c>
      <c r="AG79" s="59">
        <f>SUM(AC79:AF79)</f>
        <v>9.9991843535422689</v>
      </c>
      <c r="AH79" s="61">
        <v>6.1181556751884196</v>
      </c>
    </row>
    <row r="80" spans="1:34" s="28" customFormat="1">
      <c r="A80" s="21"/>
      <c r="B80" s="63" t="s">
        <v>253</v>
      </c>
      <c r="C80" s="63" t="s">
        <v>649</v>
      </c>
      <c r="D80" s="64">
        <v>6.7689561070374465E-2</v>
      </c>
      <c r="E80" s="64">
        <v>0.10905240523661661</v>
      </c>
      <c r="F80" s="64">
        <v>9.8987556989398359E-2</v>
      </c>
      <c r="G80" s="64">
        <v>9.6008053712970096E-2</v>
      </c>
      <c r="H80" s="64">
        <v>9.2731078069782064E-2</v>
      </c>
      <c r="I80" s="64">
        <v>-7.0998056715558019E-2</v>
      </c>
      <c r="J80" s="64">
        <v>7.5292745175635237E-2</v>
      </c>
      <c r="K80" s="64">
        <v>2.3289133158083935E-2</v>
      </c>
      <c r="L80" s="64">
        <v>6.4500787556268424E-2</v>
      </c>
      <c r="M80" s="64">
        <v>3.0487506271385623E-2</v>
      </c>
      <c r="N80" s="64">
        <v>6.572877967171549E-2</v>
      </c>
      <c r="O80" s="64">
        <v>0.15053563376264636</v>
      </c>
      <c r="P80" s="64">
        <v>0.13810377536357282</v>
      </c>
      <c r="Q80" s="64">
        <v>5.9637682497181453E-2</v>
      </c>
      <c r="R80" s="64">
        <v>0.10724818983379487</v>
      </c>
      <c r="S80" s="64">
        <v>-1.4034356825096916E-2</v>
      </c>
      <c r="T80" s="64">
        <v>8.3526288575547725E-2</v>
      </c>
      <c r="U80" s="64">
        <v>0.11491117825844896</v>
      </c>
      <c r="V80" s="64">
        <v>3.3915167955589381E-2</v>
      </c>
      <c r="W80" s="64">
        <v>6.1414731007032597E-2</v>
      </c>
      <c r="X80" s="64">
        <v>3.1279761787456499E-2</v>
      </c>
      <c r="Y80" s="64">
        <v>5.4670781085875371E-2</v>
      </c>
      <c r="Z80" s="64">
        <v>9.1851073389906723E-2</v>
      </c>
      <c r="AA80" s="64">
        <v>3.1095226832253881E-2</v>
      </c>
      <c r="AB80" s="64">
        <v>5.253975065125846E-2</v>
      </c>
      <c r="AC80" s="64">
        <v>-2.0398327553340954E-2</v>
      </c>
      <c r="AD80" s="64">
        <f>IFERROR(AD79/AD77,"N/A")</f>
        <v>3.8733663120200983E-2</v>
      </c>
      <c r="AE80" s="64">
        <v>6.1540439157210802E-2</v>
      </c>
      <c r="AF80" s="64">
        <f>IFERROR(AF79/AF77,"N/A")</f>
        <v>4.4568254054459583E-3</v>
      </c>
      <c r="AG80" s="64">
        <f>IFERROR(AG79/AG77,"N/A")</f>
        <v>2.0457097559093036E-2</v>
      </c>
      <c r="AH80" s="64">
        <f>IFERROR(AH79/AH77,"N/A")</f>
        <v>4.5640596642574006E-2</v>
      </c>
    </row>
    <row r="81" spans="1:34" s="28" customFormat="1">
      <c r="A81" s="21"/>
      <c r="B81" s="6" t="s">
        <v>271</v>
      </c>
      <c r="C81" s="6" t="s">
        <v>666</v>
      </c>
      <c r="D81" s="77">
        <v>0.10609994399918855</v>
      </c>
      <c r="E81" s="77">
        <v>0.17200331495199328</v>
      </c>
      <c r="F81" s="77">
        <v>0.11565134822443403</v>
      </c>
      <c r="G81" s="77">
        <v>0.14738738794367978</v>
      </c>
      <c r="H81" s="77">
        <v>0.13491932438131418</v>
      </c>
      <c r="I81" s="77">
        <v>-9.1652942628777337E-2</v>
      </c>
      <c r="J81" s="77">
        <v>0.1072945622094952</v>
      </c>
      <c r="K81" s="77">
        <v>3.2110900949190106E-2</v>
      </c>
      <c r="L81" s="77">
        <v>9.8679370670610875E-2</v>
      </c>
      <c r="M81" s="77">
        <v>4.3087981048204563E-2</v>
      </c>
      <c r="N81" s="77">
        <v>7.3174366654553902E-2</v>
      </c>
      <c r="O81" s="77">
        <v>0.2114822664716233</v>
      </c>
      <c r="P81" s="77">
        <v>0.22023463424552941</v>
      </c>
      <c r="Q81" s="77">
        <v>9.0004575526313246E-2</v>
      </c>
      <c r="R81" s="77">
        <v>0.15130248150928791</v>
      </c>
      <c r="S81" s="77">
        <v>-1.8391809072126678E-2</v>
      </c>
      <c r="T81" s="77">
        <v>0.1582380173687786</v>
      </c>
      <c r="U81" s="77">
        <v>0.17093546588044356</v>
      </c>
      <c r="V81" s="77">
        <v>5.8020423282769983E-2</v>
      </c>
      <c r="W81" s="77">
        <v>9.771973186008244E-2</v>
      </c>
      <c r="X81" s="77">
        <v>8.1322289735018469E-2</v>
      </c>
      <c r="Y81" s="77">
        <v>0.47306914285714236</v>
      </c>
      <c r="Z81" s="77">
        <v>0.20174164456536331</v>
      </c>
      <c r="AA81" s="77">
        <v>9.8602186573896244E-2</v>
      </c>
      <c r="AB81" s="77">
        <v>0.16384459282419742</v>
      </c>
      <c r="AC81" s="77">
        <v>-4.2772092187612486E-2</v>
      </c>
      <c r="AD81" s="77">
        <f>AD79/AD$10</f>
        <v>2.6449318801089979E-2</v>
      </c>
      <c r="AE81" s="77">
        <v>0.10158152284263959</v>
      </c>
      <c r="AF81" s="77">
        <f>AF79/AF$10</f>
        <v>6.5009285339895865E-3</v>
      </c>
      <c r="AG81" s="77">
        <f>AG79/AG$10</f>
        <v>2.9894064292194648E-2</v>
      </c>
      <c r="AH81" s="77">
        <f>AH79/AH$10</f>
        <v>5.94320518269544E-2</v>
      </c>
    </row>
    <row r="82" spans="1:34">
      <c r="A82" s="21"/>
      <c r="B82" s="57" t="s">
        <v>289</v>
      </c>
      <c r="C82" s="57" t="s">
        <v>289</v>
      </c>
      <c r="D82" s="61">
        <v>100.97922915011708</v>
      </c>
      <c r="E82" s="61">
        <v>100.75645609170306</v>
      </c>
      <c r="F82" s="61">
        <v>79.267627314696213</v>
      </c>
      <c r="G82" s="61">
        <v>87.194338369631694</v>
      </c>
      <c r="H82" s="61">
        <v>368.19765092614807</v>
      </c>
      <c r="I82" s="61">
        <v>69.681769482559872</v>
      </c>
      <c r="J82" s="61">
        <v>79.459560263967788</v>
      </c>
      <c r="K82" s="61">
        <v>93.190422572976459</v>
      </c>
      <c r="L82" s="61">
        <v>94.603289860922573</v>
      </c>
      <c r="M82" s="61">
        <v>336.93504218042671</v>
      </c>
      <c r="N82" s="61">
        <v>75.927523340553194</v>
      </c>
      <c r="O82" s="61">
        <v>92.009820712011617</v>
      </c>
      <c r="P82" s="61">
        <v>111.40722618007455</v>
      </c>
      <c r="Q82" s="61">
        <v>104.73586140617503</v>
      </c>
      <c r="R82" s="61">
        <v>384.08043163881433</v>
      </c>
      <c r="S82" s="61">
        <v>89.167609831030049</v>
      </c>
      <c r="T82" s="61">
        <v>110.4243308342554</v>
      </c>
      <c r="U82" s="61">
        <v>128.50102021902185</v>
      </c>
      <c r="V82" s="61">
        <v>133.37539510708942</v>
      </c>
      <c r="W82" s="61">
        <v>461.46835599139666</v>
      </c>
      <c r="X82" s="61">
        <v>151.61460035556891</v>
      </c>
      <c r="Y82" s="61">
        <v>143.14971</v>
      </c>
      <c r="Z82" s="61">
        <v>148.60200446891901</v>
      </c>
      <c r="AA82" s="61">
        <v>154.87794117645132</v>
      </c>
      <c r="AB82" s="61">
        <v>598.24425600093923</v>
      </c>
      <c r="AC82" s="61">
        <v>130.4856819686149</v>
      </c>
      <c r="AD82" s="61">
        <v>48.17987999999999</v>
      </c>
      <c r="AE82" s="61">
        <v>152.58291999999997</v>
      </c>
      <c r="AF82" s="61">
        <v>147.54036065274977</v>
      </c>
      <c r="AG82" s="59">
        <f>SUM(AC82:AF82)</f>
        <v>478.78884262136467</v>
      </c>
      <c r="AH82" s="61">
        <v>127.93258259849449</v>
      </c>
    </row>
    <row r="83" spans="1:34" s="28" customFormat="1">
      <c r="A83" s="21"/>
      <c r="B83" s="6" t="s">
        <v>292</v>
      </c>
      <c r="C83" s="6" t="s">
        <v>679</v>
      </c>
      <c r="D83" s="65">
        <v>0.26995207134751881</v>
      </c>
      <c r="E83" s="65">
        <v>0.27523177282763178</v>
      </c>
      <c r="F83" s="65">
        <v>0.22609315166694993</v>
      </c>
      <c r="G83" s="65">
        <v>0.24619491677713848</v>
      </c>
      <c r="H83" s="65">
        <v>0.2548244214658289</v>
      </c>
      <c r="I83" s="65">
        <v>0.22612260067916512</v>
      </c>
      <c r="J83" s="65">
        <v>0.23957004621370631</v>
      </c>
      <c r="K83" s="65">
        <v>0.27177676404704471</v>
      </c>
      <c r="L83" s="65">
        <v>0.2735907962034263</v>
      </c>
      <c r="M83" s="65">
        <v>0.25361834843557335</v>
      </c>
      <c r="N83" s="65">
        <v>0.24624820355431973</v>
      </c>
      <c r="O83" s="65">
        <v>0.27130679463464757</v>
      </c>
      <c r="P83" s="65">
        <v>0.28432483353338561</v>
      </c>
      <c r="Q83" s="65">
        <v>0.28491766138386532</v>
      </c>
      <c r="R83" s="65">
        <v>0.27299683797643198</v>
      </c>
      <c r="S83" s="65">
        <v>0.24793257852032255</v>
      </c>
      <c r="T83" s="65">
        <v>0.27624332268143997</v>
      </c>
      <c r="U83" s="65">
        <v>0.27259472774644328</v>
      </c>
      <c r="V83" s="65">
        <v>0.28497487423374607</v>
      </c>
      <c r="W83" s="65">
        <v>0.27164293200608347</v>
      </c>
      <c r="X83" s="65">
        <v>0.37565921514706718</v>
      </c>
      <c r="Y83" s="65">
        <v>0.36053630342907961</v>
      </c>
      <c r="Z83" s="65">
        <v>0.33241518056775926</v>
      </c>
      <c r="AA83" s="65">
        <v>0.31712850603480452</v>
      </c>
      <c r="AB83" s="65">
        <v>0.34459962362447405</v>
      </c>
      <c r="AC83" s="65">
        <v>0.30442977804868787</v>
      </c>
      <c r="AD83" s="65">
        <f>AD82/AD14</f>
        <v>0.10300983583315138</v>
      </c>
      <c r="AE83" s="65">
        <v>0.31465196751669317</v>
      </c>
      <c r="AF83" s="65">
        <f>AF82/AF14</f>
        <v>0.30603791878397962</v>
      </c>
      <c r="AG83" s="65">
        <f>AG82/AG14</f>
        <v>0.25693541803121395</v>
      </c>
      <c r="AH83" s="65">
        <f>AH82/AH14</f>
        <v>0.26833957774826639</v>
      </c>
    </row>
    <row r="84" spans="1:34" s="28" customFormat="1">
      <c r="A84" s="21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4" s="28" customFormat="1">
      <c r="A85" s="21"/>
      <c r="B85" s="99" t="s">
        <v>297</v>
      </c>
      <c r="C85" s="99" t="s">
        <v>683</v>
      </c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</row>
    <row r="86" spans="1:34" s="28" customFormat="1">
      <c r="A86" s="21"/>
      <c r="B86" s="57" t="s">
        <v>251</v>
      </c>
      <c r="C86" s="57" t="s">
        <v>469</v>
      </c>
      <c r="D86" s="61">
        <v>122.62354657721065</v>
      </c>
      <c r="E86" s="61">
        <v>99.259104615726841</v>
      </c>
      <c r="F86" s="61">
        <v>101.63673577422198</v>
      </c>
      <c r="G86" s="61">
        <v>100.48050523019091</v>
      </c>
      <c r="H86" s="61">
        <v>423.99989219735039</v>
      </c>
      <c r="I86" s="61">
        <v>69.610571509812814</v>
      </c>
      <c r="J86" s="61">
        <v>87.597303072353753</v>
      </c>
      <c r="K86" s="61">
        <v>88.111944484368081</v>
      </c>
      <c r="L86" s="61">
        <v>93.913732334270151</v>
      </c>
      <c r="M86" s="61">
        <v>339.2335514008048</v>
      </c>
      <c r="N86" s="61">
        <v>75.249195733012286</v>
      </c>
      <c r="O86" s="61">
        <v>85.689781599593715</v>
      </c>
      <c r="P86" s="61">
        <v>102.53155978287235</v>
      </c>
      <c r="Q86" s="61">
        <v>97.262296231160306</v>
      </c>
      <c r="R86" s="61">
        <v>360.73283334663876</v>
      </c>
      <c r="S86" s="61">
        <v>96.592392094999028</v>
      </c>
      <c r="T86" s="61">
        <v>120.79387462018805</v>
      </c>
      <c r="U86" s="61">
        <v>95.527424297981227</v>
      </c>
      <c r="V86" s="61">
        <v>117.02754483549046</v>
      </c>
      <c r="W86" s="61">
        <v>429.94123584865878</v>
      </c>
      <c r="X86" s="61">
        <v>71.937695482297272</v>
      </c>
      <c r="Y86" s="61">
        <v>121.58062592</v>
      </c>
      <c r="Z86" s="61">
        <v>136.48821989163019</v>
      </c>
      <c r="AA86" s="61">
        <v>124.07142287340344</v>
      </c>
      <c r="AB86" s="61">
        <v>454.07796416733095</v>
      </c>
      <c r="AC86" s="61">
        <v>130.47737883289523</v>
      </c>
      <c r="AD86" s="61">
        <v>42.713190000000004</v>
      </c>
      <c r="AE86" s="61">
        <v>119.53218</v>
      </c>
      <c r="AF86" s="61">
        <v>134.92192427369335</v>
      </c>
      <c r="AG86" s="59">
        <f>SUM(AC86:AF86)</f>
        <v>427.64467310658858</v>
      </c>
      <c r="AH86" s="61">
        <v>156.07817409715179</v>
      </c>
    </row>
    <row r="87" spans="1:34" s="28" customFormat="1">
      <c r="A87" s="21"/>
      <c r="B87" s="28" t="s">
        <v>270</v>
      </c>
      <c r="C87" s="28" t="s">
        <v>665</v>
      </c>
      <c r="D87" s="65">
        <v>0.27674011865766335</v>
      </c>
      <c r="E87" s="65">
        <v>0.22672248655944915</v>
      </c>
      <c r="F87" s="65">
        <v>0.23863990555111994</v>
      </c>
      <c r="G87" s="65">
        <v>0.24094843534113092</v>
      </c>
      <c r="H87" s="65">
        <v>0.24596518171486742</v>
      </c>
      <c r="I87" s="65">
        <v>0.19417174758664663</v>
      </c>
      <c r="J87" s="65">
        <v>0.22351952812542425</v>
      </c>
      <c r="K87" s="65">
        <v>0.21381204679536053</v>
      </c>
      <c r="L87" s="65">
        <v>0.22800129238715747</v>
      </c>
      <c r="M87" s="65">
        <v>0.21546846506656808</v>
      </c>
      <c r="N87" s="65">
        <v>0.19479470808442217</v>
      </c>
      <c r="O87" s="65">
        <v>0.20310448352593913</v>
      </c>
      <c r="P87" s="65">
        <v>0.21411983337641732</v>
      </c>
      <c r="Q87" s="65">
        <v>0.21744309463706751</v>
      </c>
      <c r="R87" s="65">
        <v>0.20799909666530517</v>
      </c>
      <c r="S87" s="65">
        <v>0.22631769469306237</v>
      </c>
      <c r="T87" s="65">
        <v>0.26072496140770135</v>
      </c>
      <c r="U87" s="65">
        <v>0.16788651018977369</v>
      </c>
      <c r="V87" s="65">
        <v>0.21324261085184124</v>
      </c>
      <c r="W87" s="65">
        <v>0.21411416127921254</v>
      </c>
      <c r="X87" s="65">
        <v>0.1551384418423491</v>
      </c>
      <c r="Y87" s="65">
        <v>0.2932480123492523</v>
      </c>
      <c r="Z87" s="65">
        <v>0.26142160484893734</v>
      </c>
      <c r="AA87" s="65">
        <v>0.23031635951996179</v>
      </c>
      <c r="AB87" s="65">
        <v>0.23417517718522002</v>
      </c>
      <c r="AC87" s="65">
        <v>0.26644349363466457</v>
      </c>
      <c r="AD87" s="65">
        <f>AD86/AD$9</f>
        <v>7.893461406861052E-2</v>
      </c>
      <c r="AE87" s="65">
        <v>0.20487976195781468</v>
      </c>
      <c r="AF87" s="65">
        <f>AF86/AF$9</f>
        <v>0.23114943339676775</v>
      </c>
      <c r="AG87" s="65">
        <f>AG86/AG$9</f>
        <v>0.19456549307194429</v>
      </c>
      <c r="AH87" s="65">
        <f>AH86/AH$9</f>
        <v>0.269239562009922</v>
      </c>
    </row>
    <row r="88" spans="1:34" s="28" customFormat="1">
      <c r="A88" s="21"/>
      <c r="B88" s="57" t="s">
        <v>252</v>
      </c>
      <c r="C88" s="57" t="s">
        <v>648</v>
      </c>
      <c r="D88" s="61">
        <v>21.34317585901967</v>
      </c>
      <c r="E88" s="61">
        <v>19.752142824573777</v>
      </c>
      <c r="F88" s="61">
        <v>17.821994865301765</v>
      </c>
      <c r="G88" s="61">
        <v>14.976508562550414</v>
      </c>
      <c r="H88" s="61">
        <v>73.893822111445601</v>
      </c>
      <c r="I88" s="61">
        <v>7.2782453902015547</v>
      </c>
      <c r="J88" s="61">
        <v>16.611698923978505</v>
      </c>
      <c r="K88" s="61">
        <v>18.654633190950424</v>
      </c>
      <c r="L88" s="61">
        <v>16.826448373725594</v>
      </c>
      <c r="M88" s="61">
        <v>59.371025878856017</v>
      </c>
      <c r="N88" s="61">
        <v>9.7139056291118617</v>
      </c>
      <c r="O88" s="61">
        <v>12.92172514580426</v>
      </c>
      <c r="P88" s="61">
        <v>10.387156018808687</v>
      </c>
      <c r="Q88" s="61">
        <v>13.962186930947995</v>
      </c>
      <c r="R88" s="61">
        <v>46.984973724672919</v>
      </c>
      <c r="S88" s="61">
        <v>19.293545708651568</v>
      </c>
      <c r="T88" s="61">
        <v>22.431148464423693</v>
      </c>
      <c r="U88" s="61">
        <v>13.818600813000158</v>
      </c>
      <c r="V88" s="61">
        <v>10.059283672126782</v>
      </c>
      <c r="W88" s="61">
        <v>65.602578658202262</v>
      </c>
      <c r="X88" s="61">
        <v>8.7661951299135836</v>
      </c>
      <c r="Y88" s="61">
        <v>20.773584389524025</v>
      </c>
      <c r="Z88" s="61">
        <v>29.237545741720503</v>
      </c>
      <c r="AA88" s="61">
        <v>30.011606035818549</v>
      </c>
      <c r="AB88" s="61">
        <v>88.788931296976685</v>
      </c>
      <c r="AC88" s="61">
        <v>29.753657070851112</v>
      </c>
      <c r="AD88" s="61">
        <v>12.097980000000003</v>
      </c>
      <c r="AE88" s="61">
        <v>31.360859999999985</v>
      </c>
      <c r="AF88" s="61">
        <v>33.792492332043707</v>
      </c>
      <c r="AG88" s="59">
        <f>SUM(AC88:AF88)</f>
        <v>107.00498940289481</v>
      </c>
      <c r="AH88" s="61">
        <v>38.577830239460411</v>
      </c>
    </row>
    <row r="89" spans="1:34">
      <c r="B89" s="63" t="s">
        <v>253</v>
      </c>
      <c r="C89" s="63" t="s">
        <v>649</v>
      </c>
      <c r="D89" s="64">
        <v>0.17405446551475179</v>
      </c>
      <c r="E89" s="64">
        <v>0.19899577878565916</v>
      </c>
      <c r="F89" s="64">
        <v>0.17534993356036074</v>
      </c>
      <c r="G89" s="64">
        <v>0.14904889787566963</v>
      </c>
      <c r="H89" s="64">
        <v>0.17427792664874495</v>
      </c>
      <c r="I89" s="64">
        <v>0.10455661018636458</v>
      </c>
      <c r="J89" s="64">
        <v>0.18963710458365993</v>
      </c>
      <c r="K89" s="64">
        <v>0.21171514600111835</v>
      </c>
      <c r="L89" s="64">
        <v>0.17916920087719096</v>
      </c>
      <c r="M89" s="64">
        <v>0.17501519420379821</v>
      </c>
      <c r="N89" s="64">
        <v>0.12908982660196475</v>
      </c>
      <c r="O89" s="64">
        <v>0.15079656995957993</v>
      </c>
      <c r="P89" s="64">
        <v>0.10130691506893311</v>
      </c>
      <c r="Q89" s="64">
        <v>0.14355189494770404</v>
      </c>
      <c r="R89" s="64">
        <v>0.13024867542213348</v>
      </c>
      <c r="S89" s="64">
        <v>0.19974187707947313</v>
      </c>
      <c r="T89" s="64">
        <v>0.1856977312380608</v>
      </c>
      <c r="U89" s="64">
        <v>0.1446558505534016</v>
      </c>
      <c r="V89" s="64">
        <v>8.5956547121170943E-2</v>
      </c>
      <c r="W89" s="64">
        <v>0.15258498880366678</v>
      </c>
      <c r="X89" s="64">
        <v>0.12185815894075736</v>
      </c>
      <c r="Y89" s="64">
        <v>0.17086262085205117</v>
      </c>
      <c r="Z89" s="64">
        <v>0.21421296112539764</v>
      </c>
      <c r="AA89" s="64">
        <v>0.2418897546330307</v>
      </c>
      <c r="AB89" s="64">
        <v>0.1955367542659642</v>
      </c>
      <c r="AC89" s="64">
        <v>0.22803690062594809</v>
      </c>
      <c r="AD89" s="64">
        <f>IFERROR(AD88/AD86,"N/A")</f>
        <v>0.28323756666266325</v>
      </c>
      <c r="AE89" s="64">
        <v>0.2623633234163385</v>
      </c>
      <c r="AF89" s="64">
        <f>IFERROR(AF88/AF86,"N/A")</f>
        <v>0.25045960850287441</v>
      </c>
      <c r="AG89" s="64">
        <f>IFERROR(AG88/AG86,"N/A")</f>
        <v>0.25021939037745078</v>
      </c>
      <c r="AH89" s="64">
        <f>IFERROR(AH88/AH86,"N/A")</f>
        <v>0.24716992278143524</v>
      </c>
    </row>
    <row r="90" spans="1:34" s="28" customFormat="1">
      <c r="A90" s="21"/>
      <c r="B90" s="6" t="s">
        <v>271</v>
      </c>
      <c r="C90" s="6" t="s">
        <v>666</v>
      </c>
      <c r="D90" s="77">
        <v>0.30887374615079122</v>
      </c>
      <c r="E90" s="77">
        <v>0.27548316352264679</v>
      </c>
      <c r="F90" s="77">
        <v>0.23667987868926646</v>
      </c>
      <c r="G90" s="77">
        <v>0.23836336641409983</v>
      </c>
      <c r="H90" s="77">
        <v>0.26491832523865111</v>
      </c>
      <c r="I90" s="77">
        <v>0.14440963075796737</v>
      </c>
      <c r="J90" s="77">
        <v>0.27548422759500008</v>
      </c>
      <c r="K90" s="77">
        <v>0.2695756241466824</v>
      </c>
      <c r="L90" s="77">
        <v>0.25456048976891976</v>
      </c>
      <c r="M90" s="77">
        <v>0.24144378153255802</v>
      </c>
      <c r="N90" s="77">
        <v>0.13306720039879263</v>
      </c>
      <c r="O90" s="77">
        <v>0.16759695390148199</v>
      </c>
      <c r="P90" s="77">
        <v>0.128149919688237</v>
      </c>
      <c r="Q90" s="77">
        <v>0.18918952480959345</v>
      </c>
      <c r="R90" s="77">
        <v>0.15407196691941627</v>
      </c>
      <c r="S90" s="77">
        <v>0.28753421324368955</v>
      </c>
      <c r="T90" s="77">
        <v>0.35269101359156751</v>
      </c>
      <c r="U90" s="77">
        <v>0.14158402472336229</v>
      </c>
      <c r="V90" s="77">
        <v>0.124650355292773</v>
      </c>
      <c r="W90" s="77">
        <v>0.21230607980000732</v>
      </c>
      <c r="X90" s="77">
        <v>0.14561785930089008</v>
      </c>
      <c r="Y90" s="77">
        <v>1.1870619651156586</v>
      </c>
      <c r="Z90" s="77">
        <v>0.39245027841235575</v>
      </c>
      <c r="AA90" s="77">
        <v>0.59535167792333221</v>
      </c>
      <c r="AB90" s="77">
        <v>0.43851595108118241</v>
      </c>
      <c r="AC90" s="77">
        <v>0.48788016775703863</v>
      </c>
      <c r="AD90" s="77">
        <f>AD88/AD$10</f>
        <v>0.16482261580381474</v>
      </c>
      <c r="AE90" s="77">
        <v>0.31838436548223337</v>
      </c>
      <c r="AF90" s="77">
        <f>AF88/AF$10</f>
        <v>0.33259770876921663</v>
      </c>
      <c r="AG90" s="77">
        <f>AG88/AG$10</f>
        <v>0.3199074964212002</v>
      </c>
      <c r="AH90" s="77">
        <f>AH88/AH$10</f>
        <v>0.37474685638698629</v>
      </c>
    </row>
    <row r="91" spans="1:34" s="28" customFormat="1">
      <c r="A91" s="21"/>
      <c r="B91" s="57" t="s">
        <v>289</v>
      </c>
      <c r="C91" s="57" t="s">
        <v>289</v>
      </c>
      <c r="D91" s="61">
        <v>101.28037071819097</v>
      </c>
      <c r="E91" s="61">
        <v>79.50696179115306</v>
      </c>
      <c r="F91" s="61">
        <v>83.814740908920214</v>
      </c>
      <c r="G91" s="61">
        <v>85.503996667640507</v>
      </c>
      <c r="H91" s="61">
        <v>350.10607008590478</v>
      </c>
      <c r="I91" s="61">
        <v>62.33232611961126</v>
      </c>
      <c r="J91" s="61">
        <v>70.985604148375245</v>
      </c>
      <c r="K91" s="61">
        <v>69.457311293417661</v>
      </c>
      <c r="L91" s="61">
        <v>77.087283960544568</v>
      </c>
      <c r="M91" s="61">
        <v>279.86252552194878</v>
      </c>
      <c r="N91" s="61">
        <v>65.535290103900422</v>
      </c>
      <c r="O91" s="61">
        <v>72.768056453789455</v>
      </c>
      <c r="P91" s="61">
        <v>92.144403764063668</v>
      </c>
      <c r="Q91" s="61">
        <v>83.300109300212313</v>
      </c>
      <c r="R91" s="61">
        <v>313.74785962196586</v>
      </c>
      <c r="S91" s="61">
        <v>77.298846386347464</v>
      </c>
      <c r="T91" s="61">
        <v>98.362726155764349</v>
      </c>
      <c r="U91" s="61">
        <v>81.708823484981068</v>
      </c>
      <c r="V91" s="61">
        <v>106.96826116336368</v>
      </c>
      <c r="W91" s="61">
        <v>364.3386571904565</v>
      </c>
      <c r="X91" s="61">
        <v>63.171500352383696</v>
      </c>
      <c r="Y91" s="61">
        <v>100.80704153047598</v>
      </c>
      <c r="Z91" s="61">
        <v>107.2506741499097</v>
      </c>
      <c r="AA91" s="61">
        <v>94.05981683758489</v>
      </c>
      <c r="AB91" s="61">
        <v>365.28903287035422</v>
      </c>
      <c r="AC91" s="61">
        <v>100.72372176204411</v>
      </c>
      <c r="AD91" s="61">
        <v>30.615209999999998</v>
      </c>
      <c r="AE91" s="61">
        <v>88.171320000000009</v>
      </c>
      <c r="AF91" s="61">
        <v>101.12943194164964</v>
      </c>
      <c r="AG91" s="59">
        <f>SUM(AC91:AF91)</f>
        <v>320.63968370369378</v>
      </c>
      <c r="AH91" s="61">
        <v>117.50034385769138</v>
      </c>
    </row>
    <row r="92" spans="1:34">
      <c r="B92" s="6" t="s">
        <v>292</v>
      </c>
      <c r="C92" s="6" t="s">
        <v>679</v>
      </c>
      <c r="D92" s="65">
        <v>0.27075712591918261</v>
      </c>
      <c r="E92" s="65">
        <v>0.21718550745771828</v>
      </c>
      <c r="F92" s="65">
        <v>0.23906277468120071</v>
      </c>
      <c r="G92" s="65">
        <v>0.24142220397917558</v>
      </c>
      <c r="H92" s="65">
        <v>0.2423034925315431</v>
      </c>
      <c r="I92" s="65">
        <v>0.2022731023223516</v>
      </c>
      <c r="J92" s="65">
        <v>0.21402112483179417</v>
      </c>
      <c r="K92" s="65">
        <v>0.20256248208286656</v>
      </c>
      <c r="L92" s="65">
        <v>0.22293486227519368</v>
      </c>
      <c r="M92" s="65">
        <v>0.21065862147362135</v>
      </c>
      <c r="N92" s="65">
        <v>0.21254410452865813</v>
      </c>
      <c r="O92" s="65">
        <v>0.21456914050581752</v>
      </c>
      <c r="P92" s="65">
        <v>0.23516376055269039</v>
      </c>
      <c r="Q92" s="65">
        <v>0.2266050234961601</v>
      </c>
      <c r="R92" s="65">
        <v>0.22300582519449116</v>
      </c>
      <c r="S92" s="65">
        <v>0.21493121030753612</v>
      </c>
      <c r="T92" s="65">
        <v>0.24606937706561788</v>
      </c>
      <c r="U92" s="65">
        <v>0.1733324331153715</v>
      </c>
      <c r="V92" s="65">
        <v>0.22855240089490664</v>
      </c>
      <c r="W92" s="65">
        <v>0.21446762231345731</v>
      </c>
      <c r="X92" s="65">
        <v>0.15652157632830169</v>
      </c>
      <c r="Y92" s="65">
        <v>0.25389222313492299</v>
      </c>
      <c r="Z92" s="65">
        <v>0.23991434261583544</v>
      </c>
      <c r="AA92" s="65">
        <v>0.19259714433849962</v>
      </c>
      <c r="AB92" s="65">
        <v>0.21041315813498518</v>
      </c>
      <c r="AC92" s="65">
        <v>0.23499360081232651</v>
      </c>
      <c r="AD92" s="65">
        <f>AD91/AD14</f>
        <v>6.5456114795168746E-2</v>
      </c>
      <c r="AE92" s="65">
        <v>0.18182427834349985</v>
      </c>
      <c r="AF92" s="65">
        <f>AF91/AF14</f>
        <v>0.20976931832280804</v>
      </c>
      <c r="AG92" s="65">
        <f>AG91/AG14</f>
        <v>0.17206685669355787</v>
      </c>
      <c r="AH92" s="65">
        <f>AH91/AH14</f>
        <v>0.24645787660680005</v>
      </c>
    </row>
    <row r="94" spans="1:34" s="28" customFormat="1">
      <c r="A94" s="21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/>
      <c r="T94"/>
      <c r="U94"/>
      <c r="V94"/>
      <c r="W94"/>
      <c r="X94"/>
      <c r="Y94"/>
      <c r="Z94"/>
      <c r="AA94"/>
      <c r="AB94"/>
      <c r="AC94"/>
      <c r="AD94"/>
    </row>
    <row r="95" spans="1:34" s="28" customFormat="1">
      <c r="A95" s="21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/>
      <c r="T95"/>
      <c r="U95"/>
      <c r="V95"/>
      <c r="W95"/>
      <c r="X95"/>
      <c r="Y95"/>
      <c r="Z95"/>
      <c r="AA95"/>
      <c r="AB95"/>
      <c r="AC95"/>
      <c r="AD95"/>
    </row>
    <row r="96" spans="1:34" s="28" customFormat="1">
      <c r="A96" s="21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/>
      <c r="T96"/>
      <c r="U96"/>
      <c r="V96"/>
      <c r="W96"/>
      <c r="X96"/>
      <c r="Y96"/>
      <c r="Z96"/>
      <c r="AA96"/>
      <c r="AB96"/>
      <c r="AC96"/>
      <c r="AD96"/>
    </row>
    <row r="97" spans="1:30" s="28" customFormat="1">
      <c r="A97" s="21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/>
      <c r="T97"/>
      <c r="U97"/>
      <c r="V97"/>
      <c r="W97"/>
      <c r="X97"/>
      <c r="Y97"/>
      <c r="Z97"/>
      <c r="AA97"/>
      <c r="AB97"/>
      <c r="AC97"/>
      <c r="AD97"/>
    </row>
    <row r="98" spans="1:30" s="28" customFormat="1">
      <c r="A98" s="21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/>
      <c r="T98"/>
      <c r="U98"/>
      <c r="V98"/>
      <c r="W98"/>
      <c r="X98"/>
      <c r="Y98"/>
      <c r="Z98"/>
      <c r="AA98"/>
      <c r="AB98"/>
      <c r="AC98"/>
      <c r="AD98"/>
    </row>
    <row r="102" spans="1:30" s="28" customFormat="1">
      <c r="A102" s="21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s="28" customFormat="1">
      <c r="A103" s="21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s="28" customFormat="1">
      <c r="A104" s="21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s="28" customFormat="1">
      <c r="A105" s="2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s="28" customFormat="1">
      <c r="A106" s="21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/>
      <c r="T106"/>
      <c r="U106"/>
      <c r="V106"/>
      <c r="W106"/>
      <c r="X106"/>
      <c r="Y106"/>
      <c r="Z106"/>
      <c r="AA106"/>
      <c r="AB106"/>
      <c r="AC106"/>
      <c r="AD106"/>
    </row>
  </sheetData>
  <pageMargins left="0" right="0" top="0" bottom="0" header="0" footer="0"/>
  <pageSetup paperSize="9" scale="38" orientation="landscape" r:id="rId1"/>
  <headerFooter>
    <oddFooter>&amp;L_x000D_&amp;1#&amp;"Calibri"&amp;10&amp;K000000 Classificação da Informação: Documento Restrito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6">
    <pageSetUpPr fitToPage="1"/>
  </sheetPr>
  <dimension ref="A1:AL97"/>
  <sheetViews>
    <sheetView showGridLines="0" tabSelected="1" zoomScale="80" zoomScaleNormal="80" workbookViewId="0">
      <pane xSplit="3" ySplit="7" topLeftCell="Y37" activePane="bottomRight" state="frozen"/>
      <selection activeCell="D47" sqref="D47"/>
      <selection pane="topRight" activeCell="D47" sqref="D47"/>
      <selection pane="bottomLeft" activeCell="D47" sqref="D47"/>
      <selection pane="bottomRight" activeCell="AE41" sqref="AE41"/>
    </sheetView>
  </sheetViews>
  <sheetFormatPr defaultRowHeight="14.5" outlineLevelCol="1"/>
  <cols>
    <col min="1" max="1" width="1.54296875" style="1" customWidth="1"/>
    <col min="2" max="3" width="47.453125" style="28" bestFit="1" customWidth="1"/>
    <col min="4" max="7" width="9.7265625" hidden="1" customWidth="1" outlineLevel="1"/>
    <col min="8" max="8" width="9.7265625" bestFit="1" customWidth="1" collapsed="1"/>
    <col min="9" max="10" width="9.7265625" hidden="1" customWidth="1" outlineLevel="1"/>
    <col min="11" max="11" width="9.54296875" hidden="1" customWidth="1" outlineLevel="1"/>
    <col min="12" max="12" width="9.1796875" hidden="1" customWidth="1" outlineLevel="1"/>
    <col min="13" max="13" width="11.7265625" bestFit="1" customWidth="1" collapsed="1"/>
    <col min="14" max="15" width="11.7265625" customWidth="1"/>
    <col min="16" max="17" width="9.7265625" bestFit="1" customWidth="1"/>
    <col min="18" max="18" width="13.54296875" bestFit="1" customWidth="1"/>
    <col min="19" max="19" width="12.1796875" bestFit="1" customWidth="1"/>
    <col min="20" max="20" width="9.7265625" bestFit="1" customWidth="1"/>
    <col min="21" max="21" width="9.7265625" customWidth="1"/>
    <col min="22" max="23" width="10" bestFit="1" customWidth="1"/>
    <col min="24" max="28" width="12.1796875" bestFit="1" customWidth="1"/>
    <col min="29" max="29" width="12.453125" bestFit="1" customWidth="1"/>
    <col min="33" max="33" width="12.81640625" bestFit="1" customWidth="1"/>
  </cols>
  <sheetData>
    <row r="1" spans="1:31" s="21" customFormat="1" ht="8.25" customHeight="1">
      <c r="B1" s="9"/>
      <c r="C1" s="9"/>
    </row>
    <row r="2" spans="1:31">
      <c r="A2" s="21"/>
    </row>
    <row r="3" spans="1:31">
      <c r="A3" s="21"/>
    </row>
    <row r="4" spans="1:31">
      <c r="A4" s="21"/>
    </row>
    <row r="5" spans="1:31">
      <c r="A5" s="21"/>
    </row>
    <row r="6" spans="1:31" ht="16.5">
      <c r="A6" s="21"/>
      <c r="D6" s="24" t="s">
        <v>727</v>
      </c>
      <c r="E6" s="24" t="s">
        <v>728</v>
      </c>
      <c r="F6" s="24" t="s">
        <v>729</v>
      </c>
      <c r="G6" s="24" t="s">
        <v>730</v>
      </c>
      <c r="H6" s="24" t="s">
        <v>124</v>
      </c>
      <c r="I6" s="24" t="s">
        <v>731</v>
      </c>
      <c r="J6" s="24" t="s">
        <v>732</v>
      </c>
      <c r="K6" s="24" t="s">
        <v>733</v>
      </c>
      <c r="L6" s="24" t="s">
        <v>734</v>
      </c>
      <c r="M6" s="56" t="s">
        <v>286</v>
      </c>
      <c r="N6" s="24" t="s">
        <v>735</v>
      </c>
      <c r="O6" s="24" t="s">
        <v>736</v>
      </c>
      <c r="P6" s="24" t="s">
        <v>737</v>
      </c>
      <c r="Q6" s="24" t="s">
        <v>738</v>
      </c>
      <c r="R6" s="56" t="s">
        <v>309</v>
      </c>
      <c r="S6" s="24" t="s">
        <v>740</v>
      </c>
      <c r="T6" s="24" t="s">
        <v>741</v>
      </c>
      <c r="U6" s="24" t="s">
        <v>742</v>
      </c>
      <c r="V6" s="24" t="s">
        <v>743</v>
      </c>
      <c r="W6" s="24" t="s">
        <v>744</v>
      </c>
      <c r="X6" s="24" t="s">
        <v>745</v>
      </c>
      <c r="Y6" s="24" t="s">
        <v>746</v>
      </c>
      <c r="Z6" s="24" t="s">
        <v>747</v>
      </c>
      <c r="AA6" s="24" t="s">
        <v>748</v>
      </c>
      <c r="AB6" s="24" t="s">
        <v>749</v>
      </c>
      <c r="AC6" s="24" t="s">
        <v>750</v>
      </c>
      <c r="AD6" s="24" t="s">
        <v>751</v>
      </c>
      <c r="AE6" s="24" t="s">
        <v>777</v>
      </c>
    </row>
    <row r="7" spans="1:31" ht="18" customHeight="1">
      <c r="A7" s="21"/>
      <c r="B7" s="55" t="s">
        <v>282</v>
      </c>
      <c r="C7" s="55" t="s">
        <v>647</v>
      </c>
      <c r="D7" s="56" t="s">
        <v>245</v>
      </c>
      <c r="E7" s="56" t="s">
        <v>246</v>
      </c>
      <c r="F7" s="56" t="s">
        <v>247</v>
      </c>
      <c r="G7" s="56" t="s">
        <v>248</v>
      </c>
      <c r="H7" s="56" t="s">
        <v>249</v>
      </c>
      <c r="I7" s="56" t="s">
        <v>250</v>
      </c>
      <c r="J7" s="56" t="s">
        <v>283</v>
      </c>
      <c r="K7" s="56" t="s">
        <v>284</v>
      </c>
      <c r="L7" s="56" t="s">
        <v>285</v>
      </c>
      <c r="M7" s="56" t="s">
        <v>286</v>
      </c>
      <c r="N7" s="56" t="s">
        <v>287</v>
      </c>
      <c r="O7" s="56" t="s">
        <v>298</v>
      </c>
      <c r="P7" s="56" t="s">
        <v>304</v>
      </c>
      <c r="Q7" s="56" t="s">
        <v>307</v>
      </c>
      <c r="R7" s="56" t="s">
        <v>309</v>
      </c>
      <c r="S7" s="56" t="s">
        <v>312</v>
      </c>
      <c r="T7" s="56" t="s">
        <v>316</v>
      </c>
      <c r="U7" s="56" t="s">
        <v>319</v>
      </c>
      <c r="V7" s="56" t="s">
        <v>322</v>
      </c>
      <c r="W7" s="56" t="s">
        <v>366</v>
      </c>
      <c r="X7" s="56" t="s">
        <v>367</v>
      </c>
      <c r="Y7" s="56" t="s">
        <v>368</v>
      </c>
      <c r="Z7" s="56" t="s">
        <v>369</v>
      </c>
      <c r="AA7" s="56" t="s">
        <v>370</v>
      </c>
      <c r="AB7" s="56" t="s">
        <v>371</v>
      </c>
      <c r="AC7" s="56" t="s">
        <v>376</v>
      </c>
      <c r="AD7" s="56" t="s">
        <v>391</v>
      </c>
      <c r="AE7" s="56" t="s">
        <v>783</v>
      </c>
    </row>
    <row r="8" spans="1:31">
      <c r="A8" s="21"/>
      <c r="D8" s="85"/>
      <c r="E8" s="85"/>
      <c r="F8" s="85"/>
      <c r="G8" s="85"/>
      <c r="H8" s="86"/>
    </row>
    <row r="9" spans="1:31">
      <c r="B9" s="57" t="s">
        <v>251</v>
      </c>
      <c r="C9" s="57" t="s">
        <v>469</v>
      </c>
      <c r="D9" s="61">
        <v>463.7</v>
      </c>
      <c r="E9" s="61">
        <v>414.6</v>
      </c>
      <c r="F9" s="61">
        <v>522.1</v>
      </c>
      <c r="G9" s="61">
        <v>538.70000000000005</v>
      </c>
      <c r="H9" s="61">
        <v>1939.0525060142459</v>
      </c>
      <c r="I9" s="61">
        <v>489.7</v>
      </c>
      <c r="J9" s="61">
        <v>541.12116090000006</v>
      </c>
      <c r="K9" s="61">
        <v>583.42600000000004</v>
      </c>
      <c r="L9" s="61">
        <v>583.70000000000005</v>
      </c>
      <c r="M9" s="61">
        <v>2197.9471609000002</v>
      </c>
      <c r="N9" s="61">
        <v>579.70000000000005</v>
      </c>
      <c r="O9" s="61">
        <v>601.59900000000005</v>
      </c>
      <c r="P9" s="61">
        <f>DRE!BM9/1000</f>
        <v>667.22799999999995</v>
      </c>
      <c r="Q9" s="61">
        <f>DRE!BN9/1000</f>
        <v>588.47299999999996</v>
      </c>
      <c r="R9" s="59">
        <f>SUM(N9:Q9)</f>
        <v>2437</v>
      </c>
      <c r="S9" s="61">
        <f>'DRE Op Continuada'!N9/1000</f>
        <v>529.279</v>
      </c>
      <c r="T9" s="61">
        <f>'DRE Op Continuada'!O9/1000</f>
        <v>534.35599999999999</v>
      </c>
      <c r="U9" s="61">
        <f>'DRE Op Continuada'!P9/1000</f>
        <v>558.40899999999999</v>
      </c>
      <c r="V9" s="61">
        <f>'DRE Op Continuada'!Q9/1000</f>
        <v>633.46600000000001</v>
      </c>
      <c r="W9" s="61">
        <f>'DRE Op Continuada'!S9/1000</f>
        <v>484.31900000000002</v>
      </c>
      <c r="X9" s="61">
        <f>'DRE Op Continuada'!T9/1000</f>
        <v>518.15300000000002</v>
      </c>
      <c r="Y9" s="61">
        <f>'DRE Op Continuada'!U9/1000</f>
        <v>579.69899999999996</v>
      </c>
      <c r="Z9" s="61">
        <f>'DRE Op Continuada'!V9/1000</f>
        <v>589.173</v>
      </c>
      <c r="AA9" s="61">
        <f>'DRE Op Continuada'!X9/1000</f>
        <v>500.67247496291111</v>
      </c>
      <c r="AB9" s="61">
        <f>'DRE Op Continuada'!Y9/1000</f>
        <v>490.09862308875404</v>
      </c>
      <c r="AC9" s="196">
        <f>'DRE Op Continuada'!Z9/1000</f>
        <v>540.39970467843671</v>
      </c>
      <c r="AD9" s="196">
        <f>'DRE Op Continuada'!AA9/1000</f>
        <v>531.39232894265763</v>
      </c>
      <c r="AE9" s="196">
        <f>'DRE Op Continuada'!AB9/1000</f>
        <v>446.97979000000004</v>
      </c>
    </row>
    <row r="10" spans="1:31">
      <c r="A10" s="21"/>
      <c r="B10" s="57" t="s">
        <v>264</v>
      </c>
      <c r="C10" s="57" t="s">
        <v>264</v>
      </c>
      <c r="D10" s="61">
        <v>60.2</v>
      </c>
      <c r="E10" s="61">
        <v>17.5</v>
      </c>
      <c r="F10" s="61">
        <v>74.5</v>
      </c>
      <c r="G10" s="61">
        <v>50.409878981954193</v>
      </c>
      <c r="H10" s="61">
        <v>202.4759443255445</v>
      </c>
      <c r="I10" s="61">
        <v>60.985584242211402</v>
      </c>
      <c r="J10" s="61">
        <v>73.400000000000006</v>
      </c>
      <c r="K10" s="61">
        <v>98.5</v>
      </c>
      <c r="L10" s="61">
        <v>101.60169911300167</v>
      </c>
      <c r="M10" s="61">
        <v>334.48728335521309</v>
      </c>
      <c r="N10" s="61">
        <v>102.94370608308081</v>
      </c>
      <c r="O10" s="61">
        <v>137.94526956663356</v>
      </c>
      <c r="P10" s="61">
        <v>134.53068443323275</v>
      </c>
      <c r="Q10" s="61">
        <v>138.46055989807169</v>
      </c>
      <c r="R10" s="61">
        <f>SUM(N10:Q10)</f>
        <v>513.88021998101885</v>
      </c>
      <c r="S10" s="61">
        <v>149.18348548050574</v>
      </c>
      <c r="T10" s="61">
        <v>134.88624845447504</v>
      </c>
      <c r="U10" s="116">
        <v>126.52705979772117</v>
      </c>
      <c r="V10" s="116">
        <v>147.08969656304049</v>
      </c>
      <c r="W10" s="116">
        <v>116.33900000000001</v>
      </c>
      <c r="X10" s="116">
        <v>129.24057471255219</v>
      </c>
      <c r="Y10" s="116">
        <v>132.21391517158668</v>
      </c>
      <c r="Z10" s="116">
        <v>109.50941427022393</v>
      </c>
      <c r="AA10" s="116">
        <v>104.32180754826119</v>
      </c>
      <c r="AB10" s="116">
        <v>91.739589999999964</v>
      </c>
      <c r="AC10" s="197">
        <v>115.239</v>
      </c>
      <c r="AD10" s="197">
        <v>120.776</v>
      </c>
      <c r="AE10" s="197">
        <v>114.33799999999999</v>
      </c>
    </row>
    <row r="11" spans="1:31">
      <c r="A11" s="21"/>
      <c r="B11" s="63" t="s">
        <v>253</v>
      </c>
      <c r="C11" s="63" t="s">
        <v>649</v>
      </c>
      <c r="D11" s="67">
        <f t="shared" ref="D11:AA11" si="0">D10/D9</f>
        <v>0.12982531809359502</v>
      </c>
      <c r="E11" s="67">
        <f t="shared" si="0"/>
        <v>4.2209358417752051E-2</v>
      </c>
      <c r="F11" s="67">
        <f t="shared" si="0"/>
        <v>0.14269297069526909</v>
      </c>
      <c r="G11" s="67">
        <f t="shared" si="0"/>
        <v>9.3576905479773875E-2</v>
      </c>
      <c r="H11" s="67">
        <f t="shared" si="0"/>
        <v>0.10442004210692422</v>
      </c>
      <c r="I11" s="67">
        <f t="shared" si="0"/>
        <v>0.12453662291650276</v>
      </c>
      <c r="J11" s="67">
        <f t="shared" si="0"/>
        <v>0.13564429799403913</v>
      </c>
      <c r="K11" s="67">
        <f t="shared" si="0"/>
        <v>0.16883032295441067</v>
      </c>
      <c r="L11" s="67">
        <f t="shared" si="0"/>
        <v>0.17406492909542859</v>
      </c>
      <c r="M11" s="67">
        <f t="shared" si="0"/>
        <v>0.15218167629573476</v>
      </c>
      <c r="N11" s="67">
        <f t="shared" si="0"/>
        <v>0.17758100066082594</v>
      </c>
      <c r="O11" s="67">
        <f t="shared" si="0"/>
        <v>0.22929770422928486</v>
      </c>
      <c r="P11" s="67">
        <f t="shared" si="0"/>
        <v>0.20162625734116787</v>
      </c>
      <c r="Q11" s="67">
        <f t="shared" si="0"/>
        <v>0.23528787199764764</v>
      </c>
      <c r="R11" s="67">
        <f t="shared" si="0"/>
        <v>0.21086590889660192</v>
      </c>
      <c r="S11" s="67">
        <f t="shared" si="0"/>
        <v>0.28186171278381672</v>
      </c>
      <c r="T11" s="67">
        <f t="shared" si="0"/>
        <v>0.25242768576468694</v>
      </c>
      <c r="U11" s="67">
        <f t="shared" si="0"/>
        <v>0.22658492215870654</v>
      </c>
      <c r="V11" s="67">
        <f t="shared" si="0"/>
        <v>0.23219824988719281</v>
      </c>
      <c r="W11" s="67">
        <f t="shared" si="0"/>
        <v>0.24021151348594627</v>
      </c>
      <c r="X11" s="67">
        <f t="shared" si="0"/>
        <v>0.24942550696908478</v>
      </c>
      <c r="Y11" s="67">
        <f t="shared" si="0"/>
        <v>0.22807338838187868</v>
      </c>
      <c r="Z11" s="67">
        <f t="shared" si="0"/>
        <v>0.18586970935569677</v>
      </c>
      <c r="AA11" s="67">
        <f t="shared" si="0"/>
        <v>0.20836337678836681</v>
      </c>
      <c r="AB11" s="67">
        <f>AB10/AB9</f>
        <v>0.18718597783815127</v>
      </c>
      <c r="AC11" s="198">
        <f>AC10/AC9</f>
        <v>0.21324771091163464</v>
      </c>
      <c r="AD11" s="198">
        <f>AD10/AD9</f>
        <v>0.2272821669072925</v>
      </c>
      <c r="AE11" s="198">
        <f>AE10/AE9</f>
        <v>0.25580127459454038</v>
      </c>
    </row>
    <row r="12" spans="1:31">
      <c r="A12" s="21"/>
      <c r="B12" s="57" t="s">
        <v>288</v>
      </c>
      <c r="C12" s="57" t="s">
        <v>676</v>
      </c>
      <c r="D12" s="61">
        <v>2.1</v>
      </c>
      <c r="E12" s="61">
        <v>-148.1</v>
      </c>
      <c r="F12" s="61">
        <v>-2.4</v>
      </c>
      <c r="G12" s="61">
        <v>-54</v>
      </c>
      <c r="H12" s="61">
        <v>-202.39999999999998</v>
      </c>
      <c r="I12" s="61">
        <v>-5</v>
      </c>
      <c r="J12" s="61">
        <v>-17.600000000000001</v>
      </c>
      <c r="K12" s="61">
        <v>52.258000000000003</v>
      </c>
      <c r="L12" s="61">
        <v>30</v>
      </c>
      <c r="M12" s="61">
        <v>59.658000000000001</v>
      </c>
      <c r="N12" s="61">
        <v>-18.100000000000001</v>
      </c>
      <c r="O12" s="61">
        <v>-4.3019999999999996</v>
      </c>
      <c r="P12" s="61">
        <f>DRE!$BM$42/1000</f>
        <v>22.077999999999999</v>
      </c>
      <c r="Q12" s="61">
        <f>DRE!BN$42/1000</f>
        <v>24.786000000000001</v>
      </c>
      <c r="R12" s="61">
        <f>SUM(N12:Q12)</f>
        <v>24.462</v>
      </c>
      <c r="S12" s="61">
        <v>59.457000000000001</v>
      </c>
      <c r="T12" s="61">
        <v>57.521000000000001</v>
      </c>
      <c r="U12" s="116">
        <v>60.712000000000003</v>
      </c>
      <c r="V12" s="116">
        <v>35.595999999999997</v>
      </c>
      <c r="W12" s="116">
        <v>147.80000000000001</v>
      </c>
      <c r="X12" s="116">
        <v>79.599999999999994</v>
      </c>
      <c r="Y12" s="116">
        <v>91.438409999999919</v>
      </c>
      <c r="Z12" s="116">
        <v>61.95241000000015</v>
      </c>
      <c r="AA12" s="116">
        <v>73.400000000000006</v>
      </c>
      <c r="AB12" s="116">
        <v>54.1</v>
      </c>
      <c r="AC12" s="196">
        <v>48.968000000000004</v>
      </c>
      <c r="AD12" s="196">
        <v>84.825000000000003</v>
      </c>
      <c r="AE12" s="196">
        <v>55.915999999999997</v>
      </c>
    </row>
    <row r="13" spans="1:31">
      <c r="A13" s="21"/>
      <c r="B13" s="63" t="s">
        <v>253</v>
      </c>
      <c r="C13" s="63" t="s">
        <v>649</v>
      </c>
      <c r="D13" s="67">
        <f t="shared" ref="D13:AA13" si="1">D12/D9</f>
        <v>4.5287901660556401E-3</v>
      </c>
      <c r="E13" s="67">
        <f t="shared" si="1"/>
        <v>-0.3572117703810902</v>
      </c>
      <c r="F13" s="67">
        <f t="shared" si="1"/>
        <v>-4.5968205324650449E-3</v>
      </c>
      <c r="G13" s="67">
        <f t="shared" si="1"/>
        <v>-0.10024132170038982</v>
      </c>
      <c r="H13" s="67">
        <f t="shared" si="1"/>
        <v>-0.10438087641888383</v>
      </c>
      <c r="I13" s="67">
        <f t="shared" si="1"/>
        <v>-1.0210332856851134E-2</v>
      </c>
      <c r="J13" s="67">
        <f t="shared" si="1"/>
        <v>-3.2525063279224643E-2</v>
      </c>
      <c r="K13" s="67">
        <f t="shared" si="1"/>
        <v>8.9570913877681138E-2</v>
      </c>
      <c r="L13" s="67">
        <f t="shared" si="1"/>
        <v>5.1396265204728453E-2</v>
      </c>
      <c r="M13" s="67">
        <f t="shared" si="1"/>
        <v>2.7142599722721112E-2</v>
      </c>
      <c r="N13" s="67">
        <f t="shared" si="1"/>
        <v>-3.1223046403312058E-2</v>
      </c>
      <c r="O13" s="67">
        <f t="shared" si="1"/>
        <v>-7.1509427376042836E-3</v>
      </c>
      <c r="P13" s="67">
        <f t="shared" si="1"/>
        <v>3.3089138945008305E-2</v>
      </c>
      <c r="Q13" s="67">
        <f t="shared" si="1"/>
        <v>4.2119179639507683E-2</v>
      </c>
      <c r="R13" s="67">
        <f t="shared" si="1"/>
        <v>1.0037751333606893E-2</v>
      </c>
      <c r="S13" s="67">
        <f t="shared" si="1"/>
        <v>0.11233583799848473</v>
      </c>
      <c r="T13" s="67">
        <f t="shared" si="1"/>
        <v>0.10764546482120534</v>
      </c>
      <c r="U13" s="67">
        <f t="shared" si="1"/>
        <v>0.10872317602330908</v>
      </c>
      <c r="V13" s="67">
        <f t="shared" si="1"/>
        <v>5.619243968894936E-2</v>
      </c>
      <c r="W13" s="67">
        <f t="shared" si="1"/>
        <v>0.30517076554915251</v>
      </c>
      <c r="X13" s="67">
        <f t="shared" si="1"/>
        <v>0.15362257865919909</v>
      </c>
      <c r="Y13" s="67">
        <f t="shared" si="1"/>
        <v>0.15773428969171921</v>
      </c>
      <c r="Z13" s="67">
        <f t="shared" si="1"/>
        <v>0.10515147503364912</v>
      </c>
      <c r="AA13" s="67">
        <f t="shared" si="1"/>
        <v>0.14660282653932064</v>
      </c>
      <c r="AB13" s="67">
        <f>AB12/AB9</f>
        <v>0.11038594570832493</v>
      </c>
      <c r="AC13" s="198">
        <f>AC12/AC9</f>
        <v>9.0614409253125458E-2</v>
      </c>
      <c r="AD13" s="198">
        <f>AD12/AD9</f>
        <v>0.15962782181816826</v>
      </c>
      <c r="AE13" s="198">
        <f>AE12/AE9</f>
        <v>0.12509737856380485</v>
      </c>
    </row>
    <row r="14" spans="1:31">
      <c r="A14" s="21"/>
      <c r="B14" s="57" t="s">
        <v>289</v>
      </c>
      <c r="C14" s="57" t="s">
        <v>289</v>
      </c>
      <c r="D14" s="61">
        <f t="shared" ref="D14:AA14" si="2">D9-D10</f>
        <v>403.5</v>
      </c>
      <c r="E14" s="61">
        <f t="shared" si="2"/>
        <v>397.1</v>
      </c>
      <c r="F14" s="61">
        <f t="shared" si="2"/>
        <v>447.6</v>
      </c>
      <c r="G14" s="61">
        <f t="shared" si="2"/>
        <v>488.29012101804585</v>
      </c>
      <c r="H14" s="61">
        <f t="shared" si="2"/>
        <v>1736.5765616887013</v>
      </c>
      <c r="I14" s="61">
        <f t="shared" si="2"/>
        <v>428.71441575778857</v>
      </c>
      <c r="J14" s="61">
        <f t="shared" si="2"/>
        <v>467.72116090000009</v>
      </c>
      <c r="K14" s="61">
        <f t="shared" si="2"/>
        <v>484.92600000000004</v>
      </c>
      <c r="L14" s="61">
        <f t="shared" si="2"/>
        <v>482.09830088699835</v>
      </c>
      <c r="M14" s="61">
        <f t="shared" si="2"/>
        <v>1863.4598775447871</v>
      </c>
      <c r="N14" s="61">
        <f t="shared" si="2"/>
        <v>476.75629391691922</v>
      </c>
      <c r="O14" s="61">
        <f t="shared" si="2"/>
        <v>463.65373043336649</v>
      </c>
      <c r="P14" s="61">
        <f t="shared" si="2"/>
        <v>532.6973155667672</v>
      </c>
      <c r="Q14" s="61">
        <f t="shared" si="2"/>
        <v>450.01244010192829</v>
      </c>
      <c r="R14" s="61">
        <f t="shared" si="2"/>
        <v>1923.1197800189811</v>
      </c>
      <c r="S14" s="61">
        <f t="shared" si="2"/>
        <v>380.09551451949426</v>
      </c>
      <c r="T14" s="61">
        <f t="shared" si="2"/>
        <v>399.46975154552496</v>
      </c>
      <c r="U14" s="61">
        <f t="shared" si="2"/>
        <v>431.88194020227883</v>
      </c>
      <c r="V14" s="61">
        <f t="shared" si="2"/>
        <v>486.37630343695952</v>
      </c>
      <c r="W14" s="61">
        <f t="shared" si="2"/>
        <v>367.98</v>
      </c>
      <c r="X14" s="61">
        <f t="shared" si="2"/>
        <v>388.91242528744783</v>
      </c>
      <c r="Y14" s="61">
        <f t="shared" si="2"/>
        <v>447.48508482841328</v>
      </c>
      <c r="Z14" s="61">
        <f t="shared" si="2"/>
        <v>479.66358572977606</v>
      </c>
      <c r="AA14" s="61">
        <f t="shared" si="2"/>
        <v>396.35066741464993</v>
      </c>
      <c r="AB14" s="61">
        <f>AB9-AB10</f>
        <v>398.35903308875407</v>
      </c>
      <c r="AC14" s="196">
        <f>AC9-AC10</f>
        <v>425.16070467843667</v>
      </c>
      <c r="AD14" s="196">
        <f>AD9-AD10</f>
        <v>410.61632894265762</v>
      </c>
      <c r="AE14" s="196">
        <f>AE9-AE10</f>
        <v>332.64179000000001</v>
      </c>
    </row>
    <row r="15" spans="1:31">
      <c r="A15" s="21"/>
      <c r="AC15" s="25"/>
      <c r="AD15" s="25"/>
      <c r="AE15" s="25"/>
    </row>
    <row r="16" spans="1:31">
      <c r="A16" s="21"/>
      <c r="B16" s="57" t="s">
        <v>255</v>
      </c>
      <c r="C16" s="57" t="s">
        <v>651</v>
      </c>
      <c r="AC16" s="25"/>
      <c r="AD16" s="25"/>
      <c r="AE16" s="25"/>
    </row>
    <row r="17" spans="1:31">
      <c r="A17" s="21"/>
      <c r="B17" s="57" t="s">
        <v>256</v>
      </c>
      <c r="C17" s="57" t="s">
        <v>652</v>
      </c>
      <c r="D17" s="61">
        <f t="shared" ref="D17:AB17" si="3">D12</f>
        <v>2.1</v>
      </c>
      <c r="E17" s="61">
        <f t="shared" si="3"/>
        <v>-148.1</v>
      </c>
      <c r="F17" s="61">
        <f t="shared" si="3"/>
        <v>-2.4</v>
      </c>
      <c r="G17" s="61">
        <f t="shared" si="3"/>
        <v>-54</v>
      </c>
      <c r="H17" s="61">
        <f t="shared" si="3"/>
        <v>-202.39999999999998</v>
      </c>
      <c r="I17" s="61">
        <f t="shared" si="3"/>
        <v>-5</v>
      </c>
      <c r="J17" s="61">
        <f t="shared" si="3"/>
        <v>-17.600000000000001</v>
      </c>
      <c r="K17" s="61">
        <f t="shared" si="3"/>
        <v>52.258000000000003</v>
      </c>
      <c r="L17" s="61">
        <f t="shared" si="3"/>
        <v>30</v>
      </c>
      <c r="M17" s="61">
        <f t="shared" si="3"/>
        <v>59.658000000000001</v>
      </c>
      <c r="N17" s="61">
        <f t="shared" si="3"/>
        <v>-18.100000000000001</v>
      </c>
      <c r="O17" s="61">
        <f t="shared" si="3"/>
        <v>-4.3019999999999996</v>
      </c>
      <c r="P17" s="61">
        <f t="shared" si="3"/>
        <v>22.077999999999999</v>
      </c>
      <c r="Q17" s="61">
        <f t="shared" si="3"/>
        <v>24.786000000000001</v>
      </c>
      <c r="R17" s="61">
        <f t="shared" si="3"/>
        <v>24.462</v>
      </c>
      <c r="S17" s="61">
        <f t="shared" si="3"/>
        <v>59.457000000000001</v>
      </c>
      <c r="T17" s="61">
        <f t="shared" si="3"/>
        <v>57.521000000000001</v>
      </c>
      <c r="U17" s="61">
        <f t="shared" si="3"/>
        <v>60.712000000000003</v>
      </c>
      <c r="V17" s="61">
        <f t="shared" si="3"/>
        <v>35.595999999999997</v>
      </c>
      <c r="W17" s="61">
        <f t="shared" si="3"/>
        <v>147.80000000000001</v>
      </c>
      <c r="X17" s="61">
        <f t="shared" si="3"/>
        <v>79.599999999999994</v>
      </c>
      <c r="Y17" s="61">
        <f t="shared" si="3"/>
        <v>91.438409999999919</v>
      </c>
      <c r="Z17" s="61">
        <f t="shared" si="3"/>
        <v>61.95241000000015</v>
      </c>
      <c r="AA17" s="61">
        <f t="shared" si="3"/>
        <v>73.400000000000006</v>
      </c>
      <c r="AB17" s="61">
        <f t="shared" si="3"/>
        <v>54.1</v>
      </c>
      <c r="AC17" s="196">
        <f>AC12</f>
        <v>48.968000000000004</v>
      </c>
      <c r="AD17" s="196">
        <f>AD12</f>
        <v>84.825000000000003</v>
      </c>
      <c r="AE17" s="196">
        <f>AE12</f>
        <v>55.915999999999997</v>
      </c>
    </row>
    <row r="18" spans="1:31">
      <c r="A18" s="21"/>
      <c r="B18" s="28" t="s">
        <v>257</v>
      </c>
      <c r="C18" s="28" t="s">
        <v>653</v>
      </c>
      <c r="D18" s="68">
        <v>-1.1000000000000001</v>
      </c>
      <c r="E18" s="68">
        <v>0</v>
      </c>
      <c r="F18" s="68">
        <v>2</v>
      </c>
      <c r="G18" s="68">
        <v>-0.1</v>
      </c>
      <c r="H18" s="68">
        <v>0.79999999999999993</v>
      </c>
      <c r="I18" s="68">
        <v>2.2000000000000002</v>
      </c>
      <c r="J18" s="68">
        <v>-0.7</v>
      </c>
      <c r="K18" s="68">
        <v>0.46164000000013039</v>
      </c>
      <c r="L18" s="68">
        <v>-3.9</v>
      </c>
      <c r="M18" s="68">
        <v>-1.9383599999998693</v>
      </c>
      <c r="N18" s="68">
        <v>1.609</v>
      </c>
      <c r="O18" s="68">
        <v>3.7999999999999999E-2</v>
      </c>
      <c r="P18" s="68">
        <f>DRE!$BM$43/1000</f>
        <v>-0.67535999999986962</v>
      </c>
      <c r="Q18" s="68">
        <v>-9.9459999999999997</v>
      </c>
      <c r="R18" s="68">
        <f>SUM(N18:Q18)</f>
        <v>-8.9743599999998693</v>
      </c>
      <c r="S18" s="68">
        <v>0.2</v>
      </c>
      <c r="T18" s="68">
        <v>-2.2999999999999998</v>
      </c>
      <c r="U18" s="68">
        <v>0.3</v>
      </c>
      <c r="V18" s="68">
        <v>-0.8</v>
      </c>
      <c r="W18" s="68">
        <v>-1.2</v>
      </c>
      <c r="X18" s="68">
        <v>0</v>
      </c>
      <c r="Y18" s="68">
        <v>1.1000000000000001</v>
      </c>
      <c r="Z18" s="68">
        <v>-1.1000000000000001</v>
      </c>
      <c r="AA18" s="68">
        <v>0.2</v>
      </c>
      <c r="AB18" s="68">
        <v>0.82558999999996741</v>
      </c>
      <c r="AC18" s="199">
        <v>2.8370000000000002</v>
      </c>
      <c r="AD18" s="199">
        <v>3.617</v>
      </c>
      <c r="AE18" s="199">
        <v>-0.23699999999999999</v>
      </c>
    </row>
    <row r="19" spans="1:31">
      <c r="A19" s="21"/>
      <c r="B19" s="28" t="s">
        <v>258</v>
      </c>
      <c r="C19" s="28" t="s">
        <v>654</v>
      </c>
      <c r="D19" s="68">
        <v>7.4</v>
      </c>
      <c r="E19" s="68">
        <v>-10.9</v>
      </c>
      <c r="F19" s="68">
        <v>-2.4</v>
      </c>
      <c r="G19" s="68">
        <v>13.100000000000001</v>
      </c>
      <c r="H19" s="68">
        <v>7.2000000000000011</v>
      </c>
      <c r="I19" s="68">
        <v>4.3</v>
      </c>
      <c r="J19" s="68">
        <v>-4.3999999999999995</v>
      </c>
      <c r="K19" s="68">
        <v>6.0449999999999999</v>
      </c>
      <c r="L19" s="68">
        <v>3.8000000000000003</v>
      </c>
      <c r="M19" s="68">
        <v>9.745000000000001</v>
      </c>
      <c r="N19" s="68">
        <v>-7.9340000000000002</v>
      </c>
      <c r="O19" s="68">
        <v>26.077999999999999</v>
      </c>
      <c r="P19" s="68">
        <v>0.32800000000000001</v>
      </c>
      <c r="Q19" s="68">
        <v>0.24399999999999999</v>
      </c>
      <c r="R19" s="68">
        <f t="shared" ref="R19:R24" si="4">SUM(N19:Q19)</f>
        <v>18.715999999999998</v>
      </c>
      <c r="S19" s="68">
        <v>22.9</v>
      </c>
      <c r="T19" s="68">
        <v>15.5</v>
      </c>
      <c r="U19" s="68">
        <v>26.8</v>
      </c>
      <c r="V19" s="68">
        <v>-2.7000000000000011</v>
      </c>
      <c r="W19" s="68">
        <v>23.499999999999996</v>
      </c>
      <c r="X19" s="68">
        <v>8.6999999999999993</v>
      </c>
      <c r="Y19" s="68">
        <v>19.5</v>
      </c>
      <c r="Z19" s="68">
        <v>4.7</v>
      </c>
      <c r="AA19" s="68">
        <v>12.7</v>
      </c>
      <c r="AB19" s="68">
        <v>-22.338000000000001</v>
      </c>
      <c r="AC19" s="199">
        <v>6.4790000000000001</v>
      </c>
      <c r="AD19" s="199">
        <v>-31.318999999999999</v>
      </c>
      <c r="AE19" s="199">
        <v>32.106999999999999</v>
      </c>
    </row>
    <row r="20" spans="1:31">
      <c r="A20" s="21"/>
      <c r="B20" s="28" t="s">
        <v>259</v>
      </c>
      <c r="C20" s="28" t="s">
        <v>655</v>
      </c>
      <c r="D20" s="68">
        <v>24</v>
      </c>
      <c r="E20" s="68">
        <v>10.999999999999996</v>
      </c>
      <c r="F20" s="68">
        <v>33.1</v>
      </c>
      <c r="G20" s="68">
        <v>16.999999999999996</v>
      </c>
      <c r="H20" s="68">
        <v>85.1</v>
      </c>
      <c r="I20" s="68">
        <v>18.599999999999998</v>
      </c>
      <c r="J20" s="68">
        <v>31.6</v>
      </c>
      <c r="K20" s="68">
        <v>-1.0899999999999963</v>
      </c>
      <c r="L20" s="68">
        <v>19.100000000000001</v>
      </c>
      <c r="M20" s="68">
        <v>68.210000000000008</v>
      </c>
      <c r="N20" s="68">
        <v>84.751999999999995</v>
      </c>
      <c r="O20" s="68">
        <v>16.713999999999999</v>
      </c>
      <c r="P20" s="68">
        <f>-DRE!$BM$25/1000</f>
        <v>51.036000000000001</v>
      </c>
      <c r="Q20" s="68">
        <f>-DRE!$BN$25/1000</f>
        <v>34.075000000000003</v>
      </c>
      <c r="R20" s="68">
        <f t="shared" si="4"/>
        <v>186.577</v>
      </c>
      <c r="S20" s="68">
        <v>18.900000000000006</v>
      </c>
      <c r="T20" s="68">
        <v>32.700000000000003</v>
      </c>
      <c r="U20" s="68">
        <v>24.199999999999989</v>
      </c>
      <c r="V20" s="68">
        <v>42.699999999999989</v>
      </c>
      <c r="W20" s="68">
        <v>30.1</v>
      </c>
      <c r="X20" s="68">
        <v>15.900000000000006</v>
      </c>
      <c r="Y20" s="68">
        <v>-4.0999999999999996</v>
      </c>
      <c r="Z20" s="68">
        <v>0.4</v>
      </c>
      <c r="AA20" s="68">
        <v>21.799999999999997</v>
      </c>
      <c r="AB20" s="68">
        <v>23.17</v>
      </c>
      <c r="AC20" s="199">
        <v>7.6360000000000001</v>
      </c>
      <c r="AD20" s="199">
        <v>10.965999999999999</v>
      </c>
      <c r="AE20" s="199">
        <v>-4.585</v>
      </c>
    </row>
    <row r="21" spans="1:31">
      <c r="A21" s="21"/>
      <c r="B21" s="28" t="s">
        <v>260</v>
      </c>
      <c r="C21" s="28" t="s">
        <v>656</v>
      </c>
      <c r="D21" s="68">
        <v>34.4</v>
      </c>
      <c r="E21" s="68">
        <v>37.200000000000003</v>
      </c>
      <c r="F21" s="68">
        <v>45</v>
      </c>
      <c r="G21" s="68">
        <v>41.500000000000007</v>
      </c>
      <c r="H21" s="68">
        <v>152.1</v>
      </c>
      <c r="I21" s="68">
        <v>36.4</v>
      </c>
      <c r="J21" s="68">
        <v>36.600000000000009</v>
      </c>
      <c r="K21" s="68">
        <v>37.137</v>
      </c>
      <c r="L21" s="68">
        <v>43.1</v>
      </c>
      <c r="M21" s="68">
        <v>153.23699999999999</v>
      </c>
      <c r="N21" s="68">
        <v>27.152000000000001</v>
      </c>
      <c r="O21" s="68">
        <v>27.83</v>
      </c>
      <c r="P21" s="68">
        <v>28.689</v>
      </c>
      <c r="Q21" s="68">
        <v>35.655000000000001</v>
      </c>
      <c r="R21" s="68">
        <f t="shared" si="4"/>
        <v>119.32599999999999</v>
      </c>
      <c r="S21" s="68">
        <v>29.1</v>
      </c>
      <c r="T21" s="68">
        <v>28.015999999999998</v>
      </c>
      <c r="U21" s="68">
        <v>30.780999999999999</v>
      </c>
      <c r="V21" s="68">
        <v>32.621000000000016</v>
      </c>
      <c r="W21" s="68">
        <v>23.538999999999998</v>
      </c>
      <c r="X21" s="68">
        <v>22.826000200000006</v>
      </c>
      <c r="Y21" s="68">
        <v>23.4</v>
      </c>
      <c r="Z21" s="68">
        <v>25.8</v>
      </c>
      <c r="AA21" s="68">
        <v>25.044</v>
      </c>
      <c r="AB21" s="68">
        <v>25.120999999999999</v>
      </c>
      <c r="AC21" s="199">
        <v>37.023000000000003</v>
      </c>
      <c r="AD21" s="199">
        <v>31.353000000000002</v>
      </c>
      <c r="AE21" s="199">
        <v>27.419</v>
      </c>
    </row>
    <row r="22" spans="1:31">
      <c r="A22" s="21"/>
      <c r="B22" s="28" t="s">
        <v>262</v>
      </c>
      <c r="C22" s="28" t="s">
        <v>658</v>
      </c>
      <c r="D22" s="68">
        <v>-2.6</v>
      </c>
      <c r="E22" s="68">
        <v>130.9</v>
      </c>
      <c r="F22" s="68">
        <v>11.3</v>
      </c>
      <c r="G22" s="68">
        <v>39.5</v>
      </c>
      <c r="H22" s="68">
        <v>179.10000000000002</v>
      </c>
      <c r="I22" s="68">
        <v>10.4</v>
      </c>
      <c r="J22" s="68">
        <v>32</v>
      </c>
      <c r="K22" s="68">
        <v>5.1509999999999998</v>
      </c>
      <c r="L22" s="68">
        <v>12.6</v>
      </c>
      <c r="M22" s="68">
        <v>60.151000000000003</v>
      </c>
      <c r="N22" s="68">
        <v>8.3569999999999993</v>
      </c>
      <c r="O22" s="68">
        <v>64.637</v>
      </c>
      <c r="P22" s="68">
        <v>44.598999999999997</v>
      </c>
      <c r="Q22" s="68">
        <v>67.421000000000006</v>
      </c>
      <c r="R22" s="68">
        <f t="shared" si="4"/>
        <v>185.01400000000001</v>
      </c>
      <c r="S22" s="68">
        <v>16.399999999999999</v>
      </c>
      <c r="T22" s="68">
        <v>7</v>
      </c>
      <c r="U22" s="68">
        <v>3.8</v>
      </c>
      <c r="V22" s="68">
        <v>43.699999999999996</v>
      </c>
      <c r="W22" s="68">
        <v>-109.1</v>
      </c>
      <c r="X22" s="68">
        <v>2.2999999999999998</v>
      </c>
      <c r="Y22" s="68">
        <v>1.7</v>
      </c>
      <c r="Z22" s="68">
        <v>16.5</v>
      </c>
      <c r="AA22" s="68">
        <v>-26.3</v>
      </c>
      <c r="AB22" s="68">
        <v>7.8609999999999998</v>
      </c>
      <c r="AC22" s="199">
        <v>21.73</v>
      </c>
      <c r="AD22" s="199">
        <v>23.138000000000002</v>
      </c>
      <c r="AE22" s="199">
        <v>5.7990000000000004</v>
      </c>
    </row>
    <row r="23" spans="1:31">
      <c r="A23" s="21"/>
      <c r="B23" s="28" t="s">
        <v>265</v>
      </c>
      <c r="C23" s="28" t="s">
        <v>660</v>
      </c>
      <c r="D23" s="68">
        <v>-4.2</v>
      </c>
      <c r="E23" s="68">
        <v>-4.3</v>
      </c>
      <c r="F23" s="68">
        <v>-11.4</v>
      </c>
      <c r="G23" s="68">
        <v>-4.5561734057447083</v>
      </c>
      <c r="H23" s="68">
        <v>-18.630426023430402</v>
      </c>
      <c r="I23" s="68">
        <v>-5.9144157577885998</v>
      </c>
      <c r="J23" s="68">
        <v>-4.5068818324179105</v>
      </c>
      <c r="K23" s="68">
        <v>-2.2387875035087972</v>
      </c>
      <c r="L23" s="68">
        <v>-4.6983008869983038</v>
      </c>
      <c r="M23" s="68">
        <v>-17.358385980713614</v>
      </c>
      <c r="N23" s="68">
        <v>6.69</v>
      </c>
      <c r="O23" s="68">
        <v>6.0750000000000002</v>
      </c>
      <c r="P23" s="68">
        <v>-3.3929999999999998</v>
      </c>
      <c r="Q23" s="68">
        <v>-8.6389999999999993</v>
      </c>
      <c r="R23" s="68">
        <f t="shared" si="4"/>
        <v>0.73300000000000054</v>
      </c>
      <c r="S23" s="68">
        <v>-4.2699999999999996</v>
      </c>
      <c r="T23" s="68">
        <v>-4.0149999999999997</v>
      </c>
      <c r="U23" s="68">
        <v>-4.9009999999999998</v>
      </c>
      <c r="V23" s="68">
        <v>-3.2540000000000147</v>
      </c>
      <c r="W23" s="68">
        <v>1.7</v>
      </c>
      <c r="X23" s="68">
        <v>-0.1</v>
      </c>
      <c r="Y23" s="68">
        <v>0.3</v>
      </c>
      <c r="Z23" s="68">
        <v>0.1</v>
      </c>
      <c r="AA23" s="68">
        <v>-1.8</v>
      </c>
      <c r="AB23" s="68">
        <v>2.9950000000000001</v>
      </c>
      <c r="AC23" s="199">
        <v>-9.2929999999999993</v>
      </c>
      <c r="AD23" s="199">
        <v>-1.925</v>
      </c>
      <c r="AE23" s="199">
        <v>-1.873</v>
      </c>
    </row>
    <row r="24" spans="1:31">
      <c r="A24" s="21"/>
      <c r="B24" s="17" t="s">
        <v>266</v>
      </c>
      <c r="C24" s="17" t="s">
        <v>661</v>
      </c>
      <c r="D24" s="68">
        <v>0.2</v>
      </c>
      <c r="E24" s="68">
        <v>1.7</v>
      </c>
      <c r="F24" s="68">
        <v>-0.7</v>
      </c>
      <c r="G24" s="68">
        <v>-2</v>
      </c>
      <c r="H24" s="68">
        <v>-0.8</v>
      </c>
      <c r="I24" s="68">
        <v>0</v>
      </c>
      <c r="J24" s="68">
        <v>0.4</v>
      </c>
      <c r="K24" s="68">
        <v>0.68100000000000005</v>
      </c>
      <c r="L24" s="68">
        <v>1.6</v>
      </c>
      <c r="M24" s="68">
        <v>2.681</v>
      </c>
      <c r="N24" s="68">
        <v>0.35399999999999998</v>
      </c>
      <c r="O24" s="68">
        <v>0.876</v>
      </c>
      <c r="P24" s="68">
        <v>0.63</v>
      </c>
      <c r="Q24" s="68">
        <v>1.5860000000000001</v>
      </c>
      <c r="R24" s="68">
        <f t="shared" si="4"/>
        <v>3.4459999999999997</v>
      </c>
      <c r="S24" s="68">
        <v>1</v>
      </c>
      <c r="T24" s="68">
        <v>0.5</v>
      </c>
      <c r="U24" s="68">
        <v>-0.6</v>
      </c>
      <c r="V24" s="68">
        <v>-0.6</v>
      </c>
      <c r="W24" s="68">
        <v>0</v>
      </c>
      <c r="X24" s="68">
        <v>0</v>
      </c>
      <c r="Y24" s="68">
        <v>0</v>
      </c>
      <c r="Z24" s="68">
        <v>0</v>
      </c>
      <c r="AA24" s="68">
        <v>-0.7</v>
      </c>
      <c r="AB24" s="68">
        <v>5.0999999999999997E-2</v>
      </c>
      <c r="AC24" s="199">
        <v>-0.14099999999999999</v>
      </c>
      <c r="AD24" s="199">
        <v>0.121</v>
      </c>
      <c r="AE24" s="199">
        <v>-0.20799999999999999</v>
      </c>
    </row>
    <row r="25" spans="1:31">
      <c r="A25" s="21"/>
      <c r="B25" s="57" t="s">
        <v>264</v>
      </c>
      <c r="C25" s="57" t="s">
        <v>264</v>
      </c>
      <c r="D25" s="61">
        <f t="shared" ref="D25" si="5">SUM(D17:D24)</f>
        <v>60.2</v>
      </c>
      <c r="E25" s="61">
        <f t="shared" ref="E25" si="6">SUM(E17:E24)</f>
        <v>17.500000000000007</v>
      </c>
      <c r="F25" s="61">
        <f t="shared" ref="F25" si="7">SUM(F17:F24)</f>
        <v>74.499999999999986</v>
      </c>
      <c r="G25" s="61">
        <f t="shared" ref="G25" si="8">SUM(G17:G24)</f>
        <v>50.443826594255292</v>
      </c>
      <c r="H25" s="61">
        <f t="shared" ref="H25" si="9">SUM(H17:H24)</f>
        <v>202.46957397656962</v>
      </c>
      <c r="I25" s="61">
        <f t="shared" ref="I25" si="10">SUM(I17:I24)</f>
        <v>60.985584242211402</v>
      </c>
      <c r="J25" s="61">
        <f t="shared" ref="J25" si="11">SUM(J17:J24)</f>
        <v>73.393118167582116</v>
      </c>
      <c r="K25" s="61">
        <f t="shared" ref="K25" si="12">SUM(K17:K24)</f>
        <v>98.40485249649133</v>
      </c>
      <c r="L25" s="61">
        <f t="shared" ref="L25" si="13">SUM(L17:L24)</f>
        <v>101.60169911300167</v>
      </c>
      <c r="M25" s="61">
        <f t="shared" ref="M25" si="14">SUM(M17:M24)</f>
        <v>334.38525401928655</v>
      </c>
      <c r="N25" s="61">
        <f t="shared" ref="N25" si="15">SUM(N17:N24)</f>
        <v>102.88</v>
      </c>
      <c r="O25" s="61">
        <f t="shared" ref="O25" si="16">SUM(O17:O24)</f>
        <v>137.946</v>
      </c>
      <c r="P25" s="61">
        <f t="shared" ref="P25" si="17">SUM(P17:P24)</f>
        <v>143.29164000000011</v>
      </c>
      <c r="Q25" s="61">
        <f t="shared" ref="Q25" si="18">SUM(Q17:Q24)</f>
        <v>145.18200000000002</v>
      </c>
      <c r="R25" s="61">
        <f t="shared" ref="R25" si="19">SUM(R17:R24)</f>
        <v>529.29964000000007</v>
      </c>
      <c r="S25" s="61">
        <f t="shared" ref="S25:T25" si="20">SUM(S17:S24)</f>
        <v>143.68700000000001</v>
      </c>
      <c r="T25" s="61">
        <f t="shared" si="20"/>
        <v>134.92200000000003</v>
      </c>
      <c r="U25" s="61">
        <f t="shared" ref="U25:AB25" si="21">SUM(U17:U24)</f>
        <v>141.09199999999998</v>
      </c>
      <c r="V25" s="61">
        <f t="shared" si="21"/>
        <v>147.26299999999998</v>
      </c>
      <c r="W25" s="61">
        <f t="shared" si="21"/>
        <v>116.33900000000001</v>
      </c>
      <c r="X25" s="61">
        <f t="shared" si="21"/>
        <v>129.22600020000002</v>
      </c>
      <c r="Y25" s="61">
        <f t="shared" si="21"/>
        <v>133.33840999999993</v>
      </c>
      <c r="Z25" s="61">
        <f t="shared" si="21"/>
        <v>108.35241000000015</v>
      </c>
      <c r="AA25" s="61">
        <f t="shared" si="21"/>
        <v>104.34400000000001</v>
      </c>
      <c r="AB25" s="61">
        <f t="shared" si="21"/>
        <v>91.785589999999985</v>
      </c>
      <c r="AC25" s="196">
        <f>SUM(AC17:AC24)</f>
        <v>115.23900000000002</v>
      </c>
      <c r="AD25" s="196">
        <f>SUM(AD17:AD24)</f>
        <v>120.77600000000001</v>
      </c>
      <c r="AE25" s="196">
        <f>SUM(AE17:AE24)</f>
        <v>114.33800000000001</v>
      </c>
    </row>
    <row r="26" spans="1:31">
      <c r="A26" s="21"/>
      <c r="U26" s="59"/>
      <c r="V26" s="59"/>
      <c r="W26" s="59"/>
      <c r="X26" s="59"/>
      <c r="Y26" s="59"/>
      <c r="Z26" s="59"/>
      <c r="AA26" s="59"/>
      <c r="AB26" s="59"/>
    </row>
    <row r="27" spans="1:31" ht="18" customHeight="1">
      <c r="A27" s="21"/>
      <c r="B27" s="89" t="s">
        <v>290</v>
      </c>
      <c r="C27" s="89" t="s">
        <v>677</v>
      </c>
      <c r="D27" s="90" t="s">
        <v>245</v>
      </c>
      <c r="E27" s="90" t="s">
        <v>246</v>
      </c>
      <c r="F27" s="90" t="s">
        <v>247</v>
      </c>
      <c r="G27" s="90" t="s">
        <v>248</v>
      </c>
      <c r="H27" s="90" t="s">
        <v>249</v>
      </c>
      <c r="I27" s="90" t="s">
        <v>250</v>
      </c>
      <c r="J27" s="90" t="s">
        <v>283</v>
      </c>
      <c r="K27" s="90" t="s">
        <v>284</v>
      </c>
      <c r="L27" s="90" t="s">
        <v>285</v>
      </c>
      <c r="M27" s="90" t="s">
        <v>286</v>
      </c>
      <c r="N27" s="90" t="s">
        <v>287</v>
      </c>
      <c r="O27" s="90" t="s">
        <v>298</v>
      </c>
      <c r="P27" s="90" t="s">
        <v>304</v>
      </c>
      <c r="Q27" s="90" t="s">
        <v>307</v>
      </c>
      <c r="R27" s="90" t="s">
        <v>309</v>
      </c>
      <c r="S27" s="90" t="s">
        <v>312</v>
      </c>
      <c r="T27" s="90" t="s">
        <v>316</v>
      </c>
      <c r="U27" s="90" t="s">
        <v>319</v>
      </c>
      <c r="V27" s="90" t="s">
        <v>322</v>
      </c>
      <c r="W27" s="90" t="s">
        <v>366</v>
      </c>
      <c r="X27" s="90" t="s">
        <v>367</v>
      </c>
      <c r="Y27" s="90" t="s">
        <v>368</v>
      </c>
      <c r="Z27" s="90" t="s">
        <v>369</v>
      </c>
      <c r="AA27" s="90" t="s">
        <v>370</v>
      </c>
      <c r="AB27" s="90" t="s">
        <v>371</v>
      </c>
      <c r="AC27" s="90" t="s">
        <v>376</v>
      </c>
      <c r="AD27" s="90" t="s">
        <v>391</v>
      </c>
      <c r="AE27" s="90" t="s">
        <v>783</v>
      </c>
    </row>
    <row r="28" spans="1:31">
      <c r="A28" s="21"/>
      <c r="D28" s="85"/>
      <c r="E28" s="85"/>
      <c r="F28" s="85"/>
      <c r="G28" s="85"/>
      <c r="H28" s="86"/>
    </row>
    <row r="29" spans="1:31">
      <c r="B29" s="57" t="s">
        <v>251</v>
      </c>
      <c r="C29" s="57" t="s">
        <v>469</v>
      </c>
      <c r="D29" s="59">
        <f t="shared" ref="D29:AA29" si="22">D9</f>
        <v>463.7</v>
      </c>
      <c r="E29" s="59">
        <f t="shared" si="22"/>
        <v>414.6</v>
      </c>
      <c r="F29" s="59">
        <f t="shared" si="22"/>
        <v>522.1</v>
      </c>
      <c r="G29" s="59">
        <f t="shared" si="22"/>
        <v>538.70000000000005</v>
      </c>
      <c r="H29" s="59">
        <f t="shared" si="22"/>
        <v>1939.0525060142459</v>
      </c>
      <c r="I29" s="59">
        <f t="shared" si="22"/>
        <v>489.7</v>
      </c>
      <c r="J29" s="59">
        <f t="shared" si="22"/>
        <v>541.12116090000006</v>
      </c>
      <c r="K29" s="59">
        <f t="shared" si="22"/>
        <v>583.42600000000004</v>
      </c>
      <c r="L29" s="59">
        <f t="shared" si="22"/>
        <v>583.70000000000005</v>
      </c>
      <c r="M29" s="59">
        <f t="shared" si="22"/>
        <v>2197.9471609000002</v>
      </c>
      <c r="N29" s="59">
        <f t="shared" si="22"/>
        <v>579.70000000000005</v>
      </c>
      <c r="O29" s="59">
        <f t="shared" si="22"/>
        <v>601.59900000000005</v>
      </c>
      <c r="P29" s="59">
        <f t="shared" si="22"/>
        <v>667.22799999999995</v>
      </c>
      <c r="Q29" s="59">
        <f t="shared" si="22"/>
        <v>588.47299999999996</v>
      </c>
      <c r="R29" s="59">
        <f t="shared" si="22"/>
        <v>2437</v>
      </c>
      <c r="S29" s="59">
        <f t="shared" si="22"/>
        <v>529.279</v>
      </c>
      <c r="T29" s="59">
        <f t="shared" si="22"/>
        <v>534.35599999999999</v>
      </c>
      <c r="U29" s="59">
        <f t="shared" si="22"/>
        <v>558.40899999999999</v>
      </c>
      <c r="V29" s="59">
        <f t="shared" si="22"/>
        <v>633.46600000000001</v>
      </c>
      <c r="W29" s="59">
        <f t="shared" si="22"/>
        <v>484.31900000000002</v>
      </c>
      <c r="X29" s="59">
        <f t="shared" si="22"/>
        <v>518.15300000000002</v>
      </c>
      <c r="Y29" s="59">
        <f t="shared" si="22"/>
        <v>579.69899999999996</v>
      </c>
      <c r="Z29" s="59">
        <f t="shared" si="22"/>
        <v>589.173</v>
      </c>
      <c r="AA29" s="59">
        <f t="shared" si="22"/>
        <v>500.67247496291111</v>
      </c>
      <c r="AB29" s="59">
        <f>AB9</f>
        <v>490.09862308875404</v>
      </c>
      <c r="AC29" s="59">
        <f>AC9</f>
        <v>540.39970467843671</v>
      </c>
      <c r="AD29" s="59">
        <f>AD9</f>
        <v>531.39232894265763</v>
      </c>
      <c r="AE29" s="59">
        <f>AE9</f>
        <v>446.97979000000004</v>
      </c>
    </row>
    <row r="30" spans="1:31">
      <c r="A30" s="21"/>
      <c r="B30" s="57" t="s">
        <v>264</v>
      </c>
      <c r="C30" s="57" t="s">
        <v>264</v>
      </c>
      <c r="D30" s="61">
        <f t="shared" ref="D30:AA30" si="23">D25</f>
        <v>60.2</v>
      </c>
      <c r="E30" s="61">
        <f t="shared" si="23"/>
        <v>17.500000000000007</v>
      </c>
      <c r="F30" s="61">
        <f t="shared" si="23"/>
        <v>74.499999999999986</v>
      </c>
      <c r="G30" s="61">
        <f t="shared" si="23"/>
        <v>50.443826594255292</v>
      </c>
      <c r="H30" s="61">
        <f t="shared" si="23"/>
        <v>202.46957397656962</v>
      </c>
      <c r="I30" s="61">
        <f t="shared" si="23"/>
        <v>60.985584242211402</v>
      </c>
      <c r="J30" s="61">
        <f t="shared" si="23"/>
        <v>73.393118167582116</v>
      </c>
      <c r="K30" s="61">
        <f t="shared" si="23"/>
        <v>98.40485249649133</v>
      </c>
      <c r="L30" s="61">
        <f t="shared" si="23"/>
        <v>101.60169911300167</v>
      </c>
      <c r="M30" s="61">
        <f t="shared" si="23"/>
        <v>334.38525401928655</v>
      </c>
      <c r="N30" s="61">
        <f t="shared" si="23"/>
        <v>102.88</v>
      </c>
      <c r="O30" s="61">
        <f t="shared" si="23"/>
        <v>137.946</v>
      </c>
      <c r="P30" s="61">
        <f t="shared" si="23"/>
        <v>143.29164000000011</v>
      </c>
      <c r="Q30" s="61">
        <f t="shared" si="23"/>
        <v>145.18200000000002</v>
      </c>
      <c r="R30" s="61">
        <f t="shared" si="23"/>
        <v>529.29964000000007</v>
      </c>
      <c r="S30" s="61">
        <f t="shared" si="23"/>
        <v>143.68700000000001</v>
      </c>
      <c r="T30" s="61">
        <f t="shared" si="23"/>
        <v>134.92200000000003</v>
      </c>
      <c r="U30" s="61">
        <f t="shared" si="23"/>
        <v>141.09199999999998</v>
      </c>
      <c r="V30" s="61">
        <f t="shared" si="23"/>
        <v>147.26299999999998</v>
      </c>
      <c r="W30" s="61">
        <f t="shared" si="23"/>
        <v>116.33900000000001</v>
      </c>
      <c r="X30" s="61">
        <f t="shared" si="23"/>
        <v>129.22600020000002</v>
      </c>
      <c r="Y30" s="61">
        <f t="shared" si="23"/>
        <v>133.33840999999993</v>
      </c>
      <c r="Z30" s="61">
        <f t="shared" si="23"/>
        <v>108.35241000000015</v>
      </c>
      <c r="AA30" s="61">
        <f t="shared" si="23"/>
        <v>104.34400000000001</v>
      </c>
      <c r="AB30" s="61">
        <f>AB25</f>
        <v>91.785589999999985</v>
      </c>
      <c r="AC30" s="61">
        <f>AC25</f>
        <v>115.23900000000002</v>
      </c>
      <c r="AD30" s="61">
        <f>AD25</f>
        <v>120.77600000000001</v>
      </c>
      <c r="AE30" s="61">
        <f>AE25</f>
        <v>114.33800000000001</v>
      </c>
    </row>
    <row r="31" spans="1:31">
      <c r="A31" s="21"/>
      <c r="B31" s="63" t="s">
        <v>253</v>
      </c>
      <c r="C31" s="63" t="s">
        <v>649</v>
      </c>
      <c r="D31" s="67">
        <f t="shared" ref="D31" si="24">(D30/D29)</f>
        <v>0.12982531809359502</v>
      </c>
      <c r="E31" s="67">
        <f t="shared" ref="E31" si="25">(E30/E29)</f>
        <v>4.2209358417752064E-2</v>
      </c>
      <c r="F31" s="67">
        <f t="shared" ref="F31" si="26">(F30/F29)</f>
        <v>0.14269297069526907</v>
      </c>
      <c r="G31" s="67">
        <f t="shared" ref="G31" si="27">(G30/G29)</f>
        <v>9.3639923137655998E-2</v>
      </c>
      <c r="H31" s="67">
        <f t="shared" ref="H31" si="28">(H30/H29)</f>
        <v>0.10441675681735361</v>
      </c>
      <c r="I31" s="67">
        <f t="shared" ref="I31" si="29">(I30/I29)</f>
        <v>0.12453662291650276</v>
      </c>
      <c r="J31" s="67">
        <f t="shared" ref="J31" si="30">(J30/J29)</f>
        <v>0.13563158026478522</v>
      </c>
      <c r="K31" s="67">
        <f t="shared" ref="K31" si="31">(K30/K29)</f>
        <v>0.1686672388554698</v>
      </c>
      <c r="L31" s="67">
        <f t="shared" ref="L31" si="32">(L30/L29)</f>
        <v>0.17406492909542859</v>
      </c>
      <c r="M31" s="67">
        <f t="shared" ref="M31" si="33">(M30/M29)</f>
        <v>0.15213525600968714</v>
      </c>
      <c r="N31" s="67">
        <f t="shared" ref="N31" si="34">(N30/N29)</f>
        <v>0.17747110574435052</v>
      </c>
      <c r="O31" s="67">
        <f t="shared" ref="O31" si="35">(O30/O29)</f>
        <v>0.2292989183825106</v>
      </c>
      <c r="P31" s="67">
        <f t="shared" ref="P31" si="36">(P30/P29)</f>
        <v>0.2147566349134031</v>
      </c>
      <c r="Q31" s="67">
        <f t="shared" ref="Q31" si="37">(Q30/Q29)</f>
        <v>0.2467097046083678</v>
      </c>
      <c r="R31" s="67">
        <f t="shared" ref="R31:AA31" si="38">(R30/R29)</f>
        <v>0.21719312269183425</v>
      </c>
      <c r="S31" s="67">
        <f t="shared" si="38"/>
        <v>0.27147685814098049</v>
      </c>
      <c r="T31" s="67">
        <f t="shared" si="38"/>
        <v>0.25249459162056759</v>
      </c>
      <c r="U31" s="67">
        <f t="shared" si="38"/>
        <v>0.25266784740217296</v>
      </c>
      <c r="V31" s="67">
        <f t="shared" si="38"/>
        <v>0.23247182958517107</v>
      </c>
      <c r="W31" s="67">
        <f t="shared" si="38"/>
        <v>0.24021151348594627</v>
      </c>
      <c r="X31" s="67">
        <f t="shared" si="38"/>
        <v>0.24939737915248972</v>
      </c>
      <c r="Y31" s="67">
        <f t="shared" si="38"/>
        <v>0.23001317925337103</v>
      </c>
      <c r="Z31" s="67">
        <f t="shared" si="38"/>
        <v>0.18390593255291765</v>
      </c>
      <c r="AA31" s="67">
        <f t="shared" si="38"/>
        <v>0.20840770207655138</v>
      </c>
      <c r="AB31" s="67">
        <f>(AB30/AB29)</f>
        <v>0.18727983649808816</v>
      </c>
      <c r="AC31" s="67">
        <f>(AC30/AC29)</f>
        <v>0.21324771091163466</v>
      </c>
      <c r="AD31" s="67">
        <f>(AD30/AD29)</f>
        <v>0.22728216690729253</v>
      </c>
      <c r="AE31" s="67">
        <f>(AE30/AE29)</f>
        <v>0.25580127459454038</v>
      </c>
    </row>
    <row r="32" spans="1:31">
      <c r="A32" s="21"/>
      <c r="B32" s="57" t="s">
        <v>288</v>
      </c>
      <c r="C32" s="57" t="s">
        <v>676</v>
      </c>
      <c r="D32" s="61">
        <f t="shared" ref="D32:AA32" si="39">D12</f>
        <v>2.1</v>
      </c>
      <c r="E32" s="61">
        <f t="shared" si="39"/>
        <v>-148.1</v>
      </c>
      <c r="F32" s="61">
        <f t="shared" si="39"/>
        <v>-2.4</v>
      </c>
      <c r="G32" s="61">
        <f t="shared" si="39"/>
        <v>-54</v>
      </c>
      <c r="H32" s="61">
        <f t="shared" si="39"/>
        <v>-202.39999999999998</v>
      </c>
      <c r="I32" s="61">
        <f t="shared" si="39"/>
        <v>-5</v>
      </c>
      <c r="J32" s="61">
        <f t="shared" si="39"/>
        <v>-17.600000000000001</v>
      </c>
      <c r="K32" s="61">
        <f t="shared" si="39"/>
        <v>52.258000000000003</v>
      </c>
      <c r="L32" s="61">
        <f t="shared" si="39"/>
        <v>30</v>
      </c>
      <c r="M32" s="61">
        <f t="shared" si="39"/>
        <v>59.658000000000001</v>
      </c>
      <c r="N32" s="61">
        <f t="shared" si="39"/>
        <v>-18.100000000000001</v>
      </c>
      <c r="O32" s="61">
        <f t="shared" si="39"/>
        <v>-4.3019999999999996</v>
      </c>
      <c r="P32" s="61">
        <f t="shared" si="39"/>
        <v>22.077999999999999</v>
      </c>
      <c r="Q32" s="61">
        <f t="shared" si="39"/>
        <v>24.786000000000001</v>
      </c>
      <c r="R32" s="61">
        <f t="shared" si="39"/>
        <v>24.462</v>
      </c>
      <c r="S32" s="61">
        <f t="shared" si="39"/>
        <v>59.457000000000001</v>
      </c>
      <c r="T32" s="61">
        <f t="shared" si="39"/>
        <v>57.521000000000001</v>
      </c>
      <c r="U32" s="61">
        <f t="shared" si="39"/>
        <v>60.712000000000003</v>
      </c>
      <c r="V32" s="61">
        <f t="shared" si="39"/>
        <v>35.595999999999997</v>
      </c>
      <c r="W32" s="61">
        <f t="shared" si="39"/>
        <v>147.80000000000001</v>
      </c>
      <c r="X32" s="61">
        <f t="shared" si="39"/>
        <v>79.599999999999994</v>
      </c>
      <c r="Y32" s="61">
        <f t="shared" si="39"/>
        <v>91.438409999999919</v>
      </c>
      <c r="Z32" s="61">
        <f t="shared" si="39"/>
        <v>61.95241000000015</v>
      </c>
      <c r="AA32" s="61">
        <f t="shared" si="39"/>
        <v>73.400000000000006</v>
      </c>
      <c r="AB32" s="61">
        <f>AB12</f>
        <v>54.1</v>
      </c>
      <c r="AC32" s="61">
        <f>AC12</f>
        <v>48.968000000000004</v>
      </c>
      <c r="AD32" s="61">
        <f>AD12</f>
        <v>84.825000000000003</v>
      </c>
      <c r="AE32" s="61">
        <f>AE12</f>
        <v>55.915999999999997</v>
      </c>
    </row>
    <row r="33" spans="1:38">
      <c r="A33" s="21"/>
      <c r="B33" s="63" t="s">
        <v>253</v>
      </c>
      <c r="C33" s="63" t="s">
        <v>649</v>
      </c>
      <c r="D33" s="67">
        <f t="shared" ref="D33:AA33" si="40">D32/D29</f>
        <v>4.5287901660556401E-3</v>
      </c>
      <c r="E33" s="67">
        <f t="shared" si="40"/>
        <v>-0.3572117703810902</v>
      </c>
      <c r="F33" s="67">
        <f t="shared" si="40"/>
        <v>-4.5968205324650449E-3</v>
      </c>
      <c r="G33" s="67">
        <f t="shared" si="40"/>
        <v>-0.10024132170038982</v>
      </c>
      <c r="H33" s="67">
        <f t="shared" si="40"/>
        <v>-0.10438087641888383</v>
      </c>
      <c r="I33" s="67">
        <f t="shared" si="40"/>
        <v>-1.0210332856851134E-2</v>
      </c>
      <c r="J33" s="67">
        <f t="shared" si="40"/>
        <v>-3.2525063279224643E-2</v>
      </c>
      <c r="K33" s="67">
        <f t="shared" si="40"/>
        <v>8.9570913877681138E-2</v>
      </c>
      <c r="L33" s="67">
        <f t="shared" si="40"/>
        <v>5.1396265204728453E-2</v>
      </c>
      <c r="M33" s="67">
        <f t="shared" si="40"/>
        <v>2.7142599722721112E-2</v>
      </c>
      <c r="N33" s="67">
        <f t="shared" si="40"/>
        <v>-3.1223046403312058E-2</v>
      </c>
      <c r="O33" s="67">
        <f t="shared" si="40"/>
        <v>-7.1509427376042836E-3</v>
      </c>
      <c r="P33" s="67">
        <f t="shared" si="40"/>
        <v>3.3089138945008305E-2</v>
      </c>
      <c r="Q33" s="67">
        <f t="shared" si="40"/>
        <v>4.2119179639507683E-2</v>
      </c>
      <c r="R33" s="67">
        <f t="shared" si="40"/>
        <v>1.0037751333606893E-2</v>
      </c>
      <c r="S33" s="67">
        <f t="shared" si="40"/>
        <v>0.11233583799848473</v>
      </c>
      <c r="T33" s="67">
        <f t="shared" si="40"/>
        <v>0.10764546482120534</v>
      </c>
      <c r="U33" s="67">
        <f t="shared" si="40"/>
        <v>0.10872317602330908</v>
      </c>
      <c r="V33" s="67">
        <f t="shared" si="40"/>
        <v>5.619243968894936E-2</v>
      </c>
      <c r="W33" s="67">
        <f t="shared" si="40"/>
        <v>0.30517076554915251</v>
      </c>
      <c r="X33" s="67">
        <f t="shared" si="40"/>
        <v>0.15362257865919909</v>
      </c>
      <c r="Y33" s="67">
        <f t="shared" si="40"/>
        <v>0.15773428969171921</v>
      </c>
      <c r="Z33" s="67">
        <f t="shared" si="40"/>
        <v>0.10515147503364912</v>
      </c>
      <c r="AA33" s="67">
        <f t="shared" si="40"/>
        <v>0.14660282653932064</v>
      </c>
      <c r="AB33" s="67">
        <f>AB32/AB29</f>
        <v>0.11038594570832493</v>
      </c>
      <c r="AC33" s="67">
        <f>AC32/AC29</f>
        <v>9.0614409253125458E-2</v>
      </c>
      <c r="AD33" s="67">
        <f>AD32/AD29</f>
        <v>0.15962782181816826</v>
      </c>
      <c r="AE33" s="67">
        <f>AE32/AE29</f>
        <v>0.12509737856380485</v>
      </c>
      <c r="AF33" s="166"/>
      <c r="AH33" s="166"/>
      <c r="AI33" s="166"/>
      <c r="AJ33" s="166"/>
      <c r="AK33" s="166"/>
      <c r="AL33" s="166"/>
    </row>
    <row r="34" spans="1:38">
      <c r="A34" s="21"/>
      <c r="B34" s="57" t="s">
        <v>289</v>
      </c>
      <c r="C34" s="57" t="s">
        <v>289</v>
      </c>
      <c r="D34" s="61">
        <f>D70+D81+D90+D99+D108</f>
        <v>2.4065055580240098</v>
      </c>
      <c r="E34" s="61">
        <f>E70+E81+E90+E99+E108</f>
        <v>6.1927919651156689</v>
      </c>
      <c r="F34" s="61">
        <f>F70+F81+F90+F99+F108</f>
        <v>14.036559960951369</v>
      </c>
      <c r="G34" s="61">
        <f>G70+G81+G90+G99+G108</f>
        <v>6.041023263631403</v>
      </c>
      <c r="H34" s="61">
        <f>H70+H81+H90+H99+H108</f>
        <v>33.613104605794881</v>
      </c>
      <c r="I34" s="61">
        <v>-3.3055435952510219</v>
      </c>
      <c r="J34" s="61">
        <v>467.96497557649002</v>
      </c>
      <c r="K34" s="61">
        <v>484.93575122000004</v>
      </c>
      <c r="L34" s="61">
        <v>483.6251592272331</v>
      </c>
      <c r="M34" s="61">
        <v>1865.0784102803214</v>
      </c>
      <c r="N34" s="61">
        <v>476.75629391691922</v>
      </c>
      <c r="O34" s="61">
        <v>463.65373043336649</v>
      </c>
      <c r="P34" s="61">
        <v>532.6973155667672</v>
      </c>
      <c r="Q34" s="61">
        <v>450.01244010192829</v>
      </c>
      <c r="R34" s="61">
        <v>1923.1197800189811</v>
      </c>
      <c r="S34" s="61">
        <v>380.09551451949426</v>
      </c>
      <c r="T34" s="61">
        <v>399.46975154552496</v>
      </c>
      <c r="U34" s="61">
        <v>431.88194020227883</v>
      </c>
      <c r="V34" s="61">
        <v>486.37630343695952</v>
      </c>
      <c r="W34" s="61">
        <v>367.96100000000001</v>
      </c>
      <c r="X34" s="61">
        <v>388.90832482488793</v>
      </c>
      <c r="Y34" s="61">
        <v>447.48459932994047</v>
      </c>
      <c r="Z34" s="61">
        <v>479.66599891333124</v>
      </c>
      <c r="AA34" s="61">
        <v>396.35067078464749</v>
      </c>
      <c r="AB34" s="61">
        <v>398.35786588498797</v>
      </c>
      <c r="AC34" s="61">
        <f>AC14</f>
        <v>425.16070467843667</v>
      </c>
      <c r="AD34" s="61">
        <f>AD14</f>
        <v>410.61632894265762</v>
      </c>
      <c r="AE34" s="61">
        <f>AE14</f>
        <v>332.64179000000001</v>
      </c>
    </row>
    <row r="35" spans="1:38">
      <c r="A35" s="21"/>
    </row>
    <row r="36" spans="1:38">
      <c r="A36" s="21"/>
      <c r="B36" s="57" t="s">
        <v>255</v>
      </c>
      <c r="C36" s="57" t="s">
        <v>651</v>
      </c>
    </row>
    <row r="37" spans="1:38">
      <c r="A37" s="21"/>
      <c r="B37" s="57" t="s">
        <v>256</v>
      </c>
      <c r="C37" s="57" t="s">
        <v>652</v>
      </c>
      <c r="D37" s="61">
        <f t="shared" ref="D37:AA37" si="41">D32</f>
        <v>2.1</v>
      </c>
      <c r="E37" s="61">
        <f t="shared" si="41"/>
        <v>-148.1</v>
      </c>
      <c r="F37" s="61">
        <f t="shared" si="41"/>
        <v>-2.4</v>
      </c>
      <c r="G37" s="61">
        <f t="shared" si="41"/>
        <v>-54</v>
      </c>
      <c r="H37" s="61">
        <f t="shared" si="41"/>
        <v>-202.39999999999998</v>
      </c>
      <c r="I37" s="61">
        <f t="shared" si="41"/>
        <v>-5</v>
      </c>
      <c r="J37" s="61">
        <f t="shared" si="41"/>
        <v>-17.600000000000001</v>
      </c>
      <c r="K37" s="61">
        <f t="shared" si="41"/>
        <v>52.258000000000003</v>
      </c>
      <c r="L37" s="61">
        <f t="shared" si="41"/>
        <v>30</v>
      </c>
      <c r="M37" s="61">
        <f t="shared" si="41"/>
        <v>59.658000000000001</v>
      </c>
      <c r="N37" s="61">
        <f t="shared" si="41"/>
        <v>-18.100000000000001</v>
      </c>
      <c r="O37" s="61">
        <f t="shared" si="41"/>
        <v>-4.3019999999999996</v>
      </c>
      <c r="P37" s="61">
        <f t="shared" si="41"/>
        <v>22.077999999999999</v>
      </c>
      <c r="Q37" s="61">
        <f t="shared" si="41"/>
        <v>24.786000000000001</v>
      </c>
      <c r="R37" s="61">
        <f t="shared" si="41"/>
        <v>24.462</v>
      </c>
      <c r="S37" s="61">
        <f t="shared" si="41"/>
        <v>59.457000000000001</v>
      </c>
      <c r="T37" s="61">
        <f t="shared" si="41"/>
        <v>57.521000000000001</v>
      </c>
      <c r="U37" s="61">
        <f t="shared" si="41"/>
        <v>60.712000000000003</v>
      </c>
      <c r="V37" s="61">
        <f t="shared" si="41"/>
        <v>35.595999999999997</v>
      </c>
      <c r="W37" s="61">
        <f t="shared" si="41"/>
        <v>147.80000000000001</v>
      </c>
      <c r="X37" s="61">
        <f t="shared" si="41"/>
        <v>79.599999999999994</v>
      </c>
      <c r="Y37" s="61">
        <f t="shared" si="41"/>
        <v>91.438409999999919</v>
      </c>
      <c r="Z37" s="61">
        <f t="shared" si="41"/>
        <v>61.95241000000015</v>
      </c>
      <c r="AA37" s="61">
        <f t="shared" si="41"/>
        <v>73.400000000000006</v>
      </c>
      <c r="AB37" s="61">
        <f>AB32</f>
        <v>54.1</v>
      </c>
      <c r="AC37" s="61">
        <f>AC32</f>
        <v>48.968000000000004</v>
      </c>
      <c r="AD37" s="61">
        <f>AD32</f>
        <v>84.825000000000003</v>
      </c>
      <c r="AE37" s="61">
        <f>AE32</f>
        <v>55.915999999999997</v>
      </c>
    </row>
    <row r="38" spans="1:38">
      <c r="A38" s="21"/>
      <c r="B38" s="28" t="s">
        <v>257</v>
      </c>
      <c r="C38" s="28" t="s">
        <v>653</v>
      </c>
      <c r="D38" s="68">
        <v>-1.1000000000000001</v>
      </c>
      <c r="E38" s="68">
        <v>0</v>
      </c>
      <c r="F38" s="68">
        <v>2</v>
      </c>
      <c r="G38" s="68">
        <v>-0.1</v>
      </c>
      <c r="H38" s="68">
        <v>0.79999999999999993</v>
      </c>
      <c r="I38" s="68">
        <v>2.2000000000000002</v>
      </c>
      <c r="J38" s="68">
        <v>-0.7</v>
      </c>
      <c r="K38" s="68">
        <v>-0.5</v>
      </c>
      <c r="L38" s="68">
        <v>3.9</v>
      </c>
      <c r="M38" s="68">
        <v>4.9000000000000004</v>
      </c>
      <c r="N38" s="68">
        <v>1.609</v>
      </c>
      <c r="O38" s="68">
        <v>3.7999999999999999E-2</v>
      </c>
      <c r="P38" s="68">
        <v>-0.67535999999986962</v>
      </c>
      <c r="Q38" s="68">
        <v>-9.9459999999999997</v>
      </c>
      <c r="R38" s="68">
        <v>-8.9743599999998693</v>
      </c>
      <c r="S38" s="68">
        <v>0.2</v>
      </c>
      <c r="T38" s="68">
        <v>-2.2999999999999998</v>
      </c>
      <c r="U38" s="68">
        <v>0.3</v>
      </c>
      <c r="V38" s="68">
        <v>-0.8</v>
      </c>
      <c r="W38" s="68">
        <v>-1.2</v>
      </c>
      <c r="X38" s="68">
        <v>0</v>
      </c>
      <c r="Y38" s="68">
        <v>1.1000000000000001</v>
      </c>
      <c r="Z38" s="68">
        <v>-1.1000000000000001</v>
      </c>
      <c r="AA38" s="68">
        <v>0.2</v>
      </c>
      <c r="AB38" s="68">
        <v>0.8</v>
      </c>
      <c r="AC38" s="68">
        <f>AC18</f>
        <v>2.8370000000000002</v>
      </c>
      <c r="AD38" s="68">
        <f>AD18</f>
        <v>3.617</v>
      </c>
      <c r="AE38" s="68">
        <f>AE18</f>
        <v>-0.23699999999999999</v>
      </c>
    </row>
    <row r="39" spans="1:38">
      <c r="A39" s="21"/>
      <c r="B39" s="28" t="s">
        <v>258</v>
      </c>
      <c r="C39" s="28" t="s">
        <v>654</v>
      </c>
      <c r="D39" s="68">
        <v>5.2120999999999924</v>
      </c>
      <c r="E39" s="68">
        <v>31.653380000000006</v>
      </c>
      <c r="F39" s="68">
        <v>-2.4</v>
      </c>
      <c r="G39" s="68">
        <v>13.100000000000001</v>
      </c>
      <c r="H39" s="68">
        <v>7.2000000000000011</v>
      </c>
      <c r="I39" s="68">
        <v>4.3</v>
      </c>
      <c r="J39" s="68">
        <v>-6.9030799999999992</v>
      </c>
      <c r="K39" s="68">
        <v>-22.7</v>
      </c>
      <c r="L39" s="68">
        <v>-1.6999999999999993</v>
      </c>
      <c r="M39" s="68">
        <v>-27.003079999999997</v>
      </c>
      <c r="N39" s="68">
        <v>-7.9340000000000002</v>
      </c>
      <c r="O39" s="68">
        <v>26.077999999999999</v>
      </c>
      <c r="P39" s="68">
        <v>0.32800000000000001</v>
      </c>
      <c r="Q39" s="68">
        <v>0.24399999999999999</v>
      </c>
      <c r="R39" s="68">
        <v>18.715999999999998</v>
      </c>
      <c r="S39" s="68">
        <v>22.9</v>
      </c>
      <c r="T39" s="68">
        <v>15.5</v>
      </c>
      <c r="U39" s="68">
        <v>26.8</v>
      </c>
      <c r="V39" s="68">
        <v>-2.7000000000000011</v>
      </c>
      <c r="W39" s="68">
        <v>23.499999999999996</v>
      </c>
      <c r="X39" s="68">
        <v>8.6999999999999993</v>
      </c>
      <c r="Y39" s="68">
        <v>19.5</v>
      </c>
      <c r="Z39" s="68">
        <v>4.7</v>
      </c>
      <c r="AA39" s="68">
        <v>12.7</v>
      </c>
      <c r="AB39" s="68">
        <v>-22.299999999999997</v>
      </c>
      <c r="AC39" s="68">
        <f t="shared" ref="AC39:AD45" si="42">AC19</f>
        <v>6.4790000000000001</v>
      </c>
      <c r="AD39" s="68">
        <f t="shared" si="42"/>
        <v>-31.318999999999999</v>
      </c>
      <c r="AE39" s="68">
        <f t="shared" ref="AE39" si="43">AE19</f>
        <v>32.106999999999999</v>
      </c>
    </row>
    <row r="40" spans="1:38">
      <c r="A40" s="21"/>
      <c r="B40" s="28" t="s">
        <v>259</v>
      </c>
      <c r="C40" s="28" t="s">
        <v>655</v>
      </c>
      <c r="D40" s="68">
        <v>24</v>
      </c>
      <c r="E40" s="68">
        <v>10.999999999999996</v>
      </c>
      <c r="F40" s="68">
        <v>33.1</v>
      </c>
      <c r="G40" s="68">
        <v>16.999999999999996</v>
      </c>
      <c r="H40" s="68">
        <v>85.1</v>
      </c>
      <c r="I40" s="68">
        <v>18.599999999999998</v>
      </c>
      <c r="J40" s="68">
        <v>57.668000000000006</v>
      </c>
      <c r="K40" s="68">
        <v>1.1000000000000014</v>
      </c>
      <c r="L40" s="68">
        <v>-25.700000000000003</v>
      </c>
      <c r="M40" s="68">
        <v>51.667999999999992</v>
      </c>
      <c r="N40" s="68">
        <v>84.751999999999995</v>
      </c>
      <c r="O40" s="68">
        <v>16.713999999999999</v>
      </c>
      <c r="P40" s="68">
        <v>51.036000000000001</v>
      </c>
      <c r="Q40" s="68">
        <v>34.075000000000003</v>
      </c>
      <c r="R40" s="68">
        <v>186.577</v>
      </c>
      <c r="S40" s="68">
        <v>18.900000000000006</v>
      </c>
      <c r="T40" s="68">
        <v>32.700000000000003</v>
      </c>
      <c r="U40" s="68">
        <v>24.199999999999989</v>
      </c>
      <c r="V40" s="68">
        <v>42.699999999999989</v>
      </c>
      <c r="W40" s="68">
        <v>30.1</v>
      </c>
      <c r="X40" s="68">
        <v>15.900000000000006</v>
      </c>
      <c r="Y40" s="68">
        <v>-4.0999999999999996</v>
      </c>
      <c r="Z40" s="68">
        <v>0.4</v>
      </c>
      <c r="AA40" s="68">
        <v>21.799999999999997</v>
      </c>
      <c r="AB40" s="68">
        <v>23.1</v>
      </c>
      <c r="AC40" s="68">
        <f t="shared" si="42"/>
        <v>7.6360000000000001</v>
      </c>
      <c r="AD40" s="68">
        <f t="shared" si="42"/>
        <v>10.965999999999999</v>
      </c>
      <c r="AE40" s="68">
        <f t="shared" ref="AE40" si="44">AE20</f>
        <v>-4.585</v>
      </c>
    </row>
    <row r="41" spans="1:38">
      <c r="A41" s="21"/>
      <c r="B41" s="28" t="s">
        <v>260</v>
      </c>
      <c r="C41" s="28" t="s">
        <v>656</v>
      </c>
      <c r="D41" s="68">
        <v>34.4</v>
      </c>
      <c r="E41" s="68">
        <f>E21</f>
        <v>37.200000000000003</v>
      </c>
      <c r="F41" s="68">
        <v>45</v>
      </c>
      <c r="G41" s="68">
        <v>41.500000000000007</v>
      </c>
      <c r="H41" s="68">
        <v>152.1</v>
      </c>
      <c r="I41" s="68">
        <v>36.4</v>
      </c>
      <c r="J41" s="68">
        <v>36.600000000000009</v>
      </c>
      <c r="K41" s="68">
        <v>37.137</v>
      </c>
      <c r="L41" s="68">
        <v>-38.401699113001698</v>
      </c>
      <c r="M41" s="68">
        <v>71.735300886998303</v>
      </c>
      <c r="N41" s="68">
        <v>27.152000000000001</v>
      </c>
      <c r="O41" s="68">
        <v>27.83</v>
      </c>
      <c r="P41" s="68">
        <v>28.689</v>
      </c>
      <c r="Q41" s="68">
        <v>35.655000000000001</v>
      </c>
      <c r="R41" s="68">
        <v>119.32599999999999</v>
      </c>
      <c r="S41" s="68">
        <v>29.1</v>
      </c>
      <c r="T41" s="68">
        <v>28.015999999999998</v>
      </c>
      <c r="U41" s="68">
        <v>30.780999999999999</v>
      </c>
      <c r="V41" s="68">
        <v>32.621000000000016</v>
      </c>
      <c r="W41" s="68">
        <v>23.538999999999998</v>
      </c>
      <c r="X41" s="68">
        <v>22.826000200000006</v>
      </c>
      <c r="Y41" s="68">
        <v>23.4</v>
      </c>
      <c r="Z41" s="68">
        <v>25.8</v>
      </c>
      <c r="AA41" s="68">
        <v>23.222000000000001</v>
      </c>
      <c r="AB41" s="68">
        <v>25.1</v>
      </c>
      <c r="AC41" s="68">
        <f t="shared" si="42"/>
        <v>37.023000000000003</v>
      </c>
      <c r="AD41" s="68">
        <f t="shared" si="42"/>
        <v>31.353000000000002</v>
      </c>
      <c r="AE41" s="68">
        <f t="shared" ref="AE41" si="45">AE21</f>
        <v>27.419</v>
      </c>
    </row>
    <row r="42" spans="1:38">
      <c r="A42" s="21"/>
      <c r="B42" s="28" t="s">
        <v>262</v>
      </c>
      <c r="C42" s="28" t="s">
        <v>658</v>
      </c>
      <c r="D42" s="68">
        <v>3.835000000000008</v>
      </c>
      <c r="E42" s="68">
        <v>5.7430000000000092</v>
      </c>
      <c r="F42" s="68">
        <v>11.3</v>
      </c>
      <c r="G42" s="68">
        <v>39.5</v>
      </c>
      <c r="H42" s="68">
        <v>179.10000000000002</v>
      </c>
      <c r="I42" s="68">
        <v>10.4</v>
      </c>
      <c r="J42" s="68">
        <v>10.559999999999999</v>
      </c>
      <c r="K42" s="68">
        <v>-5.2</v>
      </c>
      <c r="L42" s="68">
        <v>-12.6</v>
      </c>
      <c r="M42" s="68">
        <v>3.1600000000000019</v>
      </c>
      <c r="N42" s="68">
        <v>8.3569999999999993</v>
      </c>
      <c r="O42" s="68">
        <v>64.637</v>
      </c>
      <c r="P42" s="68">
        <v>44.598999999999997</v>
      </c>
      <c r="Q42" s="68">
        <v>67.421000000000006</v>
      </c>
      <c r="R42" s="68">
        <v>185.01400000000001</v>
      </c>
      <c r="S42" s="68">
        <v>16.399999999999999</v>
      </c>
      <c r="T42" s="68">
        <v>7</v>
      </c>
      <c r="U42" s="68">
        <v>3.8</v>
      </c>
      <c r="V42" s="68">
        <v>43.699999999999996</v>
      </c>
      <c r="W42" s="68">
        <v>-109.1</v>
      </c>
      <c r="X42" s="68">
        <v>2.2999999999999998</v>
      </c>
      <c r="Y42" s="68">
        <v>1.7</v>
      </c>
      <c r="Z42" s="68">
        <v>16.5</v>
      </c>
      <c r="AA42" s="68">
        <v>-26.3</v>
      </c>
      <c r="AB42" s="68">
        <v>7.9</v>
      </c>
      <c r="AC42" s="68">
        <f t="shared" si="42"/>
        <v>21.73</v>
      </c>
      <c r="AD42" s="68">
        <f t="shared" si="42"/>
        <v>23.138000000000002</v>
      </c>
      <c r="AE42" s="68">
        <f t="shared" ref="AE42" si="46">AE22</f>
        <v>5.7990000000000004</v>
      </c>
    </row>
    <row r="43" spans="1:38">
      <c r="A43" s="21"/>
      <c r="B43" s="28" t="s">
        <v>265</v>
      </c>
      <c r="C43" s="28" t="s">
        <v>660</v>
      </c>
      <c r="D43" s="68">
        <v>-4.2</v>
      </c>
      <c r="E43" s="68">
        <f>E23</f>
        <v>-4.3</v>
      </c>
      <c r="F43" s="68">
        <v>-11.4</v>
      </c>
      <c r="G43" s="68">
        <v>-4.5561734057447083</v>
      </c>
      <c r="H43" s="68">
        <v>-18.630426023430402</v>
      </c>
      <c r="I43" s="68">
        <v>-5.9144157577885998</v>
      </c>
      <c r="J43" s="68">
        <v>-4.5068818324179105</v>
      </c>
      <c r="K43" s="68">
        <v>-2.2387875035087972</v>
      </c>
      <c r="L43" s="68">
        <v>-4.6983008869983038</v>
      </c>
      <c r="M43" s="68">
        <v>-17.358385980713614</v>
      </c>
      <c r="N43" s="68">
        <v>6.69</v>
      </c>
      <c r="O43" s="68">
        <v>6.0750000000000002</v>
      </c>
      <c r="P43" s="68">
        <v>-3.3929999999999998</v>
      </c>
      <c r="Q43" s="68">
        <v>-8.6389999999999993</v>
      </c>
      <c r="R43" s="68">
        <v>0.73300000000000054</v>
      </c>
      <c r="S43" s="68">
        <v>-4.2699999999999996</v>
      </c>
      <c r="T43" s="68">
        <v>-4.0149999999999997</v>
      </c>
      <c r="U43" s="68">
        <v>-4.9009999999999998</v>
      </c>
      <c r="V43" s="68">
        <v>-3.2540000000000147</v>
      </c>
      <c r="W43" s="68">
        <v>1.7</v>
      </c>
      <c r="X43" s="68">
        <v>-0.1</v>
      </c>
      <c r="Y43" s="68">
        <v>0.3</v>
      </c>
      <c r="Z43" s="68">
        <v>0.1</v>
      </c>
      <c r="AA43" s="68">
        <v>-0.7</v>
      </c>
      <c r="AB43" s="68">
        <v>2.9</v>
      </c>
      <c r="AC43" s="68">
        <f t="shared" si="42"/>
        <v>-9.2929999999999993</v>
      </c>
      <c r="AD43" s="68">
        <f t="shared" si="42"/>
        <v>-1.925</v>
      </c>
      <c r="AE43" s="68">
        <f t="shared" ref="AE43" si="47">AE23</f>
        <v>-1.873</v>
      </c>
    </row>
    <row r="44" spans="1:38" ht="15.75" customHeight="1">
      <c r="A44" s="21"/>
      <c r="B44" s="17" t="s">
        <v>266</v>
      </c>
      <c r="C44" s="17" t="s">
        <v>661</v>
      </c>
      <c r="D44" s="68">
        <v>0.2</v>
      </c>
      <c r="E44" s="68">
        <v>1.7</v>
      </c>
      <c r="F44" s="68">
        <v>-0.7</v>
      </c>
      <c r="G44" s="68">
        <v>-2</v>
      </c>
      <c r="H44" s="68">
        <v>-0.8</v>
      </c>
      <c r="I44" s="68">
        <v>0</v>
      </c>
      <c r="J44" s="68">
        <v>0.4</v>
      </c>
      <c r="K44" s="68">
        <v>-0.7</v>
      </c>
      <c r="L44" s="68">
        <v>-1.6</v>
      </c>
      <c r="M44" s="68">
        <v>-1.9</v>
      </c>
      <c r="N44" s="68">
        <v>0.35399999999999998</v>
      </c>
      <c r="O44" s="68">
        <v>0.876</v>
      </c>
      <c r="P44" s="68">
        <v>0.63</v>
      </c>
      <c r="Q44" s="68">
        <v>1.5860000000000001</v>
      </c>
      <c r="R44" s="68">
        <v>3.4459999999999997</v>
      </c>
      <c r="S44" s="68">
        <v>1</v>
      </c>
      <c r="T44" s="68">
        <v>0.5</v>
      </c>
      <c r="U44" s="68">
        <v>-0.6</v>
      </c>
      <c r="V44" s="68">
        <v>-0.6</v>
      </c>
      <c r="W44" s="68">
        <v>0</v>
      </c>
      <c r="X44" s="68">
        <v>0</v>
      </c>
      <c r="Y44" s="68">
        <v>0</v>
      </c>
      <c r="Z44" s="68">
        <v>0</v>
      </c>
      <c r="AA44" s="68">
        <v>0</v>
      </c>
      <c r="AB44" s="68">
        <v>0.1</v>
      </c>
      <c r="AC44" s="68">
        <f t="shared" si="42"/>
        <v>-0.14099999999999999</v>
      </c>
      <c r="AD44" s="68">
        <f t="shared" si="42"/>
        <v>0.121</v>
      </c>
      <c r="AE44" s="68">
        <f t="shared" ref="AE44" si="48">AE24</f>
        <v>-0.20799999999999999</v>
      </c>
    </row>
    <row r="45" spans="1:38">
      <c r="A45" s="21"/>
      <c r="B45" s="57" t="s">
        <v>264</v>
      </c>
      <c r="C45" s="57" t="s">
        <v>264</v>
      </c>
      <c r="D45" s="59">
        <f t="shared" ref="D45:G45" si="49">SUM(D37:D44)</f>
        <v>64.447100000000006</v>
      </c>
      <c r="E45" s="59">
        <f t="shared" si="49"/>
        <v>-65.103619999999978</v>
      </c>
      <c r="F45" s="59">
        <f t="shared" si="49"/>
        <v>74.499999999999986</v>
      </c>
      <c r="G45" s="59">
        <f t="shared" si="49"/>
        <v>50.443826594255292</v>
      </c>
      <c r="H45" s="59">
        <f>SUM(H37:H44)</f>
        <v>202.46957397656962</v>
      </c>
      <c r="I45" s="59">
        <f t="shared" ref="I45:AB45" si="50">SUM(I37:I44)</f>
        <v>60.985584242211402</v>
      </c>
      <c r="J45" s="59">
        <f t="shared" si="50"/>
        <v>75.51803816758212</v>
      </c>
      <c r="K45" s="59">
        <f t="shared" si="50"/>
        <v>59.1562124964912</v>
      </c>
      <c r="L45" s="59">
        <f t="shared" si="50"/>
        <v>-50.800000000000004</v>
      </c>
      <c r="M45" s="59">
        <f t="shared" si="50"/>
        <v>144.85983490628468</v>
      </c>
      <c r="N45" s="59">
        <f t="shared" si="50"/>
        <v>102.88</v>
      </c>
      <c r="O45" s="59">
        <f t="shared" si="50"/>
        <v>137.946</v>
      </c>
      <c r="P45" s="59">
        <f t="shared" si="50"/>
        <v>143.29164000000011</v>
      </c>
      <c r="Q45" s="59">
        <f t="shared" si="50"/>
        <v>145.18200000000002</v>
      </c>
      <c r="R45" s="59">
        <f t="shared" si="50"/>
        <v>529.29964000000007</v>
      </c>
      <c r="S45" s="59">
        <f t="shared" si="50"/>
        <v>143.68700000000001</v>
      </c>
      <c r="T45" s="59">
        <f t="shared" si="50"/>
        <v>134.92200000000003</v>
      </c>
      <c r="U45" s="59">
        <f t="shared" si="50"/>
        <v>141.09199999999998</v>
      </c>
      <c r="V45" s="59">
        <f t="shared" si="50"/>
        <v>147.26299999999998</v>
      </c>
      <c r="W45" s="59">
        <f t="shared" si="50"/>
        <v>116.33900000000001</v>
      </c>
      <c r="X45" s="59">
        <f t="shared" si="50"/>
        <v>129.22600020000002</v>
      </c>
      <c r="Y45" s="59">
        <f t="shared" si="50"/>
        <v>133.33840999999993</v>
      </c>
      <c r="Z45" s="59">
        <f t="shared" si="50"/>
        <v>108.35241000000015</v>
      </c>
      <c r="AA45" s="59">
        <f t="shared" si="50"/>
        <v>104.322</v>
      </c>
      <c r="AB45" s="59">
        <f t="shared" si="50"/>
        <v>91.700000000000017</v>
      </c>
      <c r="AC45" s="59">
        <f t="shared" si="42"/>
        <v>115.23900000000002</v>
      </c>
      <c r="AD45" s="59">
        <f t="shared" si="42"/>
        <v>120.77600000000001</v>
      </c>
      <c r="AE45" s="59">
        <f t="shared" ref="AE45" si="51">AE25</f>
        <v>114.33800000000001</v>
      </c>
    </row>
    <row r="46" spans="1:38">
      <c r="A46" s="21"/>
    </row>
    <row r="47" spans="1:38">
      <c r="A47" s="21"/>
      <c r="B47" s="110" t="s">
        <v>299</v>
      </c>
      <c r="C47" s="110" t="s">
        <v>684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</row>
    <row r="48" spans="1:38">
      <c r="A48" s="21"/>
      <c r="B48" s="57" t="s">
        <v>251</v>
      </c>
      <c r="C48" s="57" t="s">
        <v>469</v>
      </c>
      <c r="D48" s="59">
        <v>136.73684351376696</v>
      </c>
      <c r="E48" s="59">
        <v>47.022210423022308</v>
      </c>
      <c r="F48" s="59">
        <v>106.0653841707251</v>
      </c>
      <c r="G48" s="59">
        <v>128.97375279537499</v>
      </c>
      <c r="H48" s="59">
        <v>489.93294634436222</v>
      </c>
      <c r="I48" s="59">
        <v>104.1135124388346</v>
      </c>
      <c r="J48" s="59">
        <v>115.92230007602869</v>
      </c>
      <c r="K48" s="59">
        <v>153.95101563070003</v>
      </c>
      <c r="L48" s="59">
        <v>136.93983140577492</v>
      </c>
      <c r="M48" s="59">
        <f>SUM(I48:L48)</f>
        <v>510.92665955133828</v>
      </c>
      <c r="N48" s="59">
        <v>132.2987236990059</v>
      </c>
      <c r="O48" s="59">
        <v>147.42868947289986</v>
      </c>
      <c r="P48" s="59">
        <v>186.16796849424728</v>
      </c>
      <c r="Q48" s="59">
        <v>171.39458563500736</v>
      </c>
      <c r="R48" s="59">
        <f>SUM(N48:Q48)</f>
        <v>637.28996730116046</v>
      </c>
      <c r="S48" s="59">
        <v>173.11832018021983</v>
      </c>
      <c r="T48" s="59">
        <v>169.57386312565185</v>
      </c>
      <c r="U48" s="59">
        <v>194.31777584495001</v>
      </c>
      <c r="V48" s="59">
        <v>210.22984630113547</v>
      </c>
      <c r="W48" s="59">
        <v>194.14239863829468</v>
      </c>
      <c r="X48" s="59">
        <v>202.43335961838631</v>
      </c>
      <c r="Y48" s="59">
        <v>224.62698528136596</v>
      </c>
      <c r="Z48" s="59">
        <v>224.99053264360811</v>
      </c>
      <c r="AA48" s="59">
        <v>244.29398909903614</v>
      </c>
      <c r="AB48" s="59">
        <v>226.42799428879928</v>
      </c>
      <c r="AC48" s="59">
        <v>263.03365023310971</v>
      </c>
      <c r="AD48" s="59">
        <v>260.22960696880074</v>
      </c>
      <c r="AE48" s="59">
        <v>248.56819000000004</v>
      </c>
    </row>
    <row r="49" spans="1:31">
      <c r="A49" s="21"/>
      <c r="B49" s="28" t="s">
        <v>270</v>
      </c>
      <c r="C49" s="28" t="s">
        <v>665</v>
      </c>
      <c r="D49" s="67">
        <f t="shared" ref="D49:AB49" si="52">D48/D9</f>
        <v>0.29488212963935079</v>
      </c>
      <c r="E49" s="67">
        <f t="shared" si="52"/>
        <v>0.11341584761944598</v>
      </c>
      <c r="F49" s="67">
        <f t="shared" si="52"/>
        <v>0.2031514732249092</v>
      </c>
      <c r="G49" s="67">
        <f t="shared" si="52"/>
        <v>0.23941665638643955</v>
      </c>
      <c r="H49" s="67">
        <f t="shared" si="52"/>
        <v>0.25266615773671203</v>
      </c>
      <c r="I49" s="67">
        <f t="shared" si="52"/>
        <v>0.21260672337928244</v>
      </c>
      <c r="J49" s="67">
        <f t="shared" si="52"/>
        <v>0.21422614462761935</v>
      </c>
      <c r="K49" s="67">
        <f t="shared" si="52"/>
        <v>0.2638741085085341</v>
      </c>
      <c r="L49" s="67">
        <f t="shared" si="52"/>
        <v>0.23460652973406701</v>
      </c>
      <c r="M49" s="67">
        <f t="shared" si="52"/>
        <v>0.23245629769467596</v>
      </c>
      <c r="N49" s="67">
        <f t="shared" si="52"/>
        <v>0.22821929221839898</v>
      </c>
      <c r="O49" s="67">
        <f t="shared" si="52"/>
        <v>0.24506139384024883</v>
      </c>
      <c r="P49" s="67">
        <f t="shared" si="52"/>
        <v>0.27901702041018556</v>
      </c>
      <c r="Q49" s="67">
        <f t="shared" si="52"/>
        <v>0.29125310020172102</v>
      </c>
      <c r="R49" s="67">
        <f t="shared" si="52"/>
        <v>0.26150593652078802</v>
      </c>
      <c r="S49" s="67">
        <f t="shared" si="52"/>
        <v>0.32708329667381442</v>
      </c>
      <c r="T49" s="67">
        <f t="shared" si="52"/>
        <v>0.31734248913767571</v>
      </c>
      <c r="U49" s="67">
        <f t="shared" si="52"/>
        <v>0.34798467761971963</v>
      </c>
      <c r="V49" s="67">
        <f t="shared" si="52"/>
        <v>0.33187234405814275</v>
      </c>
      <c r="W49" s="67">
        <f t="shared" si="52"/>
        <v>0.40085645749659765</v>
      </c>
      <c r="X49" s="67">
        <f t="shared" si="52"/>
        <v>0.39068259687464185</v>
      </c>
      <c r="Y49" s="67">
        <f t="shared" si="52"/>
        <v>0.38748899908636375</v>
      </c>
      <c r="Z49" s="67">
        <f t="shared" si="52"/>
        <v>0.38187515830428093</v>
      </c>
      <c r="AA49" s="67">
        <f t="shared" si="52"/>
        <v>0.48793173444802013</v>
      </c>
      <c r="AB49" s="67">
        <f t="shared" si="52"/>
        <v>0.46200495904636418</v>
      </c>
      <c r="AC49" s="67">
        <f>AC48/AC9</f>
        <v>0.48673907101712266</v>
      </c>
      <c r="AD49" s="67">
        <f>AD48/AD9</f>
        <v>0.48971276549398973</v>
      </c>
      <c r="AE49" s="67">
        <f>AE48/AE9</f>
        <v>0.55610610493150048</v>
      </c>
    </row>
    <row r="50" spans="1:31">
      <c r="A50" s="21"/>
      <c r="B50" s="57" t="s">
        <v>252</v>
      </c>
      <c r="C50" s="57" t="s">
        <v>648</v>
      </c>
      <c r="D50" s="59">
        <v>56.746125722604987</v>
      </c>
      <c r="E50" s="59">
        <v>4.7728996333400993</v>
      </c>
      <c r="F50" s="59">
        <v>61.495796142342037</v>
      </c>
      <c r="G50" s="59">
        <v>45.071737185158348</v>
      </c>
      <c r="H50" s="59">
        <f>SUM(D50:G50)</f>
        <v>168.08655868344547</v>
      </c>
      <c r="I50" s="59">
        <v>21.8946867892646</v>
      </c>
      <c r="J50" s="59">
        <v>15.6878828177387</v>
      </c>
      <c r="K50" s="59">
        <v>43.493634997560022</v>
      </c>
      <c r="L50" s="59">
        <v>43.854977023974911</v>
      </c>
      <c r="M50" s="59">
        <f>SUM(I50:L50)</f>
        <v>124.93118162853823</v>
      </c>
      <c r="N50" s="59">
        <v>37.379305871554962</v>
      </c>
      <c r="O50" s="59">
        <v>46.994836110599884</v>
      </c>
      <c r="P50" s="59">
        <v>61.907658536047293</v>
      </c>
      <c r="Q50" s="59">
        <v>73.063821463407336</v>
      </c>
      <c r="R50" s="59">
        <f>SUM(N50:Q50)</f>
        <v>219.3456219816095</v>
      </c>
      <c r="S50" s="59">
        <v>57.546680812819829</v>
      </c>
      <c r="T50" s="59">
        <v>54.511109346951876</v>
      </c>
      <c r="U50" s="59">
        <v>73.195603729350069</v>
      </c>
      <c r="V50" s="59">
        <v>66.833718220935424</v>
      </c>
      <c r="W50" s="59">
        <v>60.835472923005611</v>
      </c>
      <c r="X50" s="59">
        <v>69.525799146553766</v>
      </c>
      <c r="Y50" s="59">
        <v>71.69175901726399</v>
      </c>
      <c r="Z50" s="59">
        <v>60.969711135991211</v>
      </c>
      <c r="AA50" s="59">
        <v>76.334837848911505</v>
      </c>
      <c r="AB50" s="59">
        <v>62.894218744646167</v>
      </c>
      <c r="AC50" s="59">
        <v>85.659025135640775</v>
      </c>
      <c r="AD50" s="59">
        <v>85.56995694422092</v>
      </c>
      <c r="AE50" s="59">
        <v>84.468491679999971</v>
      </c>
    </row>
    <row r="51" spans="1:31">
      <c r="A51" s="21"/>
      <c r="B51" s="63" t="s">
        <v>253</v>
      </c>
      <c r="C51" s="63" t="s">
        <v>649</v>
      </c>
      <c r="D51" s="67">
        <f t="shared" ref="D51:AA51" si="53">D50/D48</f>
        <v>0.41500245482039128</v>
      </c>
      <c r="E51" s="67">
        <f t="shared" si="53"/>
        <v>0.10150308950604466</v>
      </c>
      <c r="F51" s="67">
        <f t="shared" si="53"/>
        <v>0.57979138644665729</v>
      </c>
      <c r="G51" s="67">
        <f t="shared" si="53"/>
        <v>0.34946441588520344</v>
      </c>
      <c r="H51" s="67">
        <f t="shared" si="53"/>
        <v>0.34308074183951986</v>
      </c>
      <c r="I51" s="67">
        <f t="shared" si="53"/>
        <v>0.21029630329807053</v>
      </c>
      <c r="J51" s="67">
        <f t="shared" si="53"/>
        <v>0.135331017478515</v>
      </c>
      <c r="K51" s="67">
        <f t="shared" si="53"/>
        <v>0.28251606408296259</v>
      </c>
      <c r="L51" s="67">
        <f t="shared" si="53"/>
        <v>0.32024997090894253</v>
      </c>
      <c r="M51" s="67">
        <f t="shared" si="53"/>
        <v>0.24451881555416283</v>
      </c>
      <c r="N51" s="67">
        <f t="shared" si="53"/>
        <v>0.28253716155718162</v>
      </c>
      <c r="O51" s="67">
        <f t="shared" si="53"/>
        <v>0.31876316800088228</v>
      </c>
      <c r="P51" s="67">
        <f t="shared" si="53"/>
        <v>0.33253657456094698</v>
      </c>
      <c r="Q51" s="67">
        <f t="shared" si="53"/>
        <v>0.42629013742009386</v>
      </c>
      <c r="R51" s="67">
        <f t="shared" si="53"/>
        <v>0.34418496012185706</v>
      </c>
      <c r="S51" s="67">
        <f t="shared" si="53"/>
        <v>0.33241242609628213</v>
      </c>
      <c r="T51" s="67">
        <f t="shared" si="53"/>
        <v>0.32145938260874501</v>
      </c>
      <c r="U51" s="67">
        <f t="shared" si="53"/>
        <v>0.37667991726991712</v>
      </c>
      <c r="V51" s="67">
        <f t="shared" si="53"/>
        <v>0.31790784894168689</v>
      </c>
      <c r="W51" s="67">
        <f t="shared" si="53"/>
        <v>0.31335490521237325</v>
      </c>
      <c r="X51" s="67">
        <f t="shared" si="53"/>
        <v>0.3434503052146104</v>
      </c>
      <c r="Y51" s="67">
        <f t="shared" si="53"/>
        <v>0.31915915591113625</v>
      </c>
      <c r="Z51" s="67">
        <f t="shared" si="53"/>
        <v>0.27098789633326081</v>
      </c>
      <c r="AA51" s="67">
        <f t="shared" si="53"/>
        <v>0.3124712078689974</v>
      </c>
      <c r="AB51" s="67">
        <f>AB50/AB48</f>
        <v>0.27776697374454179</v>
      </c>
      <c r="AC51" s="67">
        <f>AC50/AC48</f>
        <v>0.32565804816123989</v>
      </c>
      <c r="AD51" s="67">
        <f>AD50/AD48</f>
        <v>0.32882483258132889</v>
      </c>
      <c r="AE51" s="67">
        <f>AE50/AE48</f>
        <v>0.33982019855396606</v>
      </c>
    </row>
    <row r="52" spans="1:31">
      <c r="A52" s="21"/>
      <c r="B52" s="6" t="s">
        <v>271</v>
      </c>
      <c r="C52" s="6" t="s">
        <v>666</v>
      </c>
      <c r="D52" s="67">
        <f t="shared" ref="D52:AA52" si="54">D50/D10</f>
        <v>0.9426266731329731</v>
      </c>
      <c r="E52" s="67">
        <f t="shared" si="54"/>
        <v>0.27273712190514854</v>
      </c>
      <c r="F52" s="67">
        <f t="shared" si="54"/>
        <v>0.82544692808512798</v>
      </c>
      <c r="G52" s="67">
        <f t="shared" si="54"/>
        <v>0.89410524475357689</v>
      </c>
      <c r="H52" s="67">
        <f t="shared" si="54"/>
        <v>0.83015569698093539</v>
      </c>
      <c r="I52" s="67">
        <f t="shared" si="54"/>
        <v>0.35901413524722964</v>
      </c>
      <c r="J52" s="67">
        <f t="shared" si="54"/>
        <v>0.21373137353867436</v>
      </c>
      <c r="K52" s="67">
        <f t="shared" si="54"/>
        <v>0.44155974616812205</v>
      </c>
      <c r="L52" s="67">
        <f t="shared" si="54"/>
        <v>0.43163625615354417</v>
      </c>
      <c r="M52" s="67">
        <f t="shared" si="54"/>
        <v>0.37350054200974192</v>
      </c>
      <c r="N52" s="67">
        <f t="shared" si="54"/>
        <v>0.36310433433772005</v>
      </c>
      <c r="O52" s="67">
        <f t="shared" si="54"/>
        <v>0.34067740240921662</v>
      </c>
      <c r="P52" s="67">
        <f t="shared" si="54"/>
        <v>0.4601750061471806</v>
      </c>
      <c r="Q52" s="67">
        <f t="shared" si="54"/>
        <v>0.52768688438926992</v>
      </c>
      <c r="R52" s="67">
        <f t="shared" si="54"/>
        <v>0.42684192434904666</v>
      </c>
      <c r="S52" s="67">
        <f t="shared" si="54"/>
        <v>0.38574431095685607</v>
      </c>
      <c r="T52" s="67">
        <f t="shared" si="54"/>
        <v>0.40412651379617637</v>
      </c>
      <c r="U52" s="67">
        <f t="shared" si="54"/>
        <v>0.57849762609174582</v>
      </c>
      <c r="V52" s="67">
        <f t="shared" si="54"/>
        <v>0.45437389417885887</v>
      </c>
      <c r="W52" s="67">
        <f t="shared" si="54"/>
        <v>0.52291555646004872</v>
      </c>
      <c r="X52" s="67">
        <f t="shared" si="54"/>
        <v>0.53795643745153687</v>
      </c>
      <c r="Y52" s="67">
        <f t="shared" si="54"/>
        <v>0.5422406478487739</v>
      </c>
      <c r="Z52" s="67">
        <f t="shared" si="54"/>
        <v>0.55675314804938314</v>
      </c>
      <c r="AA52" s="67">
        <f t="shared" si="54"/>
        <v>0.73172464744341781</v>
      </c>
      <c r="AB52" s="67">
        <f>AB50/AB10</f>
        <v>0.68557335763813843</v>
      </c>
      <c r="AC52" s="88">
        <f>AC50/AC10</f>
        <v>0.7433162829913551</v>
      </c>
      <c r="AD52" s="88">
        <f>AD50/AD10</f>
        <v>0.70850133258446146</v>
      </c>
      <c r="AE52" s="88">
        <f>AE50/AE10</f>
        <v>0.73876131889660457</v>
      </c>
    </row>
    <row r="53" spans="1:31">
      <c r="A53" s="21"/>
      <c r="B53" s="57" t="s">
        <v>289</v>
      </c>
      <c r="C53" s="57" t="s">
        <v>289</v>
      </c>
      <c r="D53" s="59">
        <f t="shared" ref="D53:AA53" si="55">D48-D50</f>
        <v>79.99071779116197</v>
      </c>
      <c r="E53" s="59">
        <f t="shared" si="55"/>
        <v>42.249310789682212</v>
      </c>
      <c r="F53" s="59">
        <f t="shared" si="55"/>
        <v>44.569588028383059</v>
      </c>
      <c r="G53" s="59">
        <f t="shared" si="55"/>
        <v>83.902015610216637</v>
      </c>
      <c r="H53" s="59">
        <f t="shared" si="55"/>
        <v>321.84638766091678</v>
      </c>
      <c r="I53" s="59">
        <f t="shared" si="55"/>
        <v>82.218825649570007</v>
      </c>
      <c r="J53" s="59">
        <f t="shared" si="55"/>
        <v>100.23441725828999</v>
      </c>
      <c r="K53" s="59">
        <f t="shared" si="55"/>
        <v>110.45738063314</v>
      </c>
      <c r="L53" s="59">
        <f t="shared" si="55"/>
        <v>93.084854381800014</v>
      </c>
      <c r="M53" s="59">
        <f t="shared" si="55"/>
        <v>385.99547792280003</v>
      </c>
      <c r="N53" s="59">
        <f t="shared" si="55"/>
        <v>94.919417827450943</v>
      </c>
      <c r="O53" s="59">
        <f t="shared" si="55"/>
        <v>100.43385336229997</v>
      </c>
      <c r="P53" s="59">
        <f t="shared" si="55"/>
        <v>124.26030995819998</v>
      </c>
      <c r="Q53" s="59">
        <f t="shared" si="55"/>
        <v>98.330764171600023</v>
      </c>
      <c r="R53" s="59">
        <f t="shared" si="55"/>
        <v>417.94434531955096</v>
      </c>
      <c r="S53" s="59">
        <f t="shared" si="55"/>
        <v>115.5716393674</v>
      </c>
      <c r="T53" s="59">
        <f t="shared" si="55"/>
        <v>115.06275377869997</v>
      </c>
      <c r="U53" s="59">
        <f t="shared" si="55"/>
        <v>121.12217211559994</v>
      </c>
      <c r="V53" s="59">
        <f t="shared" si="55"/>
        <v>143.39612808020004</v>
      </c>
      <c r="W53" s="59">
        <f t="shared" si="55"/>
        <v>133.30692571528908</v>
      </c>
      <c r="X53" s="59">
        <f t="shared" si="55"/>
        <v>132.90756047183254</v>
      </c>
      <c r="Y53" s="59">
        <f t="shared" si="55"/>
        <v>152.93522626410197</v>
      </c>
      <c r="Z53" s="59">
        <f t="shared" si="55"/>
        <v>164.02082150761689</v>
      </c>
      <c r="AA53" s="59">
        <f t="shared" si="55"/>
        <v>167.95915125012465</v>
      </c>
      <c r="AB53" s="59">
        <f>AB48-AB50</f>
        <v>163.53377554415312</v>
      </c>
      <c r="AC53" s="59">
        <f>AC48-AC50</f>
        <v>177.37462509746894</v>
      </c>
      <c r="AD53" s="59">
        <f>AD48-AD50</f>
        <v>174.65965002457983</v>
      </c>
      <c r="AE53" s="59">
        <f>AE48-AE50</f>
        <v>164.09969832000007</v>
      </c>
    </row>
    <row r="54" spans="1:31">
      <c r="A54" s="21"/>
      <c r="B54" s="6" t="s">
        <v>292</v>
      </c>
      <c r="C54" s="6" t="s">
        <v>679</v>
      </c>
      <c r="D54" s="67">
        <f t="shared" ref="D54:AA54" si="56">D53/D14</f>
        <v>0.19824217544278058</v>
      </c>
      <c r="E54" s="67">
        <f t="shared" si="56"/>
        <v>0.10639463810043367</v>
      </c>
      <c r="F54" s="67">
        <f t="shared" si="56"/>
        <v>9.957459345036429E-2</v>
      </c>
      <c r="G54" s="67">
        <f t="shared" si="56"/>
        <v>0.17182820622151365</v>
      </c>
      <c r="H54" s="67">
        <f t="shared" si="56"/>
        <v>0.18533383137910331</v>
      </c>
      <c r="I54" s="67">
        <f t="shared" si="56"/>
        <v>0.19177994167572218</v>
      </c>
      <c r="J54" s="67">
        <f t="shared" si="56"/>
        <v>0.21430378960279789</v>
      </c>
      <c r="K54" s="67">
        <f t="shared" si="56"/>
        <v>0.22778193091964546</v>
      </c>
      <c r="L54" s="67">
        <f t="shared" si="56"/>
        <v>0.19308272651145203</v>
      </c>
      <c r="M54" s="67">
        <f t="shared" si="56"/>
        <v>0.20713914078545695</v>
      </c>
      <c r="N54" s="67">
        <f t="shared" si="56"/>
        <v>0.19909421026750376</v>
      </c>
      <c r="O54" s="67">
        <f t="shared" si="56"/>
        <v>0.21661392278333824</v>
      </c>
      <c r="P54" s="67">
        <f t="shared" si="56"/>
        <v>0.23326625895606837</v>
      </c>
      <c r="Q54" s="67">
        <f t="shared" si="56"/>
        <v>0.21850676872250022</v>
      </c>
      <c r="R54" s="67">
        <f t="shared" si="56"/>
        <v>0.21732621631889504</v>
      </c>
      <c r="S54" s="67">
        <f t="shared" si="56"/>
        <v>0.30405946650936494</v>
      </c>
      <c r="T54" s="67">
        <f t="shared" si="56"/>
        <v>0.2880387146549368</v>
      </c>
      <c r="U54" s="67">
        <f t="shared" si="56"/>
        <v>0.28045204219206393</v>
      </c>
      <c r="V54" s="67">
        <f t="shared" si="56"/>
        <v>0.29482548197125724</v>
      </c>
      <c r="W54" s="67">
        <f t="shared" si="56"/>
        <v>0.36226676915943551</v>
      </c>
      <c r="X54" s="67">
        <f t="shared" si="56"/>
        <v>0.34174161541277487</v>
      </c>
      <c r="Y54" s="67">
        <f t="shared" si="56"/>
        <v>0.34176608662329938</v>
      </c>
      <c r="Z54" s="67">
        <f t="shared" si="56"/>
        <v>0.34194970472496922</v>
      </c>
      <c r="AA54" s="67">
        <f t="shared" si="56"/>
        <v>0.42376401772123401</v>
      </c>
      <c r="AB54" s="67">
        <f>AB53/AB14</f>
        <v>0.41051855728276637</v>
      </c>
      <c r="AC54" s="88">
        <f>AC53/AC14</f>
        <v>0.41719430593103218</v>
      </c>
      <c r="AD54" s="88">
        <f>AD53/AD14</f>
        <v>0.42535972808078698</v>
      </c>
      <c r="AE54" s="88">
        <f>AE53/AE14</f>
        <v>0.49332255673588116</v>
      </c>
    </row>
    <row r="55" spans="1:31">
      <c r="A55" s="21"/>
      <c r="B55" s="5" t="s">
        <v>272</v>
      </c>
      <c r="C55" s="5" t="s">
        <v>667</v>
      </c>
    </row>
    <row r="56" spans="1:31">
      <c r="A56" s="21"/>
      <c r="B56" s="72" t="s">
        <v>293</v>
      </c>
      <c r="C56" s="72" t="s">
        <v>671</v>
      </c>
      <c r="D56" s="58">
        <v>5.5572700000000008</v>
      </c>
      <c r="E56" s="58">
        <v>0.92371999999999999</v>
      </c>
      <c r="F56" s="58">
        <v>3.1302300000000001</v>
      </c>
      <c r="G56" s="58">
        <v>4.6612800000000005</v>
      </c>
      <c r="H56" s="68">
        <f>SUM(D56:G56)</f>
        <v>14.272500000000001</v>
      </c>
      <c r="I56" s="58">
        <v>3.5560399999999999</v>
      </c>
      <c r="J56" s="58">
        <v>4.4023500000000002</v>
      </c>
      <c r="K56" s="58">
        <v>5.71251</v>
      </c>
      <c r="L56" s="58">
        <v>6.1807100000000004</v>
      </c>
      <c r="M56" s="68">
        <f>SUM(I56:L56)</f>
        <v>19.851610000000001</v>
      </c>
      <c r="N56" s="58">
        <v>5.8184199999999997</v>
      </c>
      <c r="O56" s="58">
        <v>6.2891100000000009</v>
      </c>
      <c r="P56" s="58">
        <v>7.3682400000000001</v>
      </c>
      <c r="Q56" s="58">
        <v>6.9038700000000004</v>
      </c>
      <c r="R56" s="68">
        <f>SUM(N56:Q56)</f>
        <v>26.379640000000002</v>
      </c>
      <c r="S56" s="58">
        <v>7.3145300000000004</v>
      </c>
      <c r="T56" s="58">
        <v>7.0133400000000004</v>
      </c>
      <c r="U56" s="58">
        <v>7.46638</v>
      </c>
      <c r="V56" s="58">
        <v>7.09185</v>
      </c>
      <c r="W56" s="58">
        <v>7.2570500000000004</v>
      </c>
      <c r="X56" s="58">
        <v>7.5084500000000007</v>
      </c>
      <c r="Y56" s="58">
        <v>8.3063099999999999</v>
      </c>
      <c r="Z56" s="58">
        <v>7.7929799999999991</v>
      </c>
      <c r="AA56" s="58">
        <v>7.7368399999999999</v>
      </c>
      <c r="AB56" s="58">
        <v>6.8036300000000001</v>
      </c>
      <c r="AC56" s="58">
        <v>8.1724099999999993</v>
      </c>
      <c r="AD56" s="58">
        <v>8.7717700000000001</v>
      </c>
      <c r="AE56" s="58">
        <v>8.0892800000000005</v>
      </c>
    </row>
    <row r="57" spans="1:31">
      <c r="A57" s="21"/>
    </row>
    <row r="58" spans="1:31">
      <c r="A58" s="21"/>
      <c r="B58" s="112" t="s">
        <v>300</v>
      </c>
      <c r="C58" s="112" t="s">
        <v>685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</row>
    <row r="59" spans="1:31">
      <c r="A59" s="21"/>
      <c r="B59" s="57" t="s">
        <v>251</v>
      </c>
      <c r="C59" s="57" t="s">
        <v>469</v>
      </c>
      <c r="D59" s="59">
        <v>103.5686059679192</v>
      </c>
      <c r="E59" s="59">
        <v>101.28736867747538</v>
      </c>
      <c r="F59" s="59">
        <v>118.30701029050228</v>
      </c>
      <c r="G59" s="59">
        <v>127.96559388982848</v>
      </c>
      <c r="H59" s="59">
        <f>SUM(D59:G59)</f>
        <v>451.12857882572536</v>
      </c>
      <c r="I59" s="59">
        <v>130.54705541418474</v>
      </c>
      <c r="J59" s="59">
        <v>149.94171731607676</v>
      </c>
      <c r="K59" s="59">
        <v>147.79030839090851</v>
      </c>
      <c r="L59" s="59">
        <v>165.38632536583961</v>
      </c>
      <c r="M59" s="59">
        <f>SUM(I59:L59)</f>
        <v>593.6654064870097</v>
      </c>
      <c r="N59" s="59">
        <v>159.16643854025017</v>
      </c>
      <c r="O59" s="59">
        <v>160.55479360130411</v>
      </c>
      <c r="P59" s="59">
        <v>178.3615081429617</v>
      </c>
      <c r="Q59" s="59">
        <v>186.20365546818445</v>
      </c>
      <c r="R59" s="59">
        <f>SUM(N59:Q59)</f>
        <v>684.28639575270051</v>
      </c>
      <c r="S59" s="59">
        <v>200.38002946426815</v>
      </c>
      <c r="T59" s="59">
        <v>199.93003111693153</v>
      </c>
      <c r="U59" s="59">
        <v>223.86913127806596</v>
      </c>
      <c r="V59" s="59">
        <v>267.51960342568879</v>
      </c>
      <c r="W59" s="59">
        <v>191.32414459390787</v>
      </c>
      <c r="X59" s="59">
        <v>204.68213501582014</v>
      </c>
      <c r="Y59" s="59">
        <v>201.00376157750119</v>
      </c>
      <c r="Z59" s="59">
        <v>190.53631244049882</v>
      </c>
      <c r="AA59" s="59">
        <v>131.42212532596878</v>
      </c>
      <c r="AB59" s="59">
        <v>111.05929451955612</v>
      </c>
      <c r="AC59" s="59">
        <v>120.45129944630312</v>
      </c>
      <c r="AD59" s="59">
        <v>121.10858828318749</v>
      </c>
      <c r="AE59" s="59">
        <v>90.032230000000013</v>
      </c>
    </row>
    <row r="60" spans="1:31">
      <c r="A60" s="21"/>
      <c r="B60" s="28" t="s">
        <v>270</v>
      </c>
      <c r="C60" s="28" t="s">
        <v>665</v>
      </c>
      <c r="D60" s="67">
        <f>D59/D9</f>
        <v>0.2233526115331447</v>
      </c>
      <c r="E60" s="67">
        <f>E59/E9</f>
        <v>0.24430141986848861</v>
      </c>
      <c r="F60" s="67">
        <f>F59/F9</f>
        <v>0.22659837251580592</v>
      </c>
      <c r="G60" s="67">
        <f>G59/G9</f>
        <v>0.23754519006836547</v>
      </c>
      <c r="H60" s="67">
        <f>H59/H9</f>
        <v>0.23265413258613998</v>
      </c>
      <c r="I60" s="67">
        <v>0.26658624117149482</v>
      </c>
      <c r="J60" s="67">
        <v>0.27709311705832418</v>
      </c>
      <c r="K60" s="67">
        <v>0.2533146446164552</v>
      </c>
      <c r="L60" s="67">
        <v>0.28334036205429969</v>
      </c>
      <c r="M60" s="67">
        <v>0.27009946427451248</v>
      </c>
      <c r="N60" s="67">
        <f>N59/N9</f>
        <v>0.27456691140288109</v>
      </c>
      <c r="O60" s="67">
        <f>O59/O9</f>
        <v>0.26688008723635526</v>
      </c>
      <c r="P60" s="67">
        <f>P59/P9</f>
        <v>0.26731718114791603</v>
      </c>
      <c r="Q60" s="67">
        <f>Q59/Q9</f>
        <v>0.31641834964082372</v>
      </c>
      <c r="R60" s="67">
        <f>R59/R9</f>
        <v>0.28079047835564241</v>
      </c>
      <c r="S60" s="67">
        <v>0.3785889548609071</v>
      </c>
      <c r="T60" s="67">
        <v>0.37378950839794112</v>
      </c>
      <c r="U60" s="67">
        <v>0.4009047818040809</v>
      </c>
      <c r="V60" s="67">
        <v>0.42231028973930729</v>
      </c>
      <c r="W60" s="67">
        <v>0.39500309725376836</v>
      </c>
      <c r="X60" s="67">
        <v>0.39501847356802577</v>
      </c>
      <c r="Y60" s="67">
        <v>0.34673843927678422</v>
      </c>
      <c r="Z60" s="67">
        <v>0.32339805642372366</v>
      </c>
      <c r="AA60" s="67">
        <v>0.26249121134751241</v>
      </c>
      <c r="AB60" s="67">
        <v>0.22660598700765239</v>
      </c>
      <c r="AC60" s="67">
        <f>AC59/AC9</f>
        <v>0.22289297792636162</v>
      </c>
      <c r="AD60" s="67">
        <f>AD59/AD9</f>
        <v>0.22790804775854465</v>
      </c>
      <c r="AE60" s="67">
        <f>AE59/AE9</f>
        <v>0.20142349165272105</v>
      </c>
    </row>
    <row r="61" spans="1:31">
      <c r="A61" s="21"/>
      <c r="B61" s="57" t="s">
        <v>252</v>
      </c>
      <c r="C61" s="57" t="s">
        <v>648</v>
      </c>
      <c r="D61" s="59">
        <v>9.7628562457920882</v>
      </c>
      <c r="E61" s="59">
        <v>12.789866395783667</v>
      </c>
      <c r="F61" s="59">
        <v>16.519682880658298</v>
      </c>
      <c r="G61" s="59">
        <v>9.1849471756616481</v>
      </c>
      <c r="H61" s="59">
        <f>SUM(D61:G61)</f>
        <v>48.257352697895698</v>
      </c>
      <c r="I61" s="59">
        <v>13.248716101069009</v>
      </c>
      <c r="J61" s="59">
        <v>8.9090183358217239</v>
      </c>
      <c r="K61" s="59">
        <v>15.152000861774853</v>
      </c>
      <c r="L61" s="59">
        <v>24.422457509511524</v>
      </c>
      <c r="M61" s="59">
        <f>SUM(I61:L61)</f>
        <v>61.732192808177111</v>
      </c>
      <c r="N61" s="59">
        <v>23.125165692335457</v>
      </c>
      <c r="O61" s="59">
        <v>30.66490286123453</v>
      </c>
      <c r="P61" s="59">
        <v>28.320696920384982</v>
      </c>
      <c r="Q61" s="59">
        <v>35.69778179700603</v>
      </c>
      <c r="R61" s="59">
        <f>SUM(N61:Q61)</f>
        <v>117.808547270961</v>
      </c>
      <c r="S61" s="59">
        <v>43.258655241778087</v>
      </c>
      <c r="T61" s="59">
        <v>42.440151514995769</v>
      </c>
      <c r="U61" s="59">
        <v>48.718851241860108</v>
      </c>
      <c r="V61" s="59">
        <v>56.297299055608342</v>
      </c>
      <c r="W61" s="59">
        <v>41.061036435825194</v>
      </c>
      <c r="X61" s="59">
        <v>39.134777780175583</v>
      </c>
      <c r="Y61" s="59">
        <v>26.508761056987343</v>
      </c>
      <c r="Z61" s="59">
        <v>18.150955101896258</v>
      </c>
      <c r="AA61" s="59">
        <v>6.6577226350642702</v>
      </c>
      <c r="AB61" s="59">
        <v>-2.3357604362974427</v>
      </c>
      <c r="AC61" s="59">
        <v>3.5510583434884264</v>
      </c>
      <c r="AD61" s="59">
        <v>5.6954386607959382</v>
      </c>
      <c r="AE61" s="59">
        <v>10.49498</v>
      </c>
    </row>
    <row r="62" spans="1:31">
      <c r="A62" s="21"/>
      <c r="B62" s="63" t="s">
        <v>253</v>
      </c>
      <c r="C62" s="63" t="s">
        <v>649</v>
      </c>
      <c r="D62" s="67">
        <f t="shared" ref="D62:N62" si="57">IFERROR(D61/D59,"N/A")</f>
        <v>9.4264629272080513E-2</v>
      </c>
      <c r="E62" s="67">
        <f t="shared" si="57"/>
        <v>0.12627306408274697</v>
      </c>
      <c r="F62" s="67">
        <f t="shared" si="57"/>
        <v>0.13963401526329081</v>
      </c>
      <c r="G62" s="67">
        <f t="shared" si="57"/>
        <v>7.1776693222471932E-2</v>
      </c>
      <c r="H62" s="67">
        <f t="shared" si="57"/>
        <v>0.10697028510919923</v>
      </c>
      <c r="I62" s="67">
        <v>0.1014746199945647</v>
      </c>
      <c r="J62" s="67">
        <v>5.9414976687290795E-2</v>
      </c>
      <c r="K62" s="67">
        <v>0.10252392450101511</v>
      </c>
      <c r="L62" s="67">
        <v>0.14766964297042356</v>
      </c>
      <c r="M62" s="67">
        <v>0.10398212049195975</v>
      </c>
      <c r="N62" s="67">
        <f t="shared" si="57"/>
        <v>0.14528920735062839</v>
      </c>
      <c r="O62" s="67">
        <f>IFERROR(O61/O59,"N/A")</f>
        <v>0.19099338097237262</v>
      </c>
      <c r="P62" s="67">
        <f>IFERROR(P61/P59,"N/A")</f>
        <v>0.15878256029145682</v>
      </c>
      <c r="Q62" s="67">
        <f>IFERROR(Q61/Q59,"N/A")</f>
        <v>0.191713646583622</v>
      </c>
      <c r="R62" s="67">
        <f>IFERROR(R61/R59,"N/A")</f>
        <v>0.1721626324915814</v>
      </c>
      <c r="S62" s="67">
        <v>0.21588427006713681</v>
      </c>
      <c r="T62" s="67">
        <v>0.21248072466528184</v>
      </c>
      <c r="U62" s="67">
        <v>0.21761340330045775</v>
      </c>
      <c r="V62" s="67">
        <v>0.21044217251927613</v>
      </c>
      <c r="W62" s="67">
        <v>0.215</v>
      </c>
      <c r="X62" s="67">
        <v>0.19120131969888729</v>
      </c>
      <c r="Y62" s="67">
        <v>0.13188240228764489</v>
      </c>
      <c r="Z62" s="67">
        <v>9.5261498369614103E-2</v>
      </c>
      <c r="AA62" s="67">
        <v>5.0648362507850909E-2</v>
      </c>
      <c r="AB62" s="67">
        <v>-2.103072002207805E-2</v>
      </c>
      <c r="AC62" s="67">
        <f>AC61/AC59</f>
        <v>2.9481278822330006E-2</v>
      </c>
      <c r="AD62" s="67">
        <f>AD61/AD59</f>
        <v>4.7027537365709589E-2</v>
      </c>
      <c r="AE62" s="67">
        <f>AE61/AE59</f>
        <v>0.11656914418314418</v>
      </c>
    </row>
    <row r="63" spans="1:31">
      <c r="A63" s="21"/>
      <c r="B63" s="6" t="s">
        <v>271</v>
      </c>
      <c r="C63" s="6" t="s">
        <v>666</v>
      </c>
      <c r="D63" s="67">
        <f t="shared" ref="D63:AA63" si="58">D61/D10</f>
        <v>0.16217369179056623</v>
      </c>
      <c r="E63" s="67">
        <f t="shared" si="58"/>
        <v>0.73084950833049522</v>
      </c>
      <c r="F63" s="67">
        <f t="shared" si="58"/>
        <v>0.22174070980749394</v>
      </c>
      <c r="G63" s="67">
        <f t="shared" si="58"/>
        <v>0.18220530104723501</v>
      </c>
      <c r="H63" s="67">
        <f t="shared" si="58"/>
        <v>0.23833622734119292</v>
      </c>
      <c r="I63" s="67">
        <f t="shared" si="58"/>
        <v>0.21724340703944359</v>
      </c>
      <c r="J63" s="67">
        <f t="shared" si="58"/>
        <v>0.12137627160520059</v>
      </c>
      <c r="K63" s="67">
        <f t="shared" si="58"/>
        <v>0.15382741991649598</v>
      </c>
      <c r="L63" s="67">
        <f t="shared" si="58"/>
        <v>0.240374498878693</v>
      </c>
      <c r="M63" s="67">
        <f t="shared" si="58"/>
        <v>0.18455766745135063</v>
      </c>
      <c r="N63" s="67">
        <f t="shared" si="58"/>
        <v>0.22463894658768427</v>
      </c>
      <c r="O63" s="67">
        <f t="shared" si="58"/>
        <v>0.22229760366245868</v>
      </c>
      <c r="P63" s="67">
        <f t="shared" si="58"/>
        <v>0.21051477616201733</v>
      </c>
      <c r="Q63" s="67">
        <f t="shared" si="58"/>
        <v>0.2578191350900581</v>
      </c>
      <c r="R63" s="67">
        <f t="shared" si="58"/>
        <v>0.22925293227926244</v>
      </c>
      <c r="S63" s="67">
        <f t="shared" si="58"/>
        <v>0.28996946345935071</v>
      </c>
      <c r="T63" s="67">
        <f t="shared" si="58"/>
        <v>0.3146366067799683</v>
      </c>
      <c r="U63" s="67">
        <f t="shared" si="58"/>
        <v>0.38504689289189953</v>
      </c>
      <c r="V63" s="67">
        <f t="shared" si="58"/>
        <v>0.3827412821637044</v>
      </c>
      <c r="W63" s="67">
        <f t="shared" si="58"/>
        <v>0.35294300652253491</v>
      </c>
      <c r="X63" s="67">
        <f t="shared" si="58"/>
        <v>0.30280566197741232</v>
      </c>
      <c r="Y63" s="67">
        <f t="shared" si="58"/>
        <v>0.20049902480071316</v>
      </c>
      <c r="Z63" s="67">
        <f t="shared" si="58"/>
        <v>0.16574789686215663</v>
      </c>
      <c r="AA63" s="67">
        <f t="shared" si="58"/>
        <v>6.3819088180429431E-2</v>
      </c>
      <c r="AB63" s="67">
        <f>AB61/AB10</f>
        <v>-2.546076820593425E-2</v>
      </c>
      <c r="AC63" s="88">
        <f>AC61/AC10</f>
        <v>3.0814727162578871E-2</v>
      </c>
      <c r="AD63" s="88">
        <f>AD61/AD10</f>
        <v>4.7157039981419638E-2</v>
      </c>
      <c r="AE63" s="88">
        <f>AE61/AE10</f>
        <v>9.1789081495215946E-2</v>
      </c>
    </row>
    <row r="64" spans="1:31">
      <c r="A64" s="21"/>
      <c r="B64" s="57" t="s">
        <v>289</v>
      </c>
      <c r="C64" s="57" t="s">
        <v>289</v>
      </c>
      <c r="D64" s="59">
        <v>94.230264427248855</v>
      </c>
      <c r="E64" s="59">
        <v>88.707844059818825</v>
      </c>
      <c r="F64" s="59">
        <v>101.74965056732613</v>
      </c>
      <c r="G64" s="59">
        <v>118.85726126107167</v>
      </c>
      <c r="H64" s="61">
        <v>139.20464377947098</v>
      </c>
      <c r="I64" s="59">
        <v>117.30004643879477</v>
      </c>
      <c r="J64" s="59">
        <v>141.03221118000005</v>
      </c>
      <c r="K64" s="59">
        <v>132.63830317999998</v>
      </c>
      <c r="L64" s="59">
        <v>140.96331182158315</v>
      </c>
      <c r="M64" s="59">
        <v>531.933872620378</v>
      </c>
      <c r="N64" s="59">
        <v>136.04127284791468</v>
      </c>
      <c r="O64" s="59">
        <v>129.88931156406991</v>
      </c>
      <c r="P64" s="59">
        <v>150.04036875371361</v>
      </c>
      <c r="Q64" s="59">
        <v>150.50470175033519</v>
      </c>
      <c r="R64" s="59">
        <f>SUM(N64:Q64)</f>
        <v>566.47565491603336</v>
      </c>
      <c r="S64" s="59">
        <v>157.1204696862703</v>
      </c>
      <c r="T64" s="59">
        <v>157.29647489882677</v>
      </c>
      <c r="U64" s="59">
        <v>175.15197850652225</v>
      </c>
      <c r="V64" s="59">
        <v>211.22188625695958</v>
      </c>
      <c r="W64" s="59">
        <v>150.30000000000001</v>
      </c>
      <c r="X64" s="59">
        <v>165.54360959605631</v>
      </c>
      <c r="Y64" s="59">
        <v>174.49489967311374</v>
      </c>
      <c r="Z64" s="59">
        <v>172.38723065782781</v>
      </c>
      <c r="AA64" s="59">
        <v>124.76580988090461</v>
      </c>
      <c r="AB64" s="59">
        <v>113.39493430215821</v>
      </c>
      <c r="AC64" s="59">
        <f>AC59-AC61</f>
        <v>116.9002411028147</v>
      </c>
      <c r="AD64" s="59">
        <f>AD59-AD61</f>
        <v>115.41314962239154</v>
      </c>
      <c r="AE64" s="59">
        <f>AE59-AE61</f>
        <v>79.537250000000014</v>
      </c>
    </row>
    <row r="65" spans="1:33">
      <c r="A65" s="21"/>
      <c r="B65" s="6" t="s">
        <v>292</v>
      </c>
      <c r="C65" s="6" t="s">
        <v>679</v>
      </c>
      <c r="D65" s="167">
        <f t="shared" ref="D65:AB65" si="59">D64/D14</f>
        <v>0.23353225384696122</v>
      </c>
      <c r="E65" s="167">
        <f t="shared" si="59"/>
        <v>0.22338918171699526</v>
      </c>
      <c r="F65" s="167">
        <f t="shared" si="59"/>
        <v>0.2273227224471093</v>
      </c>
      <c r="G65" s="167">
        <f t="shared" si="59"/>
        <v>0.24341524873217543</v>
      </c>
      <c r="H65" s="167">
        <f t="shared" si="59"/>
        <v>8.016038385552321E-2</v>
      </c>
      <c r="I65" s="167">
        <f t="shared" si="59"/>
        <v>0.27360882239394058</v>
      </c>
      <c r="J65" s="167">
        <f t="shared" si="59"/>
        <v>0.30153053350980003</v>
      </c>
      <c r="K65" s="167">
        <f t="shared" si="59"/>
        <v>0.27352277085575938</v>
      </c>
      <c r="L65" s="167">
        <f t="shared" si="59"/>
        <v>0.29239537157096163</v>
      </c>
      <c r="M65" s="167">
        <f t="shared" si="59"/>
        <v>0.28545496419339639</v>
      </c>
      <c r="N65" s="167">
        <f t="shared" si="59"/>
        <v>0.28534761802561875</v>
      </c>
      <c r="O65" s="167">
        <f t="shared" si="59"/>
        <v>0.28014292356208448</v>
      </c>
      <c r="P65" s="167">
        <f t="shared" si="59"/>
        <v>0.281661582232824</v>
      </c>
      <c r="Q65" s="167">
        <f t="shared" si="59"/>
        <v>0.33444564713865627</v>
      </c>
      <c r="R65" s="167">
        <f t="shared" si="59"/>
        <v>0.29456077608979836</v>
      </c>
      <c r="S65" s="167">
        <f t="shared" si="59"/>
        <v>0.41337101776877699</v>
      </c>
      <c r="T65" s="167">
        <f t="shared" si="59"/>
        <v>0.39376316802525341</v>
      </c>
      <c r="U65" s="167">
        <f t="shared" si="59"/>
        <v>0.40555522748760231</v>
      </c>
      <c r="V65" s="167">
        <f t="shared" si="59"/>
        <v>0.43427667993767011</v>
      </c>
      <c r="W65" s="167">
        <f t="shared" si="59"/>
        <v>0.40844611120169577</v>
      </c>
      <c r="X65" s="167">
        <f t="shared" si="59"/>
        <v>0.42565780579960105</v>
      </c>
      <c r="Y65" s="167">
        <f t="shared" si="59"/>
        <v>0.3899457335880217</v>
      </c>
      <c r="Z65" s="167">
        <f t="shared" si="59"/>
        <v>0.35939194841224431</v>
      </c>
      <c r="AA65" s="167">
        <f t="shared" si="59"/>
        <v>0.31478642560321068</v>
      </c>
      <c r="AB65" s="167">
        <f t="shared" si="59"/>
        <v>0.28465510979612679</v>
      </c>
      <c r="AC65" s="167">
        <f>AC64/AC14</f>
        <v>0.27495542230609077</v>
      </c>
      <c r="AD65" s="167">
        <f>AD64/AD14</f>
        <v>0.28107296638587631</v>
      </c>
      <c r="AE65" s="167">
        <f>AE64/AE14</f>
        <v>0.23910781023635067</v>
      </c>
    </row>
    <row r="66" spans="1:33">
      <c r="A66" s="21"/>
    </row>
    <row r="67" spans="1:33">
      <c r="A67" s="21"/>
      <c r="B67" s="97" t="s">
        <v>296</v>
      </c>
      <c r="C67" s="97" t="s">
        <v>682</v>
      </c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</row>
    <row r="68" spans="1:33">
      <c r="A68" s="21"/>
      <c r="B68" s="57" t="s">
        <v>251</v>
      </c>
      <c r="C68" s="57" t="s">
        <v>469</v>
      </c>
      <c r="D68" s="59">
        <v>151.49661723407064</v>
      </c>
      <c r="E68" s="59">
        <v>144.73481000000001</v>
      </c>
      <c r="F68" s="59">
        <v>161.19812050254478</v>
      </c>
      <c r="G68" s="59">
        <v>158.4095756497795</v>
      </c>
      <c r="H68" s="59">
        <v>631.41884465565283</v>
      </c>
      <c r="I68" s="59">
        <v>124.7950104030665</v>
      </c>
      <c r="J68" s="59">
        <v>148.64263</v>
      </c>
      <c r="K68" s="59">
        <v>161.29709</v>
      </c>
      <c r="L68" s="59">
        <v>146.85307745344127</v>
      </c>
      <c r="M68" s="59">
        <v>581.58780785650777</v>
      </c>
      <c r="N68" s="59">
        <v>132.11411582765612</v>
      </c>
      <c r="O68" s="59">
        <v>144.75561651085852</v>
      </c>
      <c r="P68" s="59">
        <v>170.92696865007258</v>
      </c>
      <c r="Q68" s="59">
        <v>109.72260386396499</v>
      </c>
      <c r="R68" s="59">
        <f>SUM(N68:Q68)</f>
        <v>557.51930485255218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59">
        <v>0</v>
      </c>
      <c r="AD68" s="59">
        <v>0</v>
      </c>
      <c r="AE68" s="59">
        <v>0</v>
      </c>
    </row>
    <row r="69" spans="1:33" s="28" customFormat="1">
      <c r="A69" s="21"/>
      <c r="B69" s="28" t="s">
        <v>270</v>
      </c>
      <c r="C69" s="28" t="s">
        <v>665</v>
      </c>
      <c r="D69" s="67">
        <f>D68/D9</f>
        <v>0.3267125668192164</v>
      </c>
      <c r="E69" s="67">
        <f>E68/E9</f>
        <v>0.34909505547515679</v>
      </c>
      <c r="F69" s="67">
        <f>F68/F9</f>
        <v>0.30874951255036348</v>
      </c>
      <c r="G69" s="67">
        <f>G68/G9</f>
        <v>0.29405898579873674</v>
      </c>
      <c r="H69" s="67">
        <f>H68/H9</f>
        <v>0.32563266992369616</v>
      </c>
      <c r="I69" s="67">
        <v>0.25483971901790176</v>
      </c>
      <c r="J69" s="67">
        <v>0.27469380379206676</v>
      </c>
      <c r="K69" s="67">
        <v>0.27646537864270704</v>
      </c>
      <c r="L69" s="67">
        <v>0.25158999049758651</v>
      </c>
      <c r="M69" s="67">
        <v>0.26460499970270585</v>
      </c>
      <c r="N69" s="67">
        <f>N68/N9</f>
        <v>0.22790083806737296</v>
      </c>
      <c r="O69" s="67">
        <f>O68/O9</f>
        <v>0.24061811357874349</v>
      </c>
      <c r="P69" s="67">
        <f>P68/P9</f>
        <v>0.25617475383238203</v>
      </c>
      <c r="Q69" s="67">
        <f>Q68/Q9</f>
        <v>0.18645308087875739</v>
      </c>
      <c r="R69" s="67">
        <f>R68/R9</f>
        <v>0.22877279641056716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G69"/>
    </row>
    <row r="70" spans="1:33">
      <c r="B70" s="57" t="s">
        <v>252</v>
      </c>
      <c r="C70" s="57" t="s">
        <v>648</v>
      </c>
      <c r="D70" s="59">
        <v>2.2608876987231197</v>
      </c>
      <c r="E70" s="59">
        <v>5.0057300000000104</v>
      </c>
      <c r="F70" s="59">
        <v>13.644109682539012</v>
      </c>
      <c r="G70" s="59">
        <v>5.4456715857080704</v>
      </c>
      <c r="H70" s="59">
        <v>33.174588654713702</v>
      </c>
      <c r="I70" s="59">
        <v>-3.7934237630080605</v>
      </c>
      <c r="J70" s="59">
        <v>11.383119999999995</v>
      </c>
      <c r="K70" s="59">
        <v>8.384590000000026</v>
      </c>
      <c r="L70" s="59">
        <v>0.18313636224094079</v>
      </c>
      <c r="M70" s="59">
        <v>16.157422599232902</v>
      </c>
      <c r="N70" s="59">
        <v>3.8177884057810298</v>
      </c>
      <c r="O70" s="59">
        <v>18.319023893659118</v>
      </c>
      <c r="P70" s="59">
        <v>18.902705248261597</v>
      </c>
      <c r="Q70" s="59">
        <v>9.761782430225459</v>
      </c>
      <c r="R70" s="59">
        <f>SUM(N70:Q70)</f>
        <v>50.801299977927208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0</v>
      </c>
      <c r="AB70" s="59">
        <v>0</v>
      </c>
      <c r="AC70" s="59">
        <v>0</v>
      </c>
      <c r="AD70" s="59">
        <v>0</v>
      </c>
      <c r="AE70" s="59">
        <v>0</v>
      </c>
    </row>
    <row r="71" spans="1:33" s="28" customFormat="1">
      <c r="A71" s="21"/>
      <c r="B71" s="63" t="s">
        <v>253</v>
      </c>
      <c r="C71" s="63" t="s">
        <v>649</v>
      </c>
      <c r="D71" s="67">
        <f t="shared" ref="D71:N71" si="60">IFERROR(D70/D68,"N/A")</f>
        <v>1.492368436999437E-2</v>
      </c>
      <c r="E71" s="67">
        <f t="shared" si="60"/>
        <v>3.4585529217193912E-2</v>
      </c>
      <c r="F71" s="67">
        <f t="shared" si="60"/>
        <v>8.4641865798451524E-2</v>
      </c>
      <c r="G71" s="67">
        <f t="shared" si="60"/>
        <v>3.4377161629090262E-2</v>
      </c>
      <c r="H71" s="67">
        <f t="shared" si="60"/>
        <v>5.253975065125846E-2</v>
      </c>
      <c r="I71" s="67">
        <v>-3.0397239046304429E-2</v>
      </c>
      <c r="J71" s="67">
        <v>7.6580453400212273E-2</v>
      </c>
      <c r="K71" s="67">
        <v>5.1982276927624832E-2</v>
      </c>
      <c r="L71" s="67">
        <v>1.2470720084092406E-3</v>
      </c>
      <c r="M71" s="67">
        <v>2.7781570350971563E-2</v>
      </c>
      <c r="N71" s="67">
        <f t="shared" si="60"/>
        <v>2.8897657013133737E-2</v>
      </c>
      <c r="O71" s="67">
        <f>IFERROR(O70/O68,"N/A")</f>
        <v>0.12655138595112789</v>
      </c>
      <c r="P71" s="67">
        <f>IFERROR(P70/P68,"N/A")</f>
        <v>0.11058936689481605</v>
      </c>
      <c r="Q71" s="67">
        <f>IFERROR(Q70/Q68,"N/A")</f>
        <v>8.8967834215164993E-2</v>
      </c>
      <c r="R71" s="67">
        <f>IFERROR(R70/R68,"N/A")</f>
        <v>9.1120252762122184E-2</v>
      </c>
      <c r="S71" s="67" t="s">
        <v>311</v>
      </c>
      <c r="T71" s="67" t="s">
        <v>311</v>
      </c>
      <c r="U71" s="67" t="s">
        <v>311</v>
      </c>
      <c r="V71" s="67" t="s">
        <v>311</v>
      </c>
      <c r="W71" s="67" t="s">
        <v>311</v>
      </c>
      <c r="X71" s="67" t="s">
        <v>311</v>
      </c>
      <c r="Y71" s="67" t="s">
        <v>311</v>
      </c>
      <c r="Z71" s="67" t="s">
        <v>311</v>
      </c>
      <c r="AA71" s="67" t="s">
        <v>311</v>
      </c>
      <c r="AB71" s="67" t="s">
        <v>311</v>
      </c>
      <c r="AC71" s="67" t="s">
        <v>311</v>
      </c>
      <c r="AD71" s="67" t="s">
        <v>311</v>
      </c>
      <c r="AE71" s="67" t="s">
        <v>311</v>
      </c>
      <c r="AG71"/>
    </row>
    <row r="72" spans="1:33" s="28" customFormat="1">
      <c r="A72" s="21"/>
      <c r="B72" s="6" t="s">
        <v>271</v>
      </c>
      <c r="C72" s="6" t="s">
        <v>666</v>
      </c>
      <c r="D72" s="67">
        <f>D70/D10</f>
        <v>3.7556274065168101E-2</v>
      </c>
      <c r="E72" s="67">
        <f>E70/E10</f>
        <v>0.2860417142857149</v>
      </c>
      <c r="F72" s="67">
        <f>F70/F10</f>
        <v>0.18314241184616123</v>
      </c>
      <c r="G72" s="67">
        <f>G70/G10</f>
        <v>0.10802786469012395</v>
      </c>
      <c r="H72" s="67">
        <f>H70/H10</f>
        <v>0.16384459282419742</v>
      </c>
      <c r="I72" s="67">
        <v>-6.2201974616526309E-2</v>
      </c>
      <c r="J72" s="67">
        <v>0.15508337874659392</v>
      </c>
      <c r="K72" s="67">
        <v>8.5122741116751527E-2</v>
      </c>
      <c r="L72" s="67">
        <v>1.8024931063136656E-3</v>
      </c>
      <c r="M72" s="67">
        <v>4.8305042981482554E-2</v>
      </c>
      <c r="N72" s="67">
        <f>N70/N10</f>
        <v>3.7086176037803419E-2</v>
      </c>
      <c r="O72" s="67">
        <f>O70/O10</f>
        <v>0.13279921777100326</v>
      </c>
      <c r="P72" s="67">
        <f>P70/P10</f>
        <v>0.1405085042709566</v>
      </c>
      <c r="Q72" s="67">
        <f>Q70/Q10</f>
        <v>7.0502260263945446E-2</v>
      </c>
      <c r="R72" s="67">
        <f>R70/R10</f>
        <v>9.8858251403028605E-2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G72"/>
    </row>
    <row r="73" spans="1:33">
      <c r="A73" s="21"/>
      <c r="B73" s="57" t="s">
        <v>289</v>
      </c>
      <c r="C73" s="57" t="s">
        <v>289</v>
      </c>
      <c r="D73" s="59">
        <v>149.23572953534753</v>
      </c>
      <c r="E73" s="59">
        <v>139.72907999999998</v>
      </c>
      <c r="F73" s="59">
        <v>147.55401082000577</v>
      </c>
      <c r="G73" s="59">
        <v>152.96390406407141</v>
      </c>
      <c r="H73" s="59">
        <v>598.24425600093923</v>
      </c>
      <c r="I73" s="59">
        <v>128.58843416607456</v>
      </c>
      <c r="J73" s="59">
        <v>137.25951000000001</v>
      </c>
      <c r="K73" s="59">
        <v>152.91249999999997</v>
      </c>
      <c r="L73" s="59">
        <v>146.66994109120034</v>
      </c>
      <c r="M73" s="59">
        <v>565.43038525727491</v>
      </c>
      <c r="N73" s="59">
        <v>128.29632742187508</v>
      </c>
      <c r="O73" s="59">
        <v>126.43659261719941</v>
      </c>
      <c r="P73" s="59">
        <v>152.02426340181097</v>
      </c>
      <c r="Q73" s="59">
        <v>99.96082143373954</v>
      </c>
      <c r="R73" s="59">
        <f>SUM(N73:Q73)</f>
        <v>506.71800487462497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</row>
    <row r="74" spans="1:33" s="28" customFormat="1">
      <c r="A74" s="21"/>
      <c r="B74" s="6" t="s">
        <v>292</v>
      </c>
      <c r="C74" s="6" t="s">
        <v>679</v>
      </c>
      <c r="D74" s="67">
        <f>D73/D14</f>
        <v>0.36985310913345115</v>
      </c>
      <c r="E74" s="67">
        <f>E73/E14</f>
        <v>0.35187378494082089</v>
      </c>
      <c r="F74" s="67">
        <f>F73/F14</f>
        <v>0.32965596697945881</v>
      </c>
      <c r="G74" s="67">
        <f>G73/G14</f>
        <v>0.31326438418445557</v>
      </c>
      <c r="H74" s="67">
        <f>H73/H14</f>
        <v>0.34449633215087727</v>
      </c>
      <c r="I74" s="67">
        <v>0.29993960883910037</v>
      </c>
      <c r="J74" s="67">
        <v>0.29346440031894649</v>
      </c>
      <c r="K74" s="67">
        <v>0.3153316176076349</v>
      </c>
      <c r="L74" s="67">
        <v>0.30423243728788646</v>
      </c>
      <c r="M74" s="67">
        <v>0.30343040495310325</v>
      </c>
      <c r="N74" s="67">
        <f>N73/N14</f>
        <v>0.26910253531803885</v>
      </c>
      <c r="O74" s="67">
        <f>O73/O14</f>
        <v>0.2726961616355853</v>
      </c>
      <c r="P74" s="67">
        <f>P73/P14</f>
        <v>0.28538582598274154</v>
      </c>
      <c r="Q74" s="67">
        <f>Q73/Q14</f>
        <v>0.22212901805803037</v>
      </c>
      <c r="R74" s="67">
        <f>R73/R14</f>
        <v>0.26348749055538478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G74"/>
    </row>
    <row r="75" spans="1:33" s="28" customFormat="1">
      <c r="A75" s="21"/>
      <c r="D75"/>
      <c r="E75"/>
      <c r="F75"/>
      <c r="G75"/>
      <c r="H75"/>
      <c r="I75"/>
      <c r="J75"/>
      <c r="K75"/>
      <c r="AG75"/>
    </row>
    <row r="76" spans="1:33" s="28" customFormat="1">
      <c r="A76" s="21"/>
      <c r="B76" s="114" t="s">
        <v>301</v>
      </c>
      <c r="C76" s="114" t="s">
        <v>686</v>
      </c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G76"/>
    </row>
    <row r="77" spans="1:33" s="28" customFormat="1">
      <c r="A77" s="21"/>
      <c r="B77" s="57" t="s">
        <v>251</v>
      </c>
      <c r="C77" s="57" t="s">
        <v>469</v>
      </c>
      <c r="D77" s="59">
        <v>71.937695482297272</v>
      </c>
      <c r="E77" s="59">
        <v>121.58062592</v>
      </c>
      <c r="F77" s="59">
        <v>136.48821989163019</v>
      </c>
      <c r="G77" s="59">
        <v>124.07142287340344</v>
      </c>
      <c r="H77" s="61">
        <v>454.07796416733095</v>
      </c>
      <c r="I77" s="59">
        <v>130.47737883289523</v>
      </c>
      <c r="J77" s="59">
        <v>126.88224000000002</v>
      </c>
      <c r="K77" s="59">
        <v>119.53218</v>
      </c>
      <c r="L77" s="59">
        <v>134.92192427369335</v>
      </c>
      <c r="M77" s="59">
        <v>511.81372310658855</v>
      </c>
      <c r="N77" s="59">
        <v>156.07817409715179</v>
      </c>
      <c r="O77" s="59">
        <v>148.859195869297</v>
      </c>
      <c r="P77" s="59">
        <v>131.77135609485848</v>
      </c>
      <c r="Q77" s="59">
        <v>121.15228019711036</v>
      </c>
      <c r="R77" s="59">
        <f>SUM(N77:Q77)</f>
        <v>557.86100625841766</v>
      </c>
      <c r="S77" s="59">
        <v>155.7813384849612</v>
      </c>
      <c r="T77" s="59">
        <v>164.85005153817175</v>
      </c>
      <c r="U77" s="59">
        <v>140.2239203784618</v>
      </c>
      <c r="V77" s="59">
        <v>155.71572195702802</v>
      </c>
      <c r="W77" s="59">
        <v>98.85260934462228</v>
      </c>
      <c r="X77" s="59">
        <v>111.03715500282188</v>
      </c>
      <c r="Y77" s="59">
        <v>154.06808466903922</v>
      </c>
      <c r="Z77" s="59">
        <v>173.64665430424094</v>
      </c>
      <c r="AA77" s="59">
        <v>124.95636053790619</v>
      </c>
      <c r="AB77" s="59">
        <v>152.61133428039858</v>
      </c>
      <c r="AC77" s="59">
        <v>156.91475499902393</v>
      </c>
      <c r="AD77" s="59">
        <v>150.05413369066952</v>
      </c>
      <c r="AE77" s="59">
        <v>108.37936999999999</v>
      </c>
      <c r="AG77"/>
    </row>
    <row r="78" spans="1:33" s="28" customFormat="1">
      <c r="A78" s="21"/>
      <c r="B78" s="28" t="s">
        <v>270</v>
      </c>
      <c r="C78" s="28" t="s">
        <v>665</v>
      </c>
      <c r="D78" s="67">
        <f>D77/D9</f>
        <v>0.1551384418423491</v>
      </c>
      <c r="E78" s="67">
        <f>E77/E9</f>
        <v>0.2932480123492523</v>
      </c>
      <c r="F78" s="67">
        <f>F77/F9</f>
        <v>0.26142160484893734</v>
      </c>
      <c r="G78" s="67">
        <f>G77/G9</f>
        <v>0.23031635951996179</v>
      </c>
      <c r="H78" s="67">
        <f>H77/H9</f>
        <v>0.23417517718522002</v>
      </c>
      <c r="I78" s="67">
        <v>0.26644349363466457</v>
      </c>
      <c r="J78" s="67">
        <v>0.23448027755737322</v>
      </c>
      <c r="K78" s="67">
        <v>0.20487976195781468</v>
      </c>
      <c r="L78" s="67">
        <v>0.23114943339676775</v>
      </c>
      <c r="M78" s="67">
        <v>0.2328598849924193</v>
      </c>
      <c r="N78" s="67">
        <f>N77/N9</f>
        <v>0.269239562009922</v>
      </c>
      <c r="O78" s="67">
        <f>O77/O9</f>
        <v>0.24743923422295747</v>
      </c>
      <c r="P78" s="67">
        <f>P77/P9</f>
        <v>0.19749074693336982</v>
      </c>
      <c r="Q78" s="67">
        <f>Q77/Q9</f>
        <v>0.20587568197200273</v>
      </c>
      <c r="R78" s="67">
        <f>R77/R9</f>
        <v>0.22891301036455383</v>
      </c>
      <c r="S78" s="67">
        <v>0.29432747190045322</v>
      </c>
      <c r="T78" s="67">
        <v>0.30850228492562937</v>
      </c>
      <c r="U78" s="67">
        <v>0.25111332828820238</v>
      </c>
      <c r="V78" s="67">
        <v>0.24581543445109919</v>
      </c>
      <c r="W78" s="67">
        <v>0.20421226512492258</v>
      </c>
      <c r="X78" s="67">
        <v>0.2142958425694749</v>
      </c>
      <c r="Y78" s="67">
        <v>0.26577277419704654</v>
      </c>
      <c r="Z78" s="67">
        <v>0.29472827687421166</v>
      </c>
      <c r="AA78" s="67">
        <v>0.24957705075776071</v>
      </c>
      <c r="AB78" s="67">
        <v>0.31138903522198164</v>
      </c>
      <c r="AC78" s="67">
        <f>AC77/AC9</f>
        <v>0.29036795105651586</v>
      </c>
      <c r="AD78" s="67">
        <f>AD77/AD9</f>
        <v>0.28237918674746582</v>
      </c>
      <c r="AE78" s="67">
        <f>AE77/AE9</f>
        <v>0.24247040341577855</v>
      </c>
      <c r="AG78"/>
    </row>
    <row r="79" spans="1:33" s="28" customFormat="1">
      <c r="A79" s="21"/>
      <c r="B79" s="57" t="s">
        <v>252</v>
      </c>
      <c r="C79" s="57" t="s">
        <v>648</v>
      </c>
      <c r="D79" s="59">
        <v>8.7661951299135836</v>
      </c>
      <c r="E79" s="59">
        <v>20.773584389524025</v>
      </c>
      <c r="F79" s="59">
        <v>29.237545741720503</v>
      </c>
      <c r="G79" s="59">
        <v>30.011606035818549</v>
      </c>
      <c r="H79" s="61">
        <v>88.788931296976685</v>
      </c>
      <c r="I79" s="59">
        <v>29.753657070851112</v>
      </c>
      <c r="J79" s="59">
        <v>37.443460000000037</v>
      </c>
      <c r="K79" s="59">
        <v>31.360859999999985</v>
      </c>
      <c r="L79" s="59">
        <v>33.792492332043707</v>
      </c>
      <c r="M79" s="59">
        <v>132.35046940289484</v>
      </c>
      <c r="N79" s="59">
        <v>38.577830239460411</v>
      </c>
      <c r="O79" s="59">
        <v>41.966506701140041</v>
      </c>
      <c r="P79" s="59">
        <v>34.164273668538897</v>
      </c>
      <c r="Q79" s="59">
        <v>26.658112549409516</v>
      </c>
      <c r="R79" s="59">
        <f>SUM(N79:Q79)</f>
        <v>141.36672315854887</v>
      </c>
      <c r="S79" s="59">
        <v>42.804839743266221</v>
      </c>
      <c r="T79" s="59">
        <v>37.934956344570985</v>
      </c>
      <c r="U79" s="59">
        <v>19.207225011481555</v>
      </c>
      <c r="V79" s="59">
        <v>23.958715904478819</v>
      </c>
      <c r="W79" s="59">
        <v>14.379207440397815</v>
      </c>
      <c r="X79" s="59">
        <v>20.579997785822776</v>
      </c>
      <c r="Y79" s="59">
        <v>34.01324192366819</v>
      </c>
      <c r="Z79" s="59">
        <v>30.388721654878676</v>
      </c>
      <c r="AA79" s="59">
        <v>21.330654254287957</v>
      </c>
      <c r="AB79" s="59">
        <v>31.182129398976624</v>
      </c>
      <c r="AC79" s="59">
        <v>26.028108885032943</v>
      </c>
      <c r="AD79" s="59">
        <v>29.510913385951827</v>
      </c>
      <c r="AE79" s="59">
        <v>19.387669999999993</v>
      </c>
      <c r="AG79"/>
    </row>
    <row r="80" spans="1:33">
      <c r="B80" s="63" t="s">
        <v>253</v>
      </c>
      <c r="C80" s="63" t="s">
        <v>649</v>
      </c>
      <c r="D80" s="67">
        <f t="shared" ref="D80:N80" si="61">IFERROR(D79/D77,"N/A")</f>
        <v>0.12185815894075736</v>
      </c>
      <c r="E80" s="67">
        <f t="shared" si="61"/>
        <v>0.17086262085205117</v>
      </c>
      <c r="F80" s="67">
        <f t="shared" si="61"/>
        <v>0.21421296112539764</v>
      </c>
      <c r="G80" s="67">
        <f t="shared" si="61"/>
        <v>0.2418897546330307</v>
      </c>
      <c r="H80" s="67">
        <f t="shared" si="61"/>
        <v>0.1955367542659642</v>
      </c>
      <c r="I80" s="67">
        <v>0.22803690062594809</v>
      </c>
      <c r="J80" s="67">
        <v>0.29510402716723816</v>
      </c>
      <c r="K80" s="67">
        <v>0.2623633234163385</v>
      </c>
      <c r="L80" s="67">
        <v>0.25045960850287441</v>
      </c>
      <c r="M80" s="67">
        <v>0.25859109169554639</v>
      </c>
      <c r="N80" s="67">
        <f t="shared" si="61"/>
        <v>0.24716992278143524</v>
      </c>
      <c r="O80" s="67">
        <f>IFERROR(O79/O77,"N/A")</f>
        <v>0.28192082092118742</v>
      </c>
      <c r="P80" s="67">
        <f>IFERROR(P79/P77,"N/A")</f>
        <v>0.25926934867350837</v>
      </c>
      <c r="Q80" s="67">
        <f>IFERROR(Q79/Q77,"N/A")</f>
        <v>0.22003805876404253</v>
      </c>
      <c r="R80" s="67">
        <f>IFERROR(R79/R77,"N/A")</f>
        <v>0.25340850421989097</v>
      </c>
      <c r="S80" s="67">
        <v>0.2747753822906272</v>
      </c>
      <c r="T80" s="67">
        <v>0.23011802802040085</v>
      </c>
      <c r="U80" s="67">
        <v>0.13697555028354247</v>
      </c>
      <c r="V80" s="67">
        <v>0.15386172956718822</v>
      </c>
      <c r="W80" s="67">
        <v>0.14499999999999999</v>
      </c>
      <c r="X80" s="67">
        <v>0.18534334552519596</v>
      </c>
      <c r="Y80" s="67">
        <v>0.22076760737521467</v>
      </c>
      <c r="Z80" s="67">
        <v>0.17500320853654652</v>
      </c>
      <c r="AA80" s="67">
        <v>0.17070482976988757</v>
      </c>
      <c r="AB80" s="67">
        <v>0.20432370859206384</v>
      </c>
      <c r="AC80" s="67">
        <f>AC79/AC77</f>
        <v>0.16587419637620979</v>
      </c>
      <c r="AD80" s="67">
        <f>AD79/AD77</f>
        <v>0.19666844664731045</v>
      </c>
      <c r="AE80" s="67">
        <f>AE79/AE77</f>
        <v>0.17888708893583707</v>
      </c>
    </row>
    <row r="81" spans="1:33" s="28" customFormat="1">
      <c r="A81" s="21"/>
      <c r="B81" s="6" t="s">
        <v>271</v>
      </c>
      <c r="C81" s="6" t="s">
        <v>666</v>
      </c>
      <c r="D81" s="88">
        <f t="shared" ref="D81:AB81" si="62">D79/D10</f>
        <v>0.14561785930089008</v>
      </c>
      <c r="E81" s="88">
        <f t="shared" si="62"/>
        <v>1.1870619651156586</v>
      </c>
      <c r="F81" s="88">
        <f t="shared" si="62"/>
        <v>0.39245027841235575</v>
      </c>
      <c r="G81" s="88">
        <f t="shared" si="62"/>
        <v>0.59535167792333221</v>
      </c>
      <c r="H81" s="88">
        <f t="shared" si="62"/>
        <v>0.43851595108118241</v>
      </c>
      <c r="I81" s="88">
        <f t="shared" si="62"/>
        <v>0.48788016775703863</v>
      </c>
      <c r="J81" s="88">
        <f t="shared" si="62"/>
        <v>0.51012888283378799</v>
      </c>
      <c r="K81" s="88">
        <f t="shared" si="62"/>
        <v>0.31838436548223337</v>
      </c>
      <c r="L81" s="88">
        <f t="shared" si="62"/>
        <v>0.33259770876921663</v>
      </c>
      <c r="M81" s="88">
        <f t="shared" si="62"/>
        <v>0.39568161777422062</v>
      </c>
      <c r="N81" s="88">
        <f t="shared" si="62"/>
        <v>0.37474685638698629</v>
      </c>
      <c r="O81" s="88">
        <f t="shared" si="62"/>
        <v>0.30422577615732155</v>
      </c>
      <c r="P81" s="88">
        <f t="shared" si="62"/>
        <v>0.25395153390076258</v>
      </c>
      <c r="Q81" s="88">
        <f t="shared" si="62"/>
        <v>0.19253217355927199</v>
      </c>
      <c r="R81" s="88">
        <f t="shared" si="62"/>
        <v>0.27509664248950955</v>
      </c>
      <c r="S81" s="88">
        <f t="shared" si="62"/>
        <v>0.28692746791238943</v>
      </c>
      <c r="T81" s="88">
        <f t="shared" si="62"/>
        <v>0.28123664776231266</v>
      </c>
      <c r="U81" s="88">
        <f t="shared" si="62"/>
        <v>0.15180329837892503</v>
      </c>
      <c r="V81" s="88">
        <f t="shared" si="62"/>
        <v>0.16288507260745122</v>
      </c>
      <c r="W81" s="88">
        <f t="shared" si="62"/>
        <v>0.12359748184527813</v>
      </c>
      <c r="X81" s="88">
        <f t="shared" si="62"/>
        <v>0.15923790057105025</v>
      </c>
      <c r="Y81" s="88">
        <f t="shared" si="62"/>
        <v>0.25725916882142053</v>
      </c>
      <c r="Z81" s="88">
        <f t="shared" si="62"/>
        <v>0.27749871421914363</v>
      </c>
      <c r="AA81" s="88">
        <f t="shared" si="62"/>
        <v>0.20446975331039968</v>
      </c>
      <c r="AB81" s="88">
        <f t="shared" si="62"/>
        <v>0.3398982859960093</v>
      </c>
      <c r="AC81" s="88">
        <f>AC79/AC10</f>
        <v>0.22586198149092704</v>
      </c>
      <c r="AD81" s="88">
        <f>AD79/AD10</f>
        <v>0.24434418581466374</v>
      </c>
      <c r="AE81" s="88">
        <f>AE79/AE10</f>
        <v>0.16956453672444852</v>
      </c>
      <c r="AG81"/>
    </row>
    <row r="82" spans="1:33" s="28" customFormat="1">
      <c r="A82" s="21"/>
      <c r="B82" s="57" t="s">
        <v>289</v>
      </c>
      <c r="C82" s="57" t="s">
        <v>289</v>
      </c>
      <c r="D82" s="59">
        <v>63.171500352383696</v>
      </c>
      <c r="E82" s="59">
        <v>100.80704153047598</v>
      </c>
      <c r="F82" s="59">
        <v>107.2506741499097</v>
      </c>
      <c r="G82" s="59">
        <v>94.05981683758489</v>
      </c>
      <c r="H82" s="61">
        <v>365.28903287035422</v>
      </c>
      <c r="I82" s="59">
        <v>100.72372176204411</v>
      </c>
      <c r="J82" s="59">
        <v>89.43877999999998</v>
      </c>
      <c r="K82" s="59">
        <v>88.171320000000009</v>
      </c>
      <c r="L82" s="59">
        <v>101.12943194164964</v>
      </c>
      <c r="M82" s="59">
        <v>379.46325370369368</v>
      </c>
      <c r="N82" s="59">
        <v>117.50034385769138</v>
      </c>
      <c r="O82" s="59">
        <v>106.89268916815695</v>
      </c>
      <c r="P82" s="59">
        <v>97.607082426319565</v>
      </c>
      <c r="Q82" s="59">
        <v>94.494167647700849</v>
      </c>
      <c r="R82" s="59">
        <f>SUM(N82:Q82)</f>
        <v>416.49428309986877</v>
      </c>
      <c r="S82" s="59">
        <v>112.97646999999998</v>
      </c>
      <c r="T82" s="59">
        <v>126.91507923735797</v>
      </c>
      <c r="U82" s="59">
        <v>121.01669084427849</v>
      </c>
      <c r="V82" s="59">
        <v>131.75703000000001</v>
      </c>
      <c r="W82" s="59">
        <v>84.5</v>
      </c>
      <c r="X82" s="59">
        <v>90.457157216999164</v>
      </c>
      <c r="Y82" s="59">
        <v>120.05484047330948</v>
      </c>
      <c r="Z82" s="59">
        <v>143.25793264936226</v>
      </c>
      <c r="AA82" s="59">
        <v>103.62570628361823</v>
      </c>
      <c r="AB82" s="59">
        <v>121.4292180660948</v>
      </c>
      <c r="AC82" s="59">
        <f>AC77-AC79</f>
        <v>130.88664611399099</v>
      </c>
      <c r="AD82" s="59">
        <f>AD77-AD79</f>
        <v>120.54322030471769</v>
      </c>
      <c r="AE82" s="59">
        <f>AE77-AE79</f>
        <v>88.991700000000009</v>
      </c>
      <c r="AG82"/>
    </row>
    <row r="83" spans="1:33">
      <c r="B83" s="6" t="s">
        <v>292</v>
      </c>
      <c r="C83" s="6" t="s">
        <v>679</v>
      </c>
      <c r="D83" s="167">
        <f t="shared" ref="D83:AB83" si="63">D82/D14</f>
        <v>0.15655886084853457</v>
      </c>
      <c r="E83" s="167">
        <f t="shared" si="63"/>
        <v>0.25385807486899015</v>
      </c>
      <c r="F83" s="167">
        <f t="shared" si="63"/>
        <v>0.23961276619729602</v>
      </c>
      <c r="G83" s="167">
        <f t="shared" si="63"/>
        <v>0.19263100519313742</v>
      </c>
      <c r="H83" s="167">
        <f t="shared" si="63"/>
        <v>0.21035008817298315</v>
      </c>
      <c r="I83" s="167">
        <f t="shared" si="63"/>
        <v>0.23494363161081605</v>
      </c>
      <c r="J83" s="167">
        <f t="shared" si="63"/>
        <v>0.19122243652158002</v>
      </c>
      <c r="K83" s="167">
        <f t="shared" si="63"/>
        <v>0.18182427834349985</v>
      </c>
      <c r="L83" s="167">
        <f t="shared" si="63"/>
        <v>0.20976931832280804</v>
      </c>
      <c r="M83" s="167">
        <f t="shared" si="63"/>
        <v>0.20363371289950058</v>
      </c>
      <c r="N83" s="167">
        <f t="shared" si="63"/>
        <v>0.24645787660680005</v>
      </c>
      <c r="O83" s="167">
        <f t="shared" si="63"/>
        <v>0.23054422331132074</v>
      </c>
      <c r="P83" s="167">
        <f t="shared" si="63"/>
        <v>0.18323178956227665</v>
      </c>
      <c r="Q83" s="167">
        <f t="shared" si="63"/>
        <v>0.2099812343549832</v>
      </c>
      <c r="R83" s="167">
        <f t="shared" si="63"/>
        <v>0.2165722007683567</v>
      </c>
      <c r="S83" s="167">
        <f t="shared" si="63"/>
        <v>0.2972317896011521</v>
      </c>
      <c r="T83" s="167">
        <f t="shared" si="63"/>
        <v>0.31770885967293144</v>
      </c>
      <c r="U83" s="167">
        <f t="shared" si="63"/>
        <v>0.2802078058360078</v>
      </c>
      <c r="V83" s="167">
        <f t="shared" si="63"/>
        <v>0.27089524935516801</v>
      </c>
      <c r="W83" s="167">
        <f t="shared" si="63"/>
        <v>0.2296320452198489</v>
      </c>
      <c r="X83" s="167">
        <f t="shared" si="63"/>
        <v>0.23259004170448311</v>
      </c>
      <c r="Y83" s="167">
        <f t="shared" si="63"/>
        <v>0.26828791515887984</v>
      </c>
      <c r="Z83" s="167">
        <f t="shared" si="63"/>
        <v>0.29866334846203701</v>
      </c>
      <c r="AA83" s="167">
        <f t="shared" si="63"/>
        <v>0.26144955667554909</v>
      </c>
      <c r="AB83" s="167">
        <f t="shared" si="63"/>
        <v>0.30482355859880922</v>
      </c>
      <c r="AC83" s="167">
        <f>AC82/AC14</f>
        <v>0.30785217136420207</v>
      </c>
      <c r="AD83" s="167">
        <f>AD82/AD14</f>
        <v>0.29356655302802509</v>
      </c>
      <c r="AE83" s="167">
        <f>AE82/AE14</f>
        <v>0.26753012602535597</v>
      </c>
    </row>
    <row r="84" spans="1:33">
      <c r="U84" s="28"/>
      <c r="V84" s="28"/>
      <c r="W84" s="28"/>
      <c r="X84" s="28"/>
      <c r="Y84" s="28"/>
      <c r="Z84" s="28"/>
      <c r="AA84" s="28"/>
      <c r="AB84" s="28"/>
    </row>
    <row r="85" spans="1:33" s="28" customFormat="1">
      <c r="A85" s="21"/>
      <c r="D85"/>
      <c r="E85"/>
      <c r="F85"/>
      <c r="G85"/>
      <c r="H85"/>
      <c r="I85"/>
      <c r="J85"/>
      <c r="AG85"/>
    </row>
    <row r="86" spans="1:33" s="28" customFormat="1">
      <c r="A86" s="21"/>
      <c r="D86"/>
      <c r="E86"/>
      <c r="F86"/>
      <c r="G86"/>
      <c r="H86"/>
      <c r="I86"/>
      <c r="J86"/>
    </row>
    <row r="87" spans="1:33" s="28" customFormat="1">
      <c r="A87" s="21"/>
      <c r="D87"/>
      <c r="E87"/>
      <c r="F87"/>
      <c r="G87"/>
      <c r="H87"/>
      <c r="I87"/>
      <c r="J87"/>
    </row>
    <row r="88" spans="1:33" s="28" customFormat="1">
      <c r="A88" s="21"/>
      <c r="D88"/>
      <c r="E88"/>
      <c r="F88"/>
      <c r="G88"/>
      <c r="H88"/>
      <c r="I88"/>
      <c r="J88"/>
      <c r="U88"/>
      <c r="V88"/>
      <c r="W88"/>
      <c r="X88"/>
      <c r="Y88"/>
      <c r="Z88"/>
      <c r="AA88"/>
      <c r="AB88"/>
    </row>
    <row r="89" spans="1:33" s="28" customFormat="1">
      <c r="A89" s="21"/>
      <c r="D89"/>
      <c r="E89"/>
      <c r="F89"/>
      <c r="G89"/>
      <c r="H89"/>
      <c r="I89"/>
      <c r="J89"/>
      <c r="U89"/>
      <c r="V89"/>
      <c r="W89"/>
      <c r="X89"/>
      <c r="Y89"/>
      <c r="Z89"/>
      <c r="AA89"/>
      <c r="AB89"/>
    </row>
    <row r="92" spans="1:33">
      <c r="U92" s="28"/>
      <c r="V92" s="28"/>
      <c r="W92" s="28"/>
      <c r="X92" s="28"/>
      <c r="Y92" s="28"/>
      <c r="Z92" s="28"/>
      <c r="AA92" s="28"/>
      <c r="AB92" s="28"/>
    </row>
    <row r="93" spans="1:33" s="28" customFormat="1">
      <c r="A93" s="21"/>
      <c r="D93"/>
      <c r="E93"/>
      <c r="F93"/>
      <c r="G93"/>
      <c r="H93"/>
      <c r="I93"/>
      <c r="J93"/>
    </row>
    <row r="94" spans="1:33" s="28" customFormat="1">
      <c r="A94" s="21"/>
      <c r="D94"/>
      <c r="E94"/>
      <c r="F94"/>
      <c r="G94"/>
      <c r="H94"/>
      <c r="I94"/>
      <c r="J94"/>
    </row>
    <row r="95" spans="1:33" s="28" customFormat="1">
      <c r="A95" s="21"/>
      <c r="D95"/>
      <c r="E95"/>
      <c r="F95"/>
      <c r="G95"/>
      <c r="H95"/>
      <c r="I95"/>
      <c r="J95"/>
    </row>
    <row r="96" spans="1:33" s="28" customFormat="1">
      <c r="A96" s="21"/>
      <c r="D96"/>
      <c r="E96"/>
      <c r="F96"/>
      <c r="G96"/>
      <c r="H96"/>
      <c r="I96"/>
      <c r="J96"/>
    </row>
    <row r="97" spans="1:28" s="28" customFormat="1">
      <c r="A97" s="21"/>
      <c r="D97"/>
      <c r="E97"/>
      <c r="F97"/>
      <c r="G97"/>
      <c r="H97"/>
      <c r="I97"/>
      <c r="J97"/>
      <c r="U97"/>
      <c r="V97"/>
      <c r="W97"/>
      <c r="X97"/>
      <c r="Y97"/>
      <c r="Z97"/>
      <c r="AA97"/>
      <c r="AB97"/>
    </row>
  </sheetData>
  <pageMargins left="0" right="0" top="0" bottom="0" header="0" footer="0"/>
  <pageSetup paperSize="9" scale="42" orientation="landscape" r:id="rId1"/>
  <headerFooter>
    <oddFooter>&amp;L_x000D_&amp;1#&amp;"Calibri"&amp;10&amp;K000000 Classificação da Informação: Documento Restrito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1:BN98"/>
  <sheetViews>
    <sheetView showGridLines="0" zoomScale="82" zoomScaleNormal="82" workbookViewId="0">
      <pane xSplit="3" ySplit="7" topLeftCell="BG9" activePane="bottomRight" state="frozen"/>
      <selection activeCell="D47" sqref="D47"/>
      <selection pane="topRight" activeCell="D47" sqref="D47"/>
      <selection pane="bottomLeft" activeCell="D47" sqref="D47"/>
      <selection pane="bottomRight" activeCell="BX42" sqref="BX42"/>
    </sheetView>
  </sheetViews>
  <sheetFormatPr defaultRowHeight="14.5" outlineLevelCol="1"/>
  <cols>
    <col min="1" max="1" width="1.54296875" style="1" customWidth="1"/>
    <col min="2" max="3" width="50.54296875" style="6" bestFit="1" customWidth="1"/>
    <col min="4" max="7" width="11.453125" style="6" hidden="1" customWidth="1" outlineLevel="1"/>
    <col min="8" max="8" width="11.453125" style="30" customWidth="1" collapsed="1"/>
    <col min="9" max="12" width="11.453125" style="30" hidden="1" customWidth="1" outlineLevel="1"/>
    <col min="13" max="13" width="11.453125" style="30" customWidth="1" collapsed="1"/>
    <col min="14" max="17" width="11.453125" style="30" hidden="1" customWidth="1" outlineLevel="1"/>
    <col min="18" max="18" width="11.453125" style="30" customWidth="1" collapsed="1"/>
    <col min="19" max="22" width="11.453125" style="30" hidden="1" customWidth="1" outlineLevel="1"/>
    <col min="23" max="23" width="11.453125" style="30" customWidth="1" collapsed="1"/>
    <col min="24" max="24" width="11.453125" style="30" hidden="1" customWidth="1" outlineLevel="1"/>
    <col min="25" max="27" width="9.1796875" style="30" hidden="1" customWidth="1" outlineLevel="1"/>
    <col min="28" max="28" width="11.453125" style="30" customWidth="1" collapsed="1"/>
    <col min="29" max="32" width="9.1796875" style="30" hidden="1" customWidth="1" outlineLevel="1"/>
    <col min="33" max="33" width="10.453125" style="30" bestFit="1" customWidth="1" collapsed="1"/>
    <col min="34" max="36" width="9.1796875" style="30" hidden="1" customWidth="1" outlineLevel="1"/>
    <col min="37" max="37" width="9.54296875" style="30" hidden="1" customWidth="1" outlineLevel="1"/>
    <col min="38" max="38" width="10.453125" style="30" bestFit="1" customWidth="1" collapsed="1"/>
    <col min="39" max="42" width="9.81640625" style="30" hidden="1" customWidth="1" outlineLevel="1"/>
    <col min="43" max="43" width="10.453125" style="30" bestFit="1" customWidth="1" collapsed="1"/>
    <col min="44" max="46" width="10.453125" style="30" hidden="1" customWidth="1" outlineLevel="1" collapsed="1"/>
    <col min="47" max="47" width="10.1796875" style="29" hidden="1" customWidth="1" outlineLevel="1"/>
    <col min="48" max="48" width="12.1796875" style="29" bestFit="1" customWidth="1" collapsed="1"/>
    <col min="49" max="52" width="12.1796875" style="29" hidden="1" customWidth="1" outlineLevel="1"/>
    <col min="53" max="53" width="12.1796875" style="29" bestFit="1" customWidth="1" collapsed="1"/>
    <col min="54" max="57" width="11.453125" hidden="1" customWidth="1" outlineLevel="1"/>
    <col min="58" max="58" width="11.453125" bestFit="1" customWidth="1" collapsed="1"/>
    <col min="59" max="60" width="11.453125" bestFit="1" customWidth="1"/>
    <col min="63" max="64" width="10.1796875" bestFit="1" customWidth="1"/>
    <col min="65" max="66" width="11.54296875" bestFit="1" customWidth="1"/>
  </cols>
  <sheetData>
    <row r="1" spans="1:66" s="21" customFormat="1" ht="8.25" customHeight="1">
      <c r="B1" s="9"/>
      <c r="C1" s="9"/>
      <c r="D1" s="9"/>
      <c r="E1" s="9"/>
      <c r="F1" s="9"/>
      <c r="G1" s="9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1"/>
      <c r="AV1" s="41"/>
      <c r="AW1" s="41"/>
      <c r="AX1" s="41"/>
      <c r="AY1" s="41"/>
      <c r="AZ1" s="41"/>
      <c r="BA1" s="41"/>
    </row>
    <row r="2" spans="1:66">
      <c r="A2" s="21"/>
    </row>
    <row r="3" spans="1:66">
      <c r="A3" s="21"/>
    </row>
    <row r="4" spans="1:66">
      <c r="A4" s="21"/>
    </row>
    <row r="5" spans="1:66">
      <c r="A5" s="21"/>
    </row>
    <row r="6" spans="1:66" ht="16.5">
      <c r="A6" s="21"/>
      <c r="B6" s="24"/>
      <c r="C6" s="24"/>
      <c r="D6" s="24" t="s">
        <v>687</v>
      </c>
      <c r="E6" s="24" t="s">
        <v>688</v>
      </c>
      <c r="F6" s="24" t="s">
        <v>689</v>
      </c>
      <c r="G6" s="24" t="s">
        <v>690</v>
      </c>
      <c r="H6" s="24">
        <v>2010</v>
      </c>
      <c r="I6" s="24" t="s">
        <v>691</v>
      </c>
      <c r="J6" s="24" t="s">
        <v>692</v>
      </c>
      <c r="K6" s="24" t="s">
        <v>693</v>
      </c>
      <c r="L6" s="24" t="s">
        <v>694</v>
      </c>
      <c r="M6" s="24">
        <v>2011</v>
      </c>
      <c r="N6" s="24" t="s">
        <v>695</v>
      </c>
      <c r="O6" s="24" t="s">
        <v>696</v>
      </c>
      <c r="P6" s="24" t="s">
        <v>697</v>
      </c>
      <c r="Q6" s="24" t="s">
        <v>698</v>
      </c>
      <c r="R6" s="24">
        <v>2012</v>
      </c>
      <c r="S6" s="24" t="s">
        <v>699</v>
      </c>
      <c r="T6" s="24" t="s">
        <v>700</v>
      </c>
      <c r="U6" s="24" t="s">
        <v>701</v>
      </c>
      <c r="V6" s="24" t="s">
        <v>702</v>
      </c>
      <c r="W6" s="24">
        <v>2013</v>
      </c>
      <c r="X6" s="24" t="s">
        <v>703</v>
      </c>
      <c r="Y6" s="24" t="s">
        <v>704</v>
      </c>
      <c r="Z6" s="24" t="s">
        <v>705</v>
      </c>
      <c r="AA6" s="24" t="s">
        <v>706</v>
      </c>
      <c r="AB6" s="24">
        <v>2014</v>
      </c>
      <c r="AC6" s="24" t="s">
        <v>707</v>
      </c>
      <c r="AD6" s="24" t="s">
        <v>708</v>
      </c>
      <c r="AE6" s="24" t="s">
        <v>709</v>
      </c>
      <c r="AF6" s="24" t="s">
        <v>710</v>
      </c>
      <c r="AG6" s="24">
        <v>2015</v>
      </c>
      <c r="AH6" s="24" t="s">
        <v>711</v>
      </c>
      <c r="AI6" s="24" t="s">
        <v>712</v>
      </c>
      <c r="AJ6" s="24" t="s">
        <v>713</v>
      </c>
      <c r="AK6" s="24" t="s">
        <v>714</v>
      </c>
      <c r="AL6" s="24">
        <v>2016</v>
      </c>
      <c r="AM6" s="24" t="s">
        <v>715</v>
      </c>
      <c r="AN6" s="24" t="s">
        <v>716</v>
      </c>
      <c r="AO6" s="24" t="s">
        <v>717</v>
      </c>
      <c r="AP6" s="24" t="s">
        <v>718</v>
      </c>
      <c r="AQ6" s="24">
        <v>2017</v>
      </c>
      <c r="AR6" s="24" t="s">
        <v>719</v>
      </c>
      <c r="AS6" s="24" t="s">
        <v>720</v>
      </c>
      <c r="AT6" s="24" t="s">
        <v>721</v>
      </c>
      <c r="AU6" s="24" t="s">
        <v>722</v>
      </c>
      <c r="AV6" s="24">
        <v>2018</v>
      </c>
      <c r="AW6" s="24" t="s">
        <v>723</v>
      </c>
      <c r="AX6" s="24" t="s">
        <v>724</v>
      </c>
      <c r="AY6" s="24" t="s">
        <v>725</v>
      </c>
      <c r="AZ6" s="24" t="s">
        <v>726</v>
      </c>
      <c r="BA6" s="24" t="s">
        <v>125</v>
      </c>
      <c r="BB6" s="24" t="s">
        <v>727</v>
      </c>
      <c r="BC6" s="24" t="s">
        <v>728</v>
      </c>
      <c r="BD6" s="24" t="s">
        <v>729</v>
      </c>
      <c r="BE6" s="24" t="s">
        <v>730</v>
      </c>
      <c r="BF6" s="24" t="s">
        <v>124</v>
      </c>
      <c r="BG6" s="24" t="s">
        <v>731</v>
      </c>
      <c r="BH6" s="24" t="s">
        <v>732</v>
      </c>
      <c r="BI6" s="24" t="s">
        <v>733</v>
      </c>
      <c r="BJ6" s="24" t="s">
        <v>734</v>
      </c>
      <c r="BK6" s="24" t="s">
        <v>735</v>
      </c>
      <c r="BL6" s="24" t="s">
        <v>736</v>
      </c>
      <c r="BM6" s="24" t="s">
        <v>737</v>
      </c>
      <c r="BN6" s="24" t="s">
        <v>738</v>
      </c>
    </row>
    <row r="7" spans="1:66" ht="16.5" customHeight="1">
      <c r="A7" s="21"/>
      <c r="B7" s="40" t="s">
        <v>126</v>
      </c>
      <c r="C7" s="23" t="s">
        <v>415</v>
      </c>
      <c r="D7" s="24" t="s">
        <v>22</v>
      </c>
      <c r="E7" s="24" t="s">
        <v>21</v>
      </c>
      <c r="F7" s="24" t="s">
        <v>20</v>
      </c>
      <c r="G7" s="24" t="s">
        <v>17</v>
      </c>
      <c r="H7" s="24">
        <v>2010</v>
      </c>
      <c r="I7" s="24" t="s">
        <v>19</v>
      </c>
      <c r="J7" s="24" t="s">
        <v>18</v>
      </c>
      <c r="K7" s="24" t="s">
        <v>16</v>
      </c>
      <c r="L7" s="24" t="s">
        <v>15</v>
      </c>
      <c r="M7" s="24">
        <v>2011</v>
      </c>
      <c r="N7" s="24" t="s">
        <v>14</v>
      </c>
      <c r="O7" s="24" t="s">
        <v>12</v>
      </c>
      <c r="P7" s="24" t="s">
        <v>10</v>
      </c>
      <c r="Q7" s="24" t="s">
        <v>9</v>
      </c>
      <c r="R7" s="24">
        <v>2012</v>
      </c>
      <c r="S7" s="24" t="s">
        <v>13</v>
      </c>
      <c r="T7" s="24" t="s">
        <v>11</v>
      </c>
      <c r="U7" s="24" t="s">
        <v>8</v>
      </c>
      <c r="V7" s="24" t="s">
        <v>25</v>
      </c>
      <c r="W7" s="24">
        <v>2013</v>
      </c>
      <c r="X7" s="24" t="s">
        <v>26</v>
      </c>
      <c r="Y7" s="24" t="s">
        <v>55</v>
      </c>
      <c r="Z7" s="24" t="s">
        <v>56</v>
      </c>
      <c r="AA7" s="24" t="s">
        <v>57</v>
      </c>
      <c r="AB7" s="24">
        <v>2014</v>
      </c>
      <c r="AC7" s="24" t="s">
        <v>58</v>
      </c>
      <c r="AD7" s="24" t="s">
        <v>59</v>
      </c>
      <c r="AE7" s="24" t="s">
        <v>60</v>
      </c>
      <c r="AF7" s="24" t="s">
        <v>62</v>
      </c>
      <c r="AG7" s="24">
        <v>2015</v>
      </c>
      <c r="AH7" s="24" t="s">
        <v>69</v>
      </c>
      <c r="AI7" s="24" t="s">
        <v>70</v>
      </c>
      <c r="AJ7" s="24" t="s">
        <v>72</v>
      </c>
      <c r="AK7" s="24" t="s">
        <v>73</v>
      </c>
      <c r="AL7" s="24">
        <v>2016</v>
      </c>
      <c r="AM7" s="24" t="s">
        <v>74</v>
      </c>
      <c r="AN7" s="24" t="s">
        <v>75</v>
      </c>
      <c r="AO7" s="24" t="s">
        <v>77</v>
      </c>
      <c r="AP7" s="24" t="s">
        <v>79</v>
      </c>
      <c r="AQ7" s="24">
        <v>2017</v>
      </c>
      <c r="AR7" s="24" t="s">
        <v>80</v>
      </c>
      <c r="AS7" s="24" t="s">
        <v>81</v>
      </c>
      <c r="AT7" s="24" t="s">
        <v>82</v>
      </c>
      <c r="AU7" s="24" t="s">
        <v>83</v>
      </c>
      <c r="AV7" s="24">
        <v>2018</v>
      </c>
      <c r="AW7" s="24" t="s">
        <v>86</v>
      </c>
      <c r="AX7" s="24" t="s">
        <v>87</v>
      </c>
      <c r="AY7" s="24" t="s">
        <v>88</v>
      </c>
      <c r="AZ7" s="24" t="s">
        <v>89</v>
      </c>
      <c r="BA7" s="24" t="s">
        <v>125</v>
      </c>
      <c r="BB7" s="24" t="s">
        <v>90</v>
      </c>
      <c r="BC7" s="24" t="s">
        <v>91</v>
      </c>
      <c r="BD7" s="24" t="s">
        <v>92</v>
      </c>
      <c r="BE7" s="24" t="s">
        <v>93</v>
      </c>
      <c r="BF7" s="24" t="s">
        <v>124</v>
      </c>
      <c r="BG7" s="24" t="s">
        <v>94</v>
      </c>
      <c r="BH7" s="24" t="s">
        <v>95</v>
      </c>
      <c r="BI7" s="24" t="s">
        <v>96</v>
      </c>
      <c r="BJ7" s="24" t="s">
        <v>97</v>
      </c>
      <c r="BK7" s="24" t="s">
        <v>98</v>
      </c>
      <c r="BL7" s="24" t="s">
        <v>99</v>
      </c>
      <c r="BM7" s="24" t="s">
        <v>302</v>
      </c>
      <c r="BN7" s="24" t="s">
        <v>305</v>
      </c>
    </row>
    <row r="8" spans="1:66">
      <c r="A8" s="21"/>
      <c r="BB8" s="29"/>
      <c r="BC8" s="29"/>
      <c r="BD8" s="29"/>
      <c r="BE8" s="29"/>
      <c r="BF8" s="29"/>
      <c r="BG8" s="29"/>
      <c r="BH8" s="29"/>
    </row>
    <row r="9" spans="1:66">
      <c r="A9" s="21"/>
      <c r="B9" s="5" t="s">
        <v>123</v>
      </c>
      <c r="C9" s="5" t="s">
        <v>392</v>
      </c>
      <c r="D9" s="36" t="e">
        <f>#REF!+#REF!+#REF!</f>
        <v>#REF!</v>
      </c>
      <c r="E9" s="36" t="e">
        <f>#REF!+#REF!+#REF!</f>
        <v>#REF!</v>
      </c>
      <c r="F9" s="36" t="e">
        <f>#REF!+#REF!+#REF!</f>
        <v>#REF!</v>
      </c>
      <c r="G9" s="36" t="e">
        <f>#REF!+#REF!+#REF!</f>
        <v>#REF!</v>
      </c>
      <c r="H9" s="33">
        <v>756849</v>
      </c>
      <c r="I9" s="33">
        <v>205999</v>
      </c>
      <c r="J9" s="33">
        <v>211993</v>
      </c>
      <c r="K9" s="33">
        <v>228211</v>
      </c>
      <c r="L9" s="33">
        <v>227716</v>
      </c>
      <c r="M9" s="33">
        <v>873919</v>
      </c>
      <c r="N9" s="33">
        <v>219007</v>
      </c>
      <c r="O9" s="33">
        <v>229875</v>
      </c>
      <c r="P9" s="33">
        <v>223469</v>
      </c>
      <c r="Q9" s="33">
        <v>224351</v>
      </c>
      <c r="R9" s="33">
        <v>896702</v>
      </c>
      <c r="S9" s="33">
        <v>267275</v>
      </c>
      <c r="T9" s="33">
        <v>275286</v>
      </c>
      <c r="U9" s="33">
        <v>315813</v>
      </c>
      <c r="V9" s="33">
        <v>316618</v>
      </c>
      <c r="W9" s="33">
        <v>1174992</v>
      </c>
      <c r="X9" s="33">
        <v>300145</v>
      </c>
      <c r="Y9" s="33">
        <v>294512</v>
      </c>
      <c r="Z9" s="33">
        <v>342796</v>
      </c>
      <c r="AA9" s="33">
        <v>358603</v>
      </c>
      <c r="AB9" s="33">
        <v>1296056</v>
      </c>
      <c r="AC9" s="33">
        <v>361093</v>
      </c>
      <c r="AD9" s="33">
        <v>378461</v>
      </c>
      <c r="AE9" s="33">
        <v>451289</v>
      </c>
      <c r="AF9" s="33">
        <v>446564</v>
      </c>
      <c r="AG9" s="33">
        <v>1637407</v>
      </c>
      <c r="AH9" s="33">
        <v>443148</v>
      </c>
      <c r="AI9" s="33">
        <v>437802</v>
      </c>
      <c r="AJ9" s="33">
        <v>425901</v>
      </c>
      <c r="AK9" s="33">
        <v>416999</v>
      </c>
      <c r="AL9" s="33">
        <v>1723850</v>
      </c>
      <c r="AM9" s="33">
        <v>358522</v>
      </c>
      <c r="AN9" s="33">
        <v>391928</v>
      </c>
      <c r="AO9" s="33">
        <v>412111</v>
      </c>
      <c r="AP9" s="33">
        <v>411913</v>
      </c>
      <c r="AQ9" s="33">
        <v>1574474</v>
      </c>
      <c r="AR9" s="33">
        <v>386331</v>
      </c>
      <c r="AS9" s="33">
        <v>421851</v>
      </c>
      <c r="AT9" s="33">
        <v>478851</v>
      </c>
      <c r="AU9" s="33">
        <v>447279</v>
      </c>
      <c r="AV9" s="33">
        <v>1734312</v>
      </c>
      <c r="AW9" s="33">
        <v>426779</v>
      </c>
      <c r="AX9" s="33">
        <v>463343</v>
      </c>
      <c r="AY9" s="33">
        <v>569035</v>
      </c>
      <c r="AZ9" s="33">
        <v>548805</v>
      </c>
      <c r="BA9" s="33">
        <v>2007962</v>
      </c>
      <c r="BB9" s="33">
        <v>463740</v>
      </c>
      <c r="BC9" s="33">
        <v>414624</v>
      </c>
      <c r="BD9" s="33">
        <v>522060</v>
      </c>
      <c r="BE9" s="33">
        <v>538718</v>
      </c>
      <c r="BF9" s="33">
        <v>1939142</v>
      </c>
      <c r="BG9" s="33">
        <v>489706</v>
      </c>
      <c r="BH9" s="33">
        <v>541122</v>
      </c>
      <c r="BI9" s="33">
        <v>583426</v>
      </c>
      <c r="BJ9" s="33">
        <v>583747</v>
      </c>
      <c r="BK9" s="33">
        <v>579657</v>
      </c>
      <c r="BL9" s="33">
        <v>601599</v>
      </c>
      <c r="BM9" s="33">
        <v>667228</v>
      </c>
      <c r="BN9" s="174">
        <v>588473</v>
      </c>
    </row>
    <row r="10" spans="1:66">
      <c r="A10" s="21"/>
      <c r="B10" s="6" t="s">
        <v>122</v>
      </c>
      <c r="C10" s="6" t="s">
        <v>393</v>
      </c>
      <c r="D10" s="12">
        <v>-128804</v>
      </c>
      <c r="E10" s="12">
        <v>-142920</v>
      </c>
      <c r="F10" s="12">
        <v>-144057</v>
      </c>
      <c r="G10" s="12">
        <v>-144287</v>
      </c>
      <c r="H10" s="37">
        <v>-560068</v>
      </c>
      <c r="I10" s="37">
        <v>-151598</v>
      </c>
      <c r="J10" s="37">
        <v>-154742</v>
      </c>
      <c r="K10" s="37">
        <v>-159497</v>
      </c>
      <c r="L10" s="37">
        <v>-162954</v>
      </c>
      <c r="M10" s="37">
        <v>-628791</v>
      </c>
      <c r="N10" s="37">
        <v>-154598</v>
      </c>
      <c r="O10" s="37">
        <v>-156892</v>
      </c>
      <c r="P10" s="37">
        <v>-153821</v>
      </c>
      <c r="Q10" s="37">
        <v>-158980</v>
      </c>
      <c r="R10" s="37">
        <v>-624291</v>
      </c>
      <c r="S10" s="37">
        <v>-201100</v>
      </c>
      <c r="T10" s="37">
        <v>-211133</v>
      </c>
      <c r="U10" s="37">
        <v>-229444</v>
      </c>
      <c r="V10" s="37">
        <v>-231349</v>
      </c>
      <c r="W10" s="37">
        <v>-873026</v>
      </c>
      <c r="X10" s="37">
        <v>-221985</v>
      </c>
      <c r="Y10" s="37">
        <v>-215623</v>
      </c>
      <c r="Z10" s="37">
        <v>-240854</v>
      </c>
      <c r="AA10" s="37">
        <v>-260811</v>
      </c>
      <c r="AB10" s="37">
        <v>-939273</v>
      </c>
      <c r="AC10" s="37">
        <v>-264864</v>
      </c>
      <c r="AD10" s="37">
        <v>-270720</v>
      </c>
      <c r="AE10" s="37">
        <v>-334104</v>
      </c>
      <c r="AF10" s="37">
        <v>-337007</v>
      </c>
      <c r="AG10" s="37">
        <v>-1206695</v>
      </c>
      <c r="AH10" s="37">
        <v>-336584</v>
      </c>
      <c r="AI10" s="37">
        <v>-325520</v>
      </c>
      <c r="AJ10" s="37">
        <v>-309984</v>
      </c>
      <c r="AK10" s="37">
        <f>AL10-AH10-AI10-AJ10</f>
        <v>-305112</v>
      </c>
      <c r="AL10" s="37">
        <v>-1277200</v>
      </c>
      <c r="AM10" s="37">
        <v>-281395</v>
      </c>
      <c r="AN10" s="37">
        <v>-307415</v>
      </c>
      <c r="AO10" s="37">
        <v>-312167</v>
      </c>
      <c r="AP10" s="37">
        <v>-319970</v>
      </c>
      <c r="AQ10" s="37">
        <v>-1220947</v>
      </c>
      <c r="AR10" s="37">
        <v>-285795</v>
      </c>
      <c r="AS10" s="37">
        <v>-318692</v>
      </c>
      <c r="AT10" s="37">
        <v>-359242</v>
      </c>
      <c r="AU10" s="37">
        <v>-347326</v>
      </c>
      <c r="AV10" s="37">
        <v>-1311055</v>
      </c>
      <c r="AW10" s="37">
        <v>-334074</v>
      </c>
      <c r="AX10" s="37">
        <v>-369727</v>
      </c>
      <c r="AY10" s="37">
        <v>-433019</v>
      </c>
      <c r="AZ10" s="37">
        <v>-429944</v>
      </c>
      <c r="BA10" s="37">
        <v>-1566764</v>
      </c>
      <c r="BB10" s="37">
        <v>-376929</v>
      </c>
      <c r="BC10" s="37">
        <v>-372551</v>
      </c>
      <c r="BD10" s="37">
        <v>-412820</v>
      </c>
      <c r="BE10" s="37">
        <v>-434006</v>
      </c>
      <c r="BF10" s="37">
        <v>-1596306</v>
      </c>
      <c r="BG10" s="37">
        <v>-392039</v>
      </c>
      <c r="BH10" s="37">
        <v>-399429.73</v>
      </c>
      <c r="BI10" s="37">
        <v>-443691.35999999987</v>
      </c>
      <c r="BJ10" s="37">
        <v>-447319.37000000011</v>
      </c>
      <c r="BK10" s="37">
        <v>-426086.36</v>
      </c>
      <c r="BL10" s="37">
        <v>-413573.37</v>
      </c>
      <c r="BM10" s="37">
        <v>-455699.27</v>
      </c>
      <c r="BN10" s="175">
        <v>-401947.44000000018</v>
      </c>
    </row>
    <row r="11" spans="1:66">
      <c r="A11" s="21"/>
      <c r="B11" s="5" t="s">
        <v>121</v>
      </c>
      <c r="C11" s="5" t="s">
        <v>394</v>
      </c>
      <c r="D11" s="36" t="e">
        <f t="shared" ref="D11:AJ11" si="0">D9+D10</f>
        <v>#REF!</v>
      </c>
      <c r="E11" s="36" t="e">
        <f t="shared" si="0"/>
        <v>#REF!</v>
      </c>
      <c r="F11" s="36" t="e">
        <f t="shared" si="0"/>
        <v>#REF!</v>
      </c>
      <c r="G11" s="36" t="e">
        <f t="shared" si="0"/>
        <v>#REF!</v>
      </c>
      <c r="H11" s="33">
        <f t="shared" si="0"/>
        <v>196781</v>
      </c>
      <c r="I11" s="33">
        <f t="shared" si="0"/>
        <v>54401</v>
      </c>
      <c r="J11" s="33">
        <f t="shared" si="0"/>
        <v>57251</v>
      </c>
      <c r="K11" s="33">
        <f t="shared" si="0"/>
        <v>68714</v>
      </c>
      <c r="L11" s="33">
        <f t="shared" si="0"/>
        <v>64762</v>
      </c>
      <c r="M11" s="33">
        <f t="shared" si="0"/>
        <v>245128</v>
      </c>
      <c r="N11" s="33">
        <f t="shared" si="0"/>
        <v>64409</v>
      </c>
      <c r="O11" s="33">
        <f t="shared" si="0"/>
        <v>72983</v>
      </c>
      <c r="P11" s="33">
        <f t="shared" si="0"/>
        <v>69648</v>
      </c>
      <c r="Q11" s="33">
        <f t="shared" si="0"/>
        <v>65371</v>
      </c>
      <c r="R11" s="33">
        <f t="shared" si="0"/>
        <v>272411</v>
      </c>
      <c r="S11" s="33">
        <f t="shared" si="0"/>
        <v>66175</v>
      </c>
      <c r="T11" s="33">
        <f t="shared" si="0"/>
        <v>64153</v>
      </c>
      <c r="U11" s="33">
        <f t="shared" si="0"/>
        <v>86369</v>
      </c>
      <c r="V11" s="33">
        <f t="shared" si="0"/>
        <v>85269</v>
      </c>
      <c r="W11" s="33">
        <f t="shared" si="0"/>
        <v>301966</v>
      </c>
      <c r="X11" s="33">
        <f t="shared" si="0"/>
        <v>78160</v>
      </c>
      <c r="Y11" s="33">
        <f t="shared" si="0"/>
        <v>78889</v>
      </c>
      <c r="Z11" s="33">
        <f t="shared" si="0"/>
        <v>101942</v>
      </c>
      <c r="AA11" s="33">
        <f t="shared" si="0"/>
        <v>97792</v>
      </c>
      <c r="AB11" s="33">
        <f t="shared" si="0"/>
        <v>356783</v>
      </c>
      <c r="AC11" s="33">
        <f t="shared" si="0"/>
        <v>96229</v>
      </c>
      <c r="AD11" s="33">
        <f t="shared" si="0"/>
        <v>107741</v>
      </c>
      <c r="AE11" s="33">
        <f t="shared" si="0"/>
        <v>117185</v>
      </c>
      <c r="AF11" s="33">
        <f t="shared" si="0"/>
        <v>109557</v>
      </c>
      <c r="AG11" s="33">
        <f t="shared" si="0"/>
        <v>430712</v>
      </c>
      <c r="AH11" s="33">
        <f t="shared" si="0"/>
        <v>106564</v>
      </c>
      <c r="AI11" s="33">
        <f t="shared" si="0"/>
        <v>112282</v>
      </c>
      <c r="AJ11" s="33">
        <f t="shared" si="0"/>
        <v>115917</v>
      </c>
      <c r="AK11" s="33">
        <f>AL11-AH11-AI11-AJ11</f>
        <v>111887</v>
      </c>
      <c r="AL11" s="33">
        <f t="shared" ref="AL11:BM11" si="1">AL9+AL10</f>
        <v>446650</v>
      </c>
      <c r="AM11" s="33">
        <f t="shared" si="1"/>
        <v>77127</v>
      </c>
      <c r="AN11" s="33">
        <f t="shared" si="1"/>
        <v>84513</v>
      </c>
      <c r="AO11" s="33">
        <f t="shared" si="1"/>
        <v>99944</v>
      </c>
      <c r="AP11" s="33">
        <f t="shared" si="1"/>
        <v>91943</v>
      </c>
      <c r="AQ11" s="33">
        <f t="shared" si="1"/>
        <v>353527</v>
      </c>
      <c r="AR11" s="33">
        <f t="shared" si="1"/>
        <v>100536</v>
      </c>
      <c r="AS11" s="33">
        <f t="shared" si="1"/>
        <v>103159</v>
      </c>
      <c r="AT11" s="33">
        <f t="shared" si="1"/>
        <v>119609</v>
      </c>
      <c r="AU11" s="33">
        <f t="shared" si="1"/>
        <v>99953</v>
      </c>
      <c r="AV11" s="33">
        <f t="shared" si="1"/>
        <v>423257</v>
      </c>
      <c r="AW11" s="33">
        <f t="shared" si="1"/>
        <v>92705</v>
      </c>
      <c r="AX11" s="33">
        <f t="shared" si="1"/>
        <v>93616</v>
      </c>
      <c r="AY11" s="33">
        <f t="shared" si="1"/>
        <v>136016</v>
      </c>
      <c r="AZ11" s="33">
        <f t="shared" si="1"/>
        <v>118861</v>
      </c>
      <c r="BA11" s="33">
        <f t="shared" si="1"/>
        <v>441198</v>
      </c>
      <c r="BB11" s="33">
        <f t="shared" si="1"/>
        <v>86811</v>
      </c>
      <c r="BC11" s="33">
        <f t="shared" si="1"/>
        <v>42073</v>
      </c>
      <c r="BD11" s="33">
        <f t="shared" si="1"/>
        <v>109240</v>
      </c>
      <c r="BE11" s="33">
        <f t="shared" si="1"/>
        <v>104712</v>
      </c>
      <c r="BF11" s="33">
        <f t="shared" si="1"/>
        <v>342836</v>
      </c>
      <c r="BG11" s="33">
        <f t="shared" si="1"/>
        <v>97667</v>
      </c>
      <c r="BH11" s="33">
        <f t="shared" si="1"/>
        <v>141692.27000000002</v>
      </c>
      <c r="BI11" s="33">
        <f t="shared" si="1"/>
        <v>139734.64000000013</v>
      </c>
      <c r="BJ11" s="33">
        <f t="shared" si="1"/>
        <v>136427.62999999989</v>
      </c>
      <c r="BK11" s="33">
        <f t="shared" si="1"/>
        <v>153570.64000000001</v>
      </c>
      <c r="BL11" s="33">
        <f t="shared" si="1"/>
        <v>188025.63</v>
      </c>
      <c r="BM11" s="33">
        <f t="shared" si="1"/>
        <v>211528.72999999998</v>
      </c>
      <c r="BN11" s="174">
        <f>BN9+BN10</f>
        <v>186525.55999999982</v>
      </c>
    </row>
    <row r="12" spans="1:66">
      <c r="A12" s="21"/>
      <c r="B12" s="5"/>
      <c r="C12" s="5"/>
      <c r="D12" s="36"/>
      <c r="E12" s="36"/>
      <c r="F12" s="36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1"/>
      <c r="Z12" s="31"/>
      <c r="AA12" s="31"/>
      <c r="AB12" s="33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BB12" s="29"/>
      <c r="BC12" s="29"/>
      <c r="BD12" s="29"/>
      <c r="BE12" s="29"/>
      <c r="BF12" s="29"/>
      <c r="BG12" s="29"/>
      <c r="BH12" s="29"/>
      <c r="BN12" s="25"/>
    </row>
    <row r="13" spans="1:66">
      <c r="A13" s="21"/>
      <c r="B13" s="146" t="s">
        <v>120</v>
      </c>
      <c r="C13" s="146" t="s">
        <v>395</v>
      </c>
      <c r="D13" s="151"/>
      <c r="E13" s="151"/>
      <c r="F13" s="151"/>
      <c r="G13" s="151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3"/>
      <c r="Z13" s="153"/>
      <c r="AA13" s="153"/>
      <c r="AB13" s="152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49"/>
      <c r="BJ13" s="149"/>
      <c r="BK13" s="149"/>
      <c r="BL13" s="149"/>
      <c r="BM13" s="149"/>
      <c r="BN13" s="176"/>
    </row>
    <row r="14" spans="1:66">
      <c r="A14" s="21"/>
      <c r="B14" s="6" t="s">
        <v>119</v>
      </c>
      <c r="C14" s="6" t="s">
        <v>396</v>
      </c>
      <c r="D14" s="12">
        <v>-6461</v>
      </c>
      <c r="E14" s="12">
        <v>-9316</v>
      </c>
      <c r="F14" s="12">
        <v>-9400</v>
      </c>
      <c r="G14" s="12">
        <v>-9096</v>
      </c>
      <c r="H14" s="37">
        <v>-34273</v>
      </c>
      <c r="I14" s="37">
        <v>-10048</v>
      </c>
      <c r="J14" s="37">
        <v>-13919</v>
      </c>
      <c r="K14" s="37">
        <v>-15266</v>
      </c>
      <c r="L14" s="37">
        <v>-17168</v>
      </c>
      <c r="M14" s="37">
        <v>-56401</v>
      </c>
      <c r="N14" s="37">
        <v>-16277</v>
      </c>
      <c r="O14" s="37">
        <v>-15092</v>
      </c>
      <c r="P14" s="37">
        <v>-16537</v>
      </c>
      <c r="Q14" s="37">
        <v>-10800</v>
      </c>
      <c r="R14" s="37">
        <v>-58706</v>
      </c>
      <c r="S14" s="37">
        <v>-18551</v>
      </c>
      <c r="T14" s="37">
        <v>-21187</v>
      </c>
      <c r="U14" s="37">
        <v>-23585</v>
      </c>
      <c r="V14" s="37">
        <v>-21638</v>
      </c>
      <c r="W14" s="37">
        <v>-84961</v>
      </c>
      <c r="X14" s="37">
        <v>-23588</v>
      </c>
      <c r="Y14" s="37">
        <v>-24758</v>
      </c>
      <c r="Z14" s="37">
        <v>-24759</v>
      </c>
      <c r="AA14" s="37">
        <v>-22667</v>
      </c>
      <c r="AB14" s="37">
        <v>-95772</v>
      </c>
      <c r="AC14" s="37">
        <v>-26761</v>
      </c>
      <c r="AD14" s="37">
        <v>-26881</v>
      </c>
      <c r="AE14" s="37">
        <v>-34134</v>
      </c>
      <c r="AF14" s="37">
        <v>-32873</v>
      </c>
      <c r="AG14" s="37">
        <v>-120649</v>
      </c>
      <c r="AH14" s="37">
        <v>-36904</v>
      </c>
      <c r="AI14" s="37">
        <v>-37706</v>
      </c>
      <c r="AJ14" s="37">
        <v>-37604</v>
      </c>
      <c r="AK14" s="37">
        <f>AL14-AH14-AI14-AJ14</f>
        <v>-51722</v>
      </c>
      <c r="AL14" s="37">
        <v>-163936</v>
      </c>
      <c r="AM14" s="37">
        <v>-28008</v>
      </c>
      <c r="AN14" s="37">
        <v>-28102</v>
      </c>
      <c r="AO14" s="37">
        <v>-31916</v>
      </c>
      <c r="AP14" s="37">
        <v>-27095</v>
      </c>
      <c r="AQ14" s="37">
        <v>-115121</v>
      </c>
      <c r="AR14" s="37">
        <v>-31253</v>
      </c>
      <c r="AS14" s="37">
        <v>-31699</v>
      </c>
      <c r="AT14" s="37">
        <v>-44096</v>
      </c>
      <c r="AU14" s="37">
        <v>-28604</v>
      </c>
      <c r="AV14" s="37">
        <v>-135652</v>
      </c>
      <c r="AW14" s="37">
        <v>-33638</v>
      </c>
      <c r="AX14" s="37">
        <v>-39091</v>
      </c>
      <c r="AY14" s="37">
        <v>-48732</v>
      </c>
      <c r="AZ14" s="37">
        <v>-47661</v>
      </c>
      <c r="BA14" s="37">
        <v>-169122</v>
      </c>
      <c r="BB14" s="37">
        <v>-36930</v>
      </c>
      <c r="BC14" s="37">
        <v>-36494</v>
      </c>
      <c r="BD14" s="37">
        <v>-39688</v>
      </c>
      <c r="BE14" s="37">
        <v>-69901</v>
      </c>
      <c r="BF14" s="37">
        <v>-183013</v>
      </c>
      <c r="BG14" s="37">
        <v>-40453</v>
      </c>
      <c r="BH14" s="37">
        <v>-64515</v>
      </c>
      <c r="BI14" s="37">
        <v>-45952</v>
      </c>
      <c r="BJ14" s="37">
        <v>-40671</v>
      </c>
      <c r="BK14" s="37">
        <v>-46553</v>
      </c>
      <c r="BL14" s="37">
        <v>-52342</v>
      </c>
      <c r="BM14" s="37">
        <v>-47344</v>
      </c>
      <c r="BN14" s="175">
        <v>-43351</v>
      </c>
    </row>
    <row r="15" spans="1:66">
      <c r="A15" s="21"/>
      <c r="B15" s="6" t="s">
        <v>118</v>
      </c>
      <c r="C15" s="6" t="s">
        <v>397</v>
      </c>
      <c r="D15" s="12">
        <v>-5609</v>
      </c>
      <c r="E15" s="12">
        <v>-5610</v>
      </c>
      <c r="F15" s="12">
        <v>-6346</v>
      </c>
      <c r="G15" s="12">
        <v>-6284</v>
      </c>
      <c r="H15" s="37">
        <v>-23849</v>
      </c>
      <c r="I15" s="37">
        <v>-9483</v>
      </c>
      <c r="J15" s="37">
        <v>-7149</v>
      </c>
      <c r="K15" s="37">
        <v>-8896</v>
      </c>
      <c r="L15" s="37">
        <v>-8184</v>
      </c>
      <c r="M15" s="37">
        <v>-33712</v>
      </c>
      <c r="N15" s="37">
        <v>-10737</v>
      </c>
      <c r="O15" s="37">
        <v>-9679</v>
      </c>
      <c r="P15" s="37">
        <v>-8991</v>
      </c>
      <c r="Q15" s="37">
        <v>-8663</v>
      </c>
      <c r="R15" s="37">
        <v>-38070</v>
      </c>
      <c r="S15" s="37">
        <v>-9918</v>
      </c>
      <c r="T15" s="37">
        <v>-14656</v>
      </c>
      <c r="U15" s="37">
        <v>-10987</v>
      </c>
      <c r="V15" s="37">
        <v>-13193</v>
      </c>
      <c r="W15" s="37">
        <v>-48754</v>
      </c>
      <c r="X15" s="37">
        <v>-13532</v>
      </c>
      <c r="Y15" s="37">
        <v>-13889</v>
      </c>
      <c r="Z15" s="37">
        <v>-15143</v>
      </c>
      <c r="AA15" s="37">
        <v>-18827</v>
      </c>
      <c r="AB15" s="37">
        <v>-61391</v>
      </c>
      <c r="AC15" s="37">
        <v>-20943</v>
      </c>
      <c r="AD15" s="37">
        <v>-25502</v>
      </c>
      <c r="AE15" s="37">
        <v>-22962</v>
      </c>
      <c r="AF15" s="37">
        <v>-26438</v>
      </c>
      <c r="AG15" s="37">
        <v>-95845</v>
      </c>
      <c r="AH15" s="37">
        <v>-26160</v>
      </c>
      <c r="AI15" s="37">
        <v>-27638</v>
      </c>
      <c r="AJ15" s="37">
        <v>-26056</v>
      </c>
      <c r="AK15" s="37">
        <f>AL15-AH15-AI15-AJ15</f>
        <v>-21560</v>
      </c>
      <c r="AL15" s="37">
        <v>-101414</v>
      </c>
      <c r="AM15" s="37">
        <v>-22768</v>
      </c>
      <c r="AN15" s="37">
        <v>-21841</v>
      </c>
      <c r="AO15" s="37">
        <v>-20064</v>
      </c>
      <c r="AP15" s="37">
        <v>-23441</v>
      </c>
      <c r="AQ15" s="37">
        <v>-88114</v>
      </c>
      <c r="AR15" s="37">
        <v>-20629</v>
      </c>
      <c r="AS15" s="37">
        <v>-20842</v>
      </c>
      <c r="AT15" s="37">
        <v>-21238</v>
      </c>
      <c r="AU15" s="37">
        <v>-23588</v>
      </c>
      <c r="AV15" s="37">
        <v>-86297</v>
      </c>
      <c r="AW15" s="37">
        <v>-20752</v>
      </c>
      <c r="AX15" s="37">
        <v>-21304</v>
      </c>
      <c r="AY15" s="37">
        <v>-19489</v>
      </c>
      <c r="AZ15" s="37">
        <v>-20930</v>
      </c>
      <c r="BA15" s="37">
        <v>-82475</v>
      </c>
      <c r="BB15" s="37">
        <v>-19884</v>
      </c>
      <c r="BC15" s="37">
        <v>-20960</v>
      </c>
      <c r="BD15" s="37">
        <v>-28727</v>
      </c>
      <c r="BE15" s="37">
        <v>-21369</v>
      </c>
      <c r="BF15" s="37">
        <v>-90940</v>
      </c>
      <c r="BG15" s="37">
        <v>-26703</v>
      </c>
      <c r="BH15" s="37">
        <v>-35907</v>
      </c>
      <c r="BI15" s="37">
        <v>-30075.999999999996</v>
      </c>
      <c r="BJ15" s="37">
        <v>-32509</v>
      </c>
      <c r="BK15" s="37">
        <v>-37963</v>
      </c>
      <c r="BL15" s="37">
        <v>-31644</v>
      </c>
      <c r="BM15" s="37">
        <v>-46188</v>
      </c>
      <c r="BN15" s="175">
        <v>-25009</v>
      </c>
    </row>
    <row r="16" spans="1:66">
      <c r="A16" s="21"/>
      <c r="B16" s="6" t="s">
        <v>117</v>
      </c>
      <c r="C16" s="6" t="s">
        <v>398</v>
      </c>
      <c r="D16" s="12">
        <v>-444</v>
      </c>
      <c r="E16" s="12">
        <v>225</v>
      </c>
      <c r="F16" s="12">
        <v>-1050</v>
      </c>
      <c r="G16" s="12">
        <v>-716</v>
      </c>
      <c r="H16" s="37">
        <v>-1985</v>
      </c>
      <c r="I16" s="37">
        <v>-245</v>
      </c>
      <c r="J16" s="37">
        <v>64</v>
      </c>
      <c r="K16" s="37">
        <v>-1039</v>
      </c>
      <c r="L16" s="37">
        <v>-1932</v>
      </c>
      <c r="M16" s="37">
        <v>-3152</v>
      </c>
      <c r="N16" s="37">
        <v>-463</v>
      </c>
      <c r="O16" s="37">
        <v>2163</v>
      </c>
      <c r="P16" s="37">
        <v>-1660</v>
      </c>
      <c r="Q16" s="37">
        <v>-16790</v>
      </c>
      <c r="R16" s="37">
        <v>-16750</v>
      </c>
      <c r="S16" s="37">
        <v>-949</v>
      </c>
      <c r="T16" s="37">
        <v>-4603</v>
      </c>
      <c r="U16" s="37">
        <v>-25837</v>
      </c>
      <c r="V16" s="37">
        <v>-6087</v>
      </c>
      <c r="W16" s="37">
        <v>-37476</v>
      </c>
      <c r="X16" s="37">
        <v>-626</v>
      </c>
      <c r="Y16" s="37">
        <v>-1236</v>
      </c>
      <c r="Z16" s="37">
        <v>-1360</v>
      </c>
      <c r="AA16" s="37">
        <v>-11477</v>
      </c>
      <c r="AB16" s="37">
        <v>-14699</v>
      </c>
      <c r="AC16" s="37">
        <v>-1659</v>
      </c>
      <c r="AD16" s="37">
        <v>-7635</v>
      </c>
      <c r="AE16" s="37">
        <v>-3694</v>
      </c>
      <c r="AF16" s="37">
        <v>-13023</v>
      </c>
      <c r="AG16" s="37">
        <v>-26011</v>
      </c>
      <c r="AH16" s="37">
        <v>-6450</v>
      </c>
      <c r="AI16" s="37">
        <v>-42329</v>
      </c>
      <c r="AJ16" s="37">
        <v>-9353</v>
      </c>
      <c r="AK16" s="37">
        <f>AL16-AH16-AI16-AJ16</f>
        <v>-9972</v>
      </c>
      <c r="AL16" s="37">
        <v>-68104</v>
      </c>
      <c r="AM16" s="37">
        <v>-17203</v>
      </c>
      <c r="AN16" s="37">
        <v>-12672</v>
      </c>
      <c r="AO16" s="37">
        <v>-14164</v>
      </c>
      <c r="AP16" s="37">
        <v>-10859</v>
      </c>
      <c r="AQ16" s="39">
        <v>-54898</v>
      </c>
      <c r="AR16" s="37">
        <v>-11672</v>
      </c>
      <c r="AS16" s="37">
        <v>-12684</v>
      </c>
      <c r="AT16" s="37">
        <v>-4746</v>
      </c>
      <c r="AU16" s="37">
        <v>-16882</v>
      </c>
      <c r="AV16" s="37">
        <v>-45984</v>
      </c>
      <c r="AW16" s="37">
        <v>-4362</v>
      </c>
      <c r="AX16" s="37">
        <v>-2803</v>
      </c>
      <c r="AY16" s="37">
        <v>-6934</v>
      </c>
      <c r="AZ16" s="37">
        <v>-47479</v>
      </c>
      <c r="BA16" s="37">
        <v>-61578</v>
      </c>
      <c r="BB16" s="37">
        <v>2597</v>
      </c>
      <c r="BC16" s="37">
        <v>-130934</v>
      </c>
      <c r="BD16" s="37">
        <v>-11259</v>
      </c>
      <c r="BE16" s="37">
        <v>-39454</v>
      </c>
      <c r="BF16" s="37">
        <v>-179050</v>
      </c>
      <c r="BG16" s="37">
        <v>-10477</v>
      </c>
      <c r="BH16" s="37">
        <v>-31972</v>
      </c>
      <c r="BI16" s="37">
        <v>-5151</v>
      </c>
      <c r="BJ16" s="37">
        <v>-12621</v>
      </c>
      <c r="BK16" s="37">
        <v>-8357</v>
      </c>
      <c r="BL16" s="37">
        <v>-64636</v>
      </c>
      <c r="BM16" s="37">
        <v>-44600</v>
      </c>
      <c r="BN16" s="175">
        <v>-67421</v>
      </c>
    </row>
    <row r="17" spans="1:66">
      <c r="A17" s="21"/>
      <c r="B17" s="6" t="s">
        <v>116</v>
      </c>
      <c r="C17" s="6" t="s">
        <v>399</v>
      </c>
      <c r="D17" s="12">
        <v>0</v>
      </c>
      <c r="E17" s="12">
        <v>0</v>
      </c>
      <c r="F17" s="12">
        <v>499</v>
      </c>
      <c r="G17" s="12">
        <v>406</v>
      </c>
      <c r="H17" s="37">
        <v>905</v>
      </c>
      <c r="I17" s="37">
        <v>719</v>
      </c>
      <c r="J17" s="37">
        <v>843</v>
      </c>
      <c r="K17" s="37">
        <v>812</v>
      </c>
      <c r="L17" s="37">
        <v>1473</v>
      </c>
      <c r="M17" s="37">
        <v>3847</v>
      </c>
      <c r="N17" s="37">
        <v>1795</v>
      </c>
      <c r="O17" s="37">
        <v>1027</v>
      </c>
      <c r="P17" s="37">
        <v>1468</v>
      </c>
      <c r="Q17" s="37">
        <v>-1150</v>
      </c>
      <c r="R17" s="37">
        <v>3140</v>
      </c>
      <c r="S17" s="37">
        <v>854</v>
      </c>
      <c r="T17" s="37">
        <v>182</v>
      </c>
      <c r="U17" s="37">
        <v>2279</v>
      </c>
      <c r="V17" s="37">
        <v>-972</v>
      </c>
      <c r="W17" s="37">
        <v>2343</v>
      </c>
      <c r="X17" s="37">
        <v>1333</v>
      </c>
      <c r="Y17" s="37">
        <v>-711</v>
      </c>
      <c r="Z17" s="37">
        <v>-6117</v>
      </c>
      <c r="AA17" s="37">
        <v>-6398</v>
      </c>
      <c r="AB17" s="37">
        <v>-11893</v>
      </c>
      <c r="AC17" s="37">
        <v>911</v>
      </c>
      <c r="AD17" s="37">
        <v>731</v>
      </c>
      <c r="AE17" s="37">
        <v>585</v>
      </c>
      <c r="AF17" s="37">
        <v>3218</v>
      </c>
      <c r="AG17" s="37">
        <v>5445</v>
      </c>
      <c r="AH17" s="37">
        <v>1100</v>
      </c>
      <c r="AI17" s="37">
        <v>805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-311</v>
      </c>
      <c r="AP17" s="37">
        <v>-1348</v>
      </c>
      <c r="AQ17" s="37">
        <v>-1659</v>
      </c>
      <c r="AR17" s="37">
        <v>-278</v>
      </c>
      <c r="AS17" s="37">
        <v>-976</v>
      </c>
      <c r="AT17" s="37">
        <v>-791</v>
      </c>
      <c r="AU17" s="37">
        <v>-632</v>
      </c>
      <c r="AV17" s="37">
        <v>-2677</v>
      </c>
      <c r="AW17" s="37">
        <v>-218</v>
      </c>
      <c r="AX17" s="37">
        <v>-549</v>
      </c>
      <c r="AY17" s="37">
        <v>-14</v>
      </c>
      <c r="AZ17" s="37">
        <v>3127</v>
      </c>
      <c r="BA17" s="37">
        <v>2346</v>
      </c>
      <c r="BB17" s="37">
        <v>-156</v>
      </c>
      <c r="BC17" s="37">
        <v>-1731</v>
      </c>
      <c r="BD17" s="37">
        <v>691</v>
      </c>
      <c r="BE17" s="37">
        <f>--1997</f>
        <v>1997</v>
      </c>
      <c r="BF17" s="37">
        <v>801</v>
      </c>
      <c r="BG17" s="37">
        <v>36</v>
      </c>
      <c r="BH17" s="37">
        <v>-387</v>
      </c>
      <c r="BI17" s="37">
        <v>-681</v>
      </c>
      <c r="BJ17" s="37">
        <v>-1596</v>
      </c>
      <c r="BK17" s="37">
        <v>-354</v>
      </c>
      <c r="BL17" s="37">
        <v>-876</v>
      </c>
      <c r="BM17" s="37">
        <v>-630</v>
      </c>
      <c r="BN17" s="175">
        <v>-1586</v>
      </c>
    </row>
    <row r="18" spans="1:66">
      <c r="A18" s="21"/>
      <c r="D18" s="36">
        <f t="shared" ref="D18:AI18" si="2">SUM(D14:D17)</f>
        <v>-12514</v>
      </c>
      <c r="E18" s="36">
        <f t="shared" si="2"/>
        <v>-14701</v>
      </c>
      <c r="F18" s="36">
        <f t="shared" si="2"/>
        <v>-16297</v>
      </c>
      <c r="G18" s="36">
        <f t="shared" si="2"/>
        <v>-15690</v>
      </c>
      <c r="H18" s="33">
        <f t="shared" si="2"/>
        <v>-59202</v>
      </c>
      <c r="I18" s="33">
        <f t="shared" si="2"/>
        <v>-19057</v>
      </c>
      <c r="J18" s="33">
        <f t="shared" si="2"/>
        <v>-20161</v>
      </c>
      <c r="K18" s="33">
        <f t="shared" si="2"/>
        <v>-24389</v>
      </c>
      <c r="L18" s="33">
        <f t="shared" si="2"/>
        <v>-25811</v>
      </c>
      <c r="M18" s="33">
        <f t="shared" si="2"/>
        <v>-89418</v>
      </c>
      <c r="N18" s="33">
        <f t="shared" si="2"/>
        <v>-25682</v>
      </c>
      <c r="O18" s="33">
        <f t="shared" si="2"/>
        <v>-21581</v>
      </c>
      <c r="P18" s="33">
        <f t="shared" si="2"/>
        <v>-25720</v>
      </c>
      <c r="Q18" s="33">
        <f t="shared" si="2"/>
        <v>-37403</v>
      </c>
      <c r="R18" s="33">
        <f t="shared" si="2"/>
        <v>-110386</v>
      </c>
      <c r="S18" s="33">
        <f t="shared" si="2"/>
        <v>-28564</v>
      </c>
      <c r="T18" s="33">
        <f t="shared" si="2"/>
        <v>-40264</v>
      </c>
      <c r="U18" s="33">
        <f t="shared" si="2"/>
        <v>-58130</v>
      </c>
      <c r="V18" s="33">
        <f t="shared" si="2"/>
        <v>-41890</v>
      </c>
      <c r="W18" s="33">
        <f t="shared" si="2"/>
        <v>-168848</v>
      </c>
      <c r="X18" s="33">
        <f t="shared" si="2"/>
        <v>-36413</v>
      </c>
      <c r="Y18" s="33">
        <f t="shared" si="2"/>
        <v>-40594</v>
      </c>
      <c r="Z18" s="33">
        <f t="shared" si="2"/>
        <v>-47379</v>
      </c>
      <c r="AA18" s="33">
        <f t="shared" si="2"/>
        <v>-59369</v>
      </c>
      <c r="AB18" s="33">
        <f t="shared" si="2"/>
        <v>-183755</v>
      </c>
      <c r="AC18" s="33">
        <f t="shared" si="2"/>
        <v>-48452</v>
      </c>
      <c r="AD18" s="33">
        <f t="shared" si="2"/>
        <v>-59287</v>
      </c>
      <c r="AE18" s="33">
        <f t="shared" si="2"/>
        <v>-60205</v>
      </c>
      <c r="AF18" s="33">
        <f t="shared" si="2"/>
        <v>-69116</v>
      </c>
      <c r="AG18" s="33">
        <f t="shared" si="2"/>
        <v>-237060</v>
      </c>
      <c r="AH18" s="33">
        <f t="shared" si="2"/>
        <v>-68414</v>
      </c>
      <c r="AI18" s="33">
        <f t="shared" si="2"/>
        <v>-106868</v>
      </c>
      <c r="AJ18" s="33">
        <f t="shared" ref="AJ18:BN18" si="3">SUM(AJ14:AJ17)</f>
        <v>-73013</v>
      </c>
      <c r="AK18" s="33">
        <f t="shared" si="3"/>
        <v>-83254</v>
      </c>
      <c r="AL18" s="33">
        <f t="shared" si="3"/>
        <v>-333454</v>
      </c>
      <c r="AM18" s="33">
        <f t="shared" si="3"/>
        <v>-67979</v>
      </c>
      <c r="AN18" s="33">
        <f t="shared" si="3"/>
        <v>-62615</v>
      </c>
      <c r="AO18" s="33">
        <f t="shared" si="3"/>
        <v>-66455</v>
      </c>
      <c r="AP18" s="33">
        <f t="shared" si="3"/>
        <v>-62743</v>
      </c>
      <c r="AQ18" s="33">
        <f t="shared" si="3"/>
        <v>-259792</v>
      </c>
      <c r="AR18" s="33">
        <f t="shared" si="3"/>
        <v>-63832</v>
      </c>
      <c r="AS18" s="33">
        <f t="shared" si="3"/>
        <v>-66201</v>
      </c>
      <c r="AT18" s="33">
        <f t="shared" si="3"/>
        <v>-70871</v>
      </c>
      <c r="AU18" s="33">
        <f t="shared" si="3"/>
        <v>-69706</v>
      </c>
      <c r="AV18" s="33">
        <f t="shared" si="3"/>
        <v>-270610</v>
      </c>
      <c r="AW18" s="33">
        <f t="shared" si="3"/>
        <v>-58970</v>
      </c>
      <c r="AX18" s="33">
        <f t="shared" si="3"/>
        <v>-63747</v>
      </c>
      <c r="AY18" s="33">
        <f t="shared" si="3"/>
        <v>-75169</v>
      </c>
      <c r="AZ18" s="33">
        <f t="shared" si="3"/>
        <v>-112943</v>
      </c>
      <c r="BA18" s="33">
        <f t="shared" si="3"/>
        <v>-310829</v>
      </c>
      <c r="BB18" s="33">
        <f t="shared" si="3"/>
        <v>-54373</v>
      </c>
      <c r="BC18" s="33">
        <f t="shared" si="3"/>
        <v>-190119</v>
      </c>
      <c r="BD18" s="33">
        <f t="shared" si="3"/>
        <v>-78983</v>
      </c>
      <c r="BE18" s="33">
        <f t="shared" si="3"/>
        <v>-128727</v>
      </c>
      <c r="BF18" s="33">
        <f t="shared" si="3"/>
        <v>-452202</v>
      </c>
      <c r="BG18" s="33">
        <f t="shared" si="3"/>
        <v>-77597</v>
      </c>
      <c r="BH18" s="33">
        <f t="shared" si="3"/>
        <v>-132781</v>
      </c>
      <c r="BI18" s="33">
        <f t="shared" si="3"/>
        <v>-81860</v>
      </c>
      <c r="BJ18" s="33">
        <f t="shared" si="3"/>
        <v>-87397</v>
      </c>
      <c r="BK18" s="33">
        <f t="shared" si="3"/>
        <v>-93227</v>
      </c>
      <c r="BL18" s="33">
        <f t="shared" si="3"/>
        <v>-149498</v>
      </c>
      <c r="BM18" s="33">
        <f t="shared" si="3"/>
        <v>-138762</v>
      </c>
      <c r="BN18" s="174">
        <f t="shared" si="3"/>
        <v>-137367</v>
      </c>
    </row>
    <row r="19" spans="1:66">
      <c r="A19" s="21"/>
      <c r="D19" s="36"/>
      <c r="E19" s="36"/>
      <c r="F19" s="36"/>
      <c r="G19" s="3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BB19" s="29"/>
      <c r="BC19" s="29"/>
      <c r="BD19" s="29"/>
      <c r="BE19" s="29"/>
      <c r="BF19" s="29"/>
      <c r="BG19" s="29"/>
      <c r="BH19" s="29"/>
      <c r="BN19" s="25"/>
    </row>
    <row r="20" spans="1:66">
      <c r="A20" s="21"/>
      <c r="B20" s="5" t="s">
        <v>115</v>
      </c>
      <c r="C20" s="5" t="s">
        <v>400</v>
      </c>
      <c r="D20" s="36" t="e">
        <f t="shared" ref="D20:AI20" si="4">D11+D18</f>
        <v>#REF!</v>
      </c>
      <c r="E20" s="36" t="e">
        <f t="shared" si="4"/>
        <v>#REF!</v>
      </c>
      <c r="F20" s="36" t="e">
        <f t="shared" si="4"/>
        <v>#REF!</v>
      </c>
      <c r="G20" s="36" t="e">
        <f t="shared" si="4"/>
        <v>#REF!</v>
      </c>
      <c r="H20" s="33">
        <f t="shared" si="4"/>
        <v>137579</v>
      </c>
      <c r="I20" s="33">
        <f t="shared" si="4"/>
        <v>35344</v>
      </c>
      <c r="J20" s="33">
        <f t="shared" si="4"/>
        <v>37090</v>
      </c>
      <c r="K20" s="33">
        <f t="shared" si="4"/>
        <v>44325</v>
      </c>
      <c r="L20" s="33">
        <f t="shared" si="4"/>
        <v>38951</v>
      </c>
      <c r="M20" s="33">
        <f t="shared" si="4"/>
        <v>155710</v>
      </c>
      <c r="N20" s="33">
        <f t="shared" si="4"/>
        <v>38727</v>
      </c>
      <c r="O20" s="33">
        <f t="shared" si="4"/>
        <v>51402</v>
      </c>
      <c r="P20" s="33">
        <f t="shared" si="4"/>
        <v>43928</v>
      </c>
      <c r="Q20" s="33">
        <f t="shared" si="4"/>
        <v>27968</v>
      </c>
      <c r="R20" s="33">
        <f t="shared" si="4"/>
        <v>162025</v>
      </c>
      <c r="S20" s="33">
        <f t="shared" si="4"/>
        <v>37611</v>
      </c>
      <c r="T20" s="33">
        <f t="shared" si="4"/>
        <v>23889</v>
      </c>
      <c r="U20" s="33">
        <f t="shared" si="4"/>
        <v>28239</v>
      </c>
      <c r="V20" s="33">
        <f t="shared" si="4"/>
        <v>43379</v>
      </c>
      <c r="W20" s="33">
        <f t="shared" si="4"/>
        <v>133118</v>
      </c>
      <c r="X20" s="33">
        <f t="shared" si="4"/>
        <v>41747</v>
      </c>
      <c r="Y20" s="33">
        <f t="shared" si="4"/>
        <v>38295</v>
      </c>
      <c r="Z20" s="33">
        <f t="shared" si="4"/>
        <v>54563</v>
      </c>
      <c r="AA20" s="33">
        <f t="shared" si="4"/>
        <v>38423</v>
      </c>
      <c r="AB20" s="33">
        <f t="shared" si="4"/>
        <v>173028</v>
      </c>
      <c r="AC20" s="33">
        <f t="shared" si="4"/>
        <v>47777</v>
      </c>
      <c r="AD20" s="33">
        <f t="shared" si="4"/>
        <v>48454</v>
      </c>
      <c r="AE20" s="33">
        <f t="shared" si="4"/>
        <v>56980</v>
      </c>
      <c r="AF20" s="33">
        <f t="shared" si="4"/>
        <v>40441</v>
      </c>
      <c r="AG20" s="33">
        <f t="shared" si="4"/>
        <v>193652</v>
      </c>
      <c r="AH20" s="33">
        <f t="shared" si="4"/>
        <v>38150</v>
      </c>
      <c r="AI20" s="33">
        <f t="shared" si="4"/>
        <v>5414</v>
      </c>
      <c r="AJ20" s="33">
        <f t="shared" ref="AJ20:BN20" si="5">AJ11+AJ18</f>
        <v>42904</v>
      </c>
      <c r="AK20" s="33">
        <f t="shared" si="5"/>
        <v>28633</v>
      </c>
      <c r="AL20" s="33">
        <f t="shared" si="5"/>
        <v>113196</v>
      </c>
      <c r="AM20" s="33">
        <f t="shared" si="5"/>
        <v>9148</v>
      </c>
      <c r="AN20" s="33">
        <f t="shared" si="5"/>
        <v>21898</v>
      </c>
      <c r="AO20" s="33">
        <f t="shared" si="5"/>
        <v>33489</v>
      </c>
      <c r="AP20" s="33">
        <f t="shared" si="5"/>
        <v>29200</v>
      </c>
      <c r="AQ20" s="33">
        <f t="shared" si="5"/>
        <v>93735</v>
      </c>
      <c r="AR20" s="33">
        <f t="shared" si="5"/>
        <v>36704</v>
      </c>
      <c r="AS20" s="33">
        <f t="shared" si="5"/>
        <v>36958</v>
      </c>
      <c r="AT20" s="33">
        <f t="shared" si="5"/>
        <v>48738</v>
      </c>
      <c r="AU20" s="33">
        <f t="shared" si="5"/>
        <v>30247</v>
      </c>
      <c r="AV20" s="33">
        <f t="shared" si="5"/>
        <v>152647</v>
      </c>
      <c r="AW20" s="33">
        <f t="shared" si="5"/>
        <v>33735</v>
      </c>
      <c r="AX20" s="33">
        <f t="shared" si="5"/>
        <v>29869</v>
      </c>
      <c r="AY20" s="33">
        <f t="shared" si="5"/>
        <v>60847</v>
      </c>
      <c r="AZ20" s="33">
        <f t="shared" si="5"/>
        <v>5918</v>
      </c>
      <c r="BA20" s="33">
        <f t="shared" si="5"/>
        <v>130369</v>
      </c>
      <c r="BB20" s="33">
        <f t="shared" si="5"/>
        <v>32438</v>
      </c>
      <c r="BC20" s="33">
        <f t="shared" si="5"/>
        <v>-148046</v>
      </c>
      <c r="BD20" s="33">
        <f t="shared" si="5"/>
        <v>30257</v>
      </c>
      <c r="BE20" s="33">
        <f t="shared" si="5"/>
        <v>-24015</v>
      </c>
      <c r="BF20" s="33">
        <f t="shared" si="5"/>
        <v>-109366</v>
      </c>
      <c r="BG20" s="33">
        <f t="shared" si="5"/>
        <v>20070</v>
      </c>
      <c r="BH20" s="33">
        <f t="shared" si="5"/>
        <v>8911.2700000000186</v>
      </c>
      <c r="BI20" s="33">
        <f t="shared" si="5"/>
        <v>57874.64000000013</v>
      </c>
      <c r="BJ20" s="33">
        <f t="shared" si="5"/>
        <v>49030.629999999888</v>
      </c>
      <c r="BK20" s="33">
        <f t="shared" si="5"/>
        <v>60343.640000000014</v>
      </c>
      <c r="BL20" s="33">
        <f t="shared" si="5"/>
        <v>38527.630000000005</v>
      </c>
      <c r="BM20" s="33">
        <f t="shared" si="5"/>
        <v>72766.729999999981</v>
      </c>
      <c r="BN20" s="174">
        <f t="shared" si="5"/>
        <v>49158.559999999823</v>
      </c>
    </row>
    <row r="21" spans="1:66">
      <c r="A21" s="21"/>
      <c r="B21" s="5"/>
      <c r="C21" s="5"/>
      <c r="D21" s="36"/>
      <c r="E21" s="36"/>
      <c r="F21" s="36"/>
      <c r="G21" s="36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1"/>
      <c r="Z21" s="31"/>
      <c r="AA21" s="31"/>
      <c r="AB21" s="33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BB21" s="29"/>
      <c r="BC21" s="29"/>
      <c r="BD21" s="29"/>
      <c r="BE21" s="29"/>
      <c r="BF21" s="29"/>
      <c r="BG21" s="29"/>
      <c r="BH21" s="29"/>
      <c r="BN21" s="25"/>
    </row>
    <row r="22" spans="1:66">
      <c r="A22" s="21"/>
      <c r="B22" s="146" t="s">
        <v>114</v>
      </c>
      <c r="C22" s="146" t="s">
        <v>401</v>
      </c>
      <c r="D22" s="151"/>
      <c r="E22" s="151"/>
      <c r="F22" s="151"/>
      <c r="G22" s="151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3"/>
      <c r="Z22" s="153"/>
      <c r="AA22" s="153"/>
      <c r="AB22" s="152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49"/>
      <c r="BJ22" s="149"/>
      <c r="BK22" s="149"/>
      <c r="BL22" s="149"/>
      <c r="BM22" s="149"/>
      <c r="BN22" s="176"/>
    </row>
    <row r="23" spans="1:66">
      <c r="A23" s="21"/>
      <c r="B23" s="6" t="s">
        <v>113</v>
      </c>
      <c r="C23" s="6" t="s">
        <v>402</v>
      </c>
      <c r="D23" s="12">
        <v>2403</v>
      </c>
      <c r="E23" s="12">
        <v>2240</v>
      </c>
      <c r="F23" s="12">
        <v>2592</v>
      </c>
      <c r="G23" s="12">
        <v>5233</v>
      </c>
      <c r="H23" s="37">
        <v>12468</v>
      </c>
      <c r="I23" s="37">
        <v>3270</v>
      </c>
      <c r="J23" s="37">
        <v>2778</v>
      </c>
      <c r="K23" s="37">
        <v>3442</v>
      </c>
      <c r="L23" s="37">
        <v>5854</v>
      </c>
      <c r="M23" s="37">
        <v>15344</v>
      </c>
      <c r="N23" s="37">
        <v>4170</v>
      </c>
      <c r="O23" s="37">
        <v>3455</v>
      </c>
      <c r="P23" s="37">
        <v>1351</v>
      </c>
      <c r="Q23" s="37">
        <v>3840</v>
      </c>
      <c r="R23" s="37">
        <v>12816</v>
      </c>
      <c r="S23" s="37">
        <v>4579</v>
      </c>
      <c r="T23" s="37">
        <v>10988</v>
      </c>
      <c r="U23" s="37">
        <v>7679</v>
      </c>
      <c r="V23" s="37">
        <v>2749</v>
      </c>
      <c r="W23" s="37">
        <v>25995</v>
      </c>
      <c r="X23" s="37">
        <v>3045</v>
      </c>
      <c r="Y23" s="37">
        <v>3774</v>
      </c>
      <c r="Z23" s="37">
        <v>8461</v>
      </c>
      <c r="AA23" s="37">
        <v>9383</v>
      </c>
      <c r="AB23" s="37">
        <v>24663</v>
      </c>
      <c r="AC23" s="37">
        <v>15168</v>
      </c>
      <c r="AD23" s="37">
        <v>17000</v>
      </c>
      <c r="AE23" s="37">
        <v>37540</v>
      </c>
      <c r="AF23" s="37">
        <v>32883</v>
      </c>
      <c r="AG23" s="37">
        <v>102591</v>
      </c>
      <c r="AH23" s="37">
        <v>11903</v>
      </c>
      <c r="AI23" s="37">
        <v>13218</v>
      </c>
      <c r="AJ23" s="37">
        <v>14404</v>
      </c>
      <c r="AK23" s="37">
        <f>AL23-AH23-AI23-AJ23</f>
        <v>13503</v>
      </c>
      <c r="AL23" s="37">
        <v>53028</v>
      </c>
      <c r="AM23" s="37">
        <v>21083</v>
      </c>
      <c r="AN23" s="37">
        <v>14185</v>
      </c>
      <c r="AO23" s="37">
        <v>18680</v>
      </c>
      <c r="AP23" s="37">
        <v>20152</v>
      </c>
      <c r="AQ23" s="37">
        <v>74100</v>
      </c>
      <c r="AR23" s="37">
        <v>22805</v>
      </c>
      <c r="AS23" s="37">
        <v>15622</v>
      </c>
      <c r="AT23" s="37">
        <v>12349</v>
      </c>
      <c r="AU23" s="37">
        <v>37619</v>
      </c>
      <c r="AV23" s="37">
        <v>88395</v>
      </c>
      <c r="AW23" s="37">
        <v>13578</v>
      </c>
      <c r="AX23" s="37">
        <v>13548</v>
      </c>
      <c r="AY23" s="37">
        <v>26019</v>
      </c>
      <c r="AZ23" s="39">
        <v>29567</v>
      </c>
      <c r="BA23" s="39">
        <v>82712</v>
      </c>
      <c r="BB23" s="39">
        <v>15904</v>
      </c>
      <c r="BC23" s="39">
        <v>26328</v>
      </c>
      <c r="BD23" s="39">
        <v>22783</v>
      </c>
      <c r="BE23" s="39">
        <v>23331</v>
      </c>
      <c r="BF23" s="39">
        <v>88346</v>
      </c>
      <c r="BG23" s="39">
        <v>17308</v>
      </c>
      <c r="BH23" s="39">
        <v>52414</v>
      </c>
      <c r="BI23" s="39">
        <v>46156</v>
      </c>
      <c r="BJ23" s="39">
        <v>45926</v>
      </c>
      <c r="BK23" s="39">
        <v>33437</v>
      </c>
      <c r="BL23" s="39">
        <v>73243</v>
      </c>
      <c r="BM23" s="39">
        <v>53598</v>
      </c>
      <c r="BN23" s="177">
        <v>59984</v>
      </c>
    </row>
    <row r="24" spans="1:66">
      <c r="A24" s="21"/>
      <c r="B24" s="6" t="s">
        <v>112</v>
      </c>
      <c r="C24" s="6" t="s">
        <v>403</v>
      </c>
      <c r="D24" s="12">
        <v>-5331</v>
      </c>
      <c r="E24" s="12">
        <v>-5898</v>
      </c>
      <c r="F24" s="12">
        <v>-5980</v>
      </c>
      <c r="G24" s="12">
        <v>-7294</v>
      </c>
      <c r="H24" s="37">
        <v>-24503</v>
      </c>
      <c r="I24" s="37">
        <v>-6898</v>
      </c>
      <c r="J24" s="37">
        <v>-5269</v>
      </c>
      <c r="K24" s="37">
        <v>-6043</v>
      </c>
      <c r="L24" s="37">
        <v>-7431</v>
      </c>
      <c r="M24" s="37">
        <v>-25641</v>
      </c>
      <c r="N24" s="37">
        <v>-7448</v>
      </c>
      <c r="O24" s="37">
        <v>-4595</v>
      </c>
      <c r="P24" s="37">
        <v>-5017</v>
      </c>
      <c r="Q24" s="37">
        <v>-7290</v>
      </c>
      <c r="R24" s="37">
        <v>-24350</v>
      </c>
      <c r="S24" s="37">
        <v>-11365</v>
      </c>
      <c r="T24" s="37">
        <v>-3756</v>
      </c>
      <c r="U24" s="37">
        <v>-13835</v>
      </c>
      <c r="V24" s="37">
        <v>-9931</v>
      </c>
      <c r="W24" s="37">
        <v>-38887</v>
      </c>
      <c r="X24" s="37">
        <v>-13312</v>
      </c>
      <c r="Y24" s="37">
        <v>-11743</v>
      </c>
      <c r="Z24" s="37">
        <v>-10803</v>
      </c>
      <c r="AA24" s="37">
        <v>-12256</v>
      </c>
      <c r="AB24" s="37">
        <v>-48114</v>
      </c>
      <c r="AC24" s="37">
        <v>-9579</v>
      </c>
      <c r="AD24" s="37">
        <v>-29069</v>
      </c>
      <c r="AE24" s="37">
        <v>-26640</v>
      </c>
      <c r="AF24" s="37">
        <v>-51496</v>
      </c>
      <c r="AG24" s="37">
        <v>-116784</v>
      </c>
      <c r="AH24" s="37">
        <v>-30997</v>
      </c>
      <c r="AI24" s="37">
        <v>-22313</v>
      </c>
      <c r="AJ24" s="37">
        <v>-26490</v>
      </c>
      <c r="AK24" s="37">
        <f>AL24-AH24-AI24-AJ24</f>
        <v>-18978</v>
      </c>
      <c r="AL24" s="37">
        <v>-98778</v>
      </c>
      <c r="AM24" s="37">
        <v>-23000</v>
      </c>
      <c r="AN24" s="37">
        <v>-28333</v>
      </c>
      <c r="AO24" s="37">
        <v>-26614</v>
      </c>
      <c r="AP24" s="37">
        <v>-25476</v>
      </c>
      <c r="AQ24" s="37">
        <v>-103423</v>
      </c>
      <c r="AR24" s="37">
        <v>-27297</v>
      </c>
      <c r="AS24" s="37">
        <v>-29713</v>
      </c>
      <c r="AT24" s="37">
        <v>-25625</v>
      </c>
      <c r="AU24" s="37">
        <v>-31974</v>
      </c>
      <c r="AV24" s="37">
        <v>-114609</v>
      </c>
      <c r="AW24" s="37">
        <v>-24306</v>
      </c>
      <c r="AX24" s="37">
        <v>-31521</v>
      </c>
      <c r="AY24" s="37">
        <v>-42374</v>
      </c>
      <c r="AZ24" s="37">
        <v>-45056</v>
      </c>
      <c r="BA24" s="37">
        <v>-143257</v>
      </c>
      <c r="BB24" s="37">
        <v>-39890</v>
      </c>
      <c r="BC24" s="37">
        <v>-37347</v>
      </c>
      <c r="BD24" s="37">
        <v>-55939</v>
      </c>
      <c r="BE24" s="39">
        <v>-40305</v>
      </c>
      <c r="BF24" s="37">
        <v>-173481</v>
      </c>
      <c r="BG24" s="37">
        <v>-35899</v>
      </c>
      <c r="BH24" s="37">
        <v>-84055</v>
      </c>
      <c r="BI24" s="39">
        <v>-45066</v>
      </c>
      <c r="BJ24" s="39">
        <v>-65039</v>
      </c>
      <c r="BK24" s="39">
        <v>-118189</v>
      </c>
      <c r="BL24" s="39">
        <v>-89957</v>
      </c>
      <c r="BM24" s="39">
        <v>-104634</v>
      </c>
      <c r="BN24" s="177">
        <v>-94059</v>
      </c>
    </row>
    <row r="25" spans="1:66">
      <c r="A25" s="21"/>
      <c r="D25" s="36">
        <f t="shared" ref="D25:AJ25" si="6">SUM(D23:D24)</f>
        <v>-2928</v>
      </c>
      <c r="E25" s="36">
        <f t="shared" si="6"/>
        <v>-3658</v>
      </c>
      <c r="F25" s="36">
        <f t="shared" si="6"/>
        <v>-3388</v>
      </c>
      <c r="G25" s="36">
        <f t="shared" si="6"/>
        <v>-2061</v>
      </c>
      <c r="H25" s="33">
        <f t="shared" si="6"/>
        <v>-12035</v>
      </c>
      <c r="I25" s="33">
        <f t="shared" si="6"/>
        <v>-3628</v>
      </c>
      <c r="J25" s="33">
        <f t="shared" si="6"/>
        <v>-2491</v>
      </c>
      <c r="K25" s="33">
        <f t="shared" si="6"/>
        <v>-2601</v>
      </c>
      <c r="L25" s="33">
        <f t="shared" si="6"/>
        <v>-1577</v>
      </c>
      <c r="M25" s="33">
        <f t="shared" si="6"/>
        <v>-10297</v>
      </c>
      <c r="N25" s="33">
        <f t="shared" si="6"/>
        <v>-3278</v>
      </c>
      <c r="O25" s="33">
        <f t="shared" si="6"/>
        <v>-1140</v>
      </c>
      <c r="P25" s="33">
        <f t="shared" si="6"/>
        <v>-3666</v>
      </c>
      <c r="Q25" s="33">
        <f t="shared" si="6"/>
        <v>-3450</v>
      </c>
      <c r="R25" s="33">
        <f t="shared" si="6"/>
        <v>-11534</v>
      </c>
      <c r="S25" s="33">
        <f t="shared" si="6"/>
        <v>-6786</v>
      </c>
      <c r="T25" s="33">
        <f t="shared" si="6"/>
        <v>7232</v>
      </c>
      <c r="U25" s="33">
        <f t="shared" si="6"/>
        <v>-6156</v>
      </c>
      <c r="V25" s="33">
        <f t="shared" si="6"/>
        <v>-7182</v>
      </c>
      <c r="W25" s="33">
        <f t="shared" si="6"/>
        <v>-12892</v>
      </c>
      <c r="X25" s="33">
        <f t="shared" si="6"/>
        <v>-10267</v>
      </c>
      <c r="Y25" s="33">
        <f t="shared" si="6"/>
        <v>-7969</v>
      </c>
      <c r="Z25" s="33">
        <f t="shared" si="6"/>
        <v>-2342</v>
      </c>
      <c r="AA25" s="33">
        <f t="shared" si="6"/>
        <v>-2873</v>
      </c>
      <c r="AB25" s="33">
        <f>SUM(AB23:AB24)</f>
        <v>-23451</v>
      </c>
      <c r="AC25" s="33">
        <f t="shared" si="6"/>
        <v>5589</v>
      </c>
      <c r="AD25" s="33">
        <f t="shared" si="6"/>
        <v>-12069</v>
      </c>
      <c r="AE25" s="33">
        <f t="shared" si="6"/>
        <v>10900</v>
      </c>
      <c r="AF25" s="33">
        <f t="shared" si="6"/>
        <v>-18613</v>
      </c>
      <c r="AG25" s="33">
        <f t="shared" si="6"/>
        <v>-14193</v>
      </c>
      <c r="AH25" s="33">
        <f t="shared" si="6"/>
        <v>-19094</v>
      </c>
      <c r="AI25" s="33">
        <f t="shared" si="6"/>
        <v>-9095</v>
      </c>
      <c r="AJ25" s="33">
        <f t="shared" si="6"/>
        <v>-12086</v>
      </c>
      <c r="AK25" s="33">
        <f>AL25-AH25-AI25-AJ25</f>
        <v>-5475</v>
      </c>
      <c r="AL25" s="33">
        <f t="shared" ref="AL25:BN25" si="7">SUM(AL23:AL24)</f>
        <v>-45750</v>
      </c>
      <c r="AM25" s="33">
        <f t="shared" si="7"/>
        <v>-1917</v>
      </c>
      <c r="AN25" s="33">
        <f t="shared" si="7"/>
        <v>-14148</v>
      </c>
      <c r="AO25" s="33">
        <f t="shared" si="7"/>
        <v>-7934</v>
      </c>
      <c r="AP25" s="33">
        <f t="shared" si="7"/>
        <v>-5324</v>
      </c>
      <c r="AQ25" s="33">
        <f t="shared" si="7"/>
        <v>-29323</v>
      </c>
      <c r="AR25" s="33">
        <f t="shared" si="7"/>
        <v>-4492</v>
      </c>
      <c r="AS25" s="33">
        <f t="shared" si="7"/>
        <v>-14091</v>
      </c>
      <c r="AT25" s="33">
        <f t="shared" si="7"/>
        <v>-13276</v>
      </c>
      <c r="AU25" s="33">
        <f t="shared" si="7"/>
        <v>5645</v>
      </c>
      <c r="AV25" s="33">
        <f t="shared" si="7"/>
        <v>-26214</v>
      </c>
      <c r="AW25" s="33">
        <f t="shared" si="7"/>
        <v>-10728</v>
      </c>
      <c r="AX25" s="33">
        <f t="shared" si="7"/>
        <v>-17973</v>
      </c>
      <c r="AY25" s="33">
        <f t="shared" si="7"/>
        <v>-16355</v>
      </c>
      <c r="AZ25" s="33">
        <f t="shared" si="7"/>
        <v>-15489</v>
      </c>
      <c r="BA25" s="33">
        <f t="shared" si="7"/>
        <v>-60545</v>
      </c>
      <c r="BB25" s="33">
        <f t="shared" si="7"/>
        <v>-23986</v>
      </c>
      <c r="BC25" s="33">
        <f t="shared" si="7"/>
        <v>-11019</v>
      </c>
      <c r="BD25" s="33">
        <f t="shared" si="7"/>
        <v>-33156</v>
      </c>
      <c r="BE25" s="33">
        <f t="shared" si="7"/>
        <v>-16974</v>
      </c>
      <c r="BF25" s="33">
        <f t="shared" si="7"/>
        <v>-85135</v>
      </c>
      <c r="BG25" s="33">
        <f t="shared" si="7"/>
        <v>-18591</v>
      </c>
      <c r="BH25" s="33">
        <f t="shared" si="7"/>
        <v>-31641</v>
      </c>
      <c r="BI25" s="33">
        <f t="shared" si="7"/>
        <v>1090</v>
      </c>
      <c r="BJ25" s="33">
        <f t="shared" si="7"/>
        <v>-19113</v>
      </c>
      <c r="BK25" s="33">
        <f t="shared" si="7"/>
        <v>-84752</v>
      </c>
      <c r="BL25" s="33">
        <f t="shared" si="7"/>
        <v>-16714</v>
      </c>
      <c r="BM25" s="33">
        <f t="shared" si="7"/>
        <v>-51036</v>
      </c>
      <c r="BN25" s="174">
        <f t="shared" si="7"/>
        <v>-34075</v>
      </c>
    </row>
    <row r="26" spans="1:66">
      <c r="A26" s="21"/>
      <c r="D26" s="36"/>
      <c r="E26" s="36"/>
      <c r="F26" s="36"/>
      <c r="G26" s="36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BB26" s="29"/>
      <c r="BC26" s="29"/>
      <c r="BD26" s="29"/>
      <c r="BE26" s="29"/>
      <c r="BF26" s="29"/>
      <c r="BG26" s="29"/>
      <c r="BH26" s="29"/>
      <c r="BN26" s="25"/>
    </row>
    <row r="27" spans="1:66">
      <c r="A27" s="21"/>
      <c r="B27" s="5" t="s">
        <v>111</v>
      </c>
      <c r="C27" s="5" t="s">
        <v>404</v>
      </c>
      <c r="D27" s="36" t="e">
        <f t="shared" ref="D27:AI27" si="8">D20+D25</f>
        <v>#REF!</v>
      </c>
      <c r="E27" s="36" t="e">
        <f t="shared" si="8"/>
        <v>#REF!</v>
      </c>
      <c r="F27" s="36" t="e">
        <f t="shared" si="8"/>
        <v>#REF!</v>
      </c>
      <c r="G27" s="36" t="e">
        <f t="shared" si="8"/>
        <v>#REF!</v>
      </c>
      <c r="H27" s="33">
        <f t="shared" si="8"/>
        <v>125544</v>
      </c>
      <c r="I27" s="33">
        <f t="shared" si="8"/>
        <v>31716</v>
      </c>
      <c r="J27" s="33">
        <f t="shared" si="8"/>
        <v>34599</v>
      </c>
      <c r="K27" s="33">
        <f t="shared" si="8"/>
        <v>41724</v>
      </c>
      <c r="L27" s="33">
        <f t="shared" si="8"/>
        <v>37374</v>
      </c>
      <c r="M27" s="33">
        <f t="shared" si="8"/>
        <v>145413</v>
      </c>
      <c r="N27" s="33">
        <f t="shared" si="8"/>
        <v>35449</v>
      </c>
      <c r="O27" s="33">
        <f t="shared" si="8"/>
        <v>50262</v>
      </c>
      <c r="P27" s="33">
        <f t="shared" si="8"/>
        <v>40262</v>
      </c>
      <c r="Q27" s="33">
        <f t="shared" si="8"/>
        <v>24518</v>
      </c>
      <c r="R27" s="33">
        <f t="shared" si="8"/>
        <v>150491</v>
      </c>
      <c r="S27" s="33">
        <f t="shared" si="8"/>
        <v>30825</v>
      </c>
      <c r="T27" s="33">
        <f t="shared" si="8"/>
        <v>31121</v>
      </c>
      <c r="U27" s="33">
        <f t="shared" si="8"/>
        <v>22083</v>
      </c>
      <c r="V27" s="33">
        <f t="shared" si="8"/>
        <v>36197</v>
      </c>
      <c r="W27" s="33">
        <f t="shared" si="8"/>
        <v>120226</v>
      </c>
      <c r="X27" s="33">
        <f t="shared" si="8"/>
        <v>31480</v>
      </c>
      <c r="Y27" s="33">
        <f t="shared" si="8"/>
        <v>30326</v>
      </c>
      <c r="Z27" s="33">
        <f t="shared" si="8"/>
        <v>52221</v>
      </c>
      <c r="AA27" s="33">
        <f t="shared" si="8"/>
        <v>35550</v>
      </c>
      <c r="AB27" s="33">
        <f>AB20+AB25</f>
        <v>149577</v>
      </c>
      <c r="AC27" s="33">
        <f t="shared" si="8"/>
        <v>53366</v>
      </c>
      <c r="AD27" s="33">
        <f t="shared" si="8"/>
        <v>36385</v>
      </c>
      <c r="AE27" s="33">
        <f t="shared" si="8"/>
        <v>67880</v>
      </c>
      <c r="AF27" s="33">
        <f t="shared" si="8"/>
        <v>21828</v>
      </c>
      <c r="AG27" s="33">
        <f t="shared" si="8"/>
        <v>179459</v>
      </c>
      <c r="AH27" s="33">
        <f t="shared" si="8"/>
        <v>19056</v>
      </c>
      <c r="AI27" s="33">
        <f t="shared" si="8"/>
        <v>-3681</v>
      </c>
      <c r="AJ27" s="33">
        <f t="shared" ref="AJ27:BN27" si="9">AJ20+AJ25</f>
        <v>30818</v>
      </c>
      <c r="AK27" s="33">
        <f t="shared" si="9"/>
        <v>23158</v>
      </c>
      <c r="AL27" s="33">
        <f t="shared" si="9"/>
        <v>67446</v>
      </c>
      <c r="AM27" s="33">
        <f t="shared" si="9"/>
        <v>7231</v>
      </c>
      <c r="AN27" s="33">
        <f t="shared" si="9"/>
        <v>7750</v>
      </c>
      <c r="AO27" s="33">
        <f t="shared" si="9"/>
        <v>25555</v>
      </c>
      <c r="AP27" s="33">
        <f t="shared" si="9"/>
        <v>23876</v>
      </c>
      <c r="AQ27" s="33">
        <f t="shared" si="9"/>
        <v>64412</v>
      </c>
      <c r="AR27" s="33">
        <f t="shared" si="9"/>
        <v>32212</v>
      </c>
      <c r="AS27" s="33">
        <f t="shared" si="9"/>
        <v>22867</v>
      </c>
      <c r="AT27" s="33">
        <f t="shared" si="9"/>
        <v>35462</v>
      </c>
      <c r="AU27" s="33">
        <f t="shared" si="9"/>
        <v>35892</v>
      </c>
      <c r="AV27" s="33">
        <f t="shared" si="9"/>
        <v>126433</v>
      </c>
      <c r="AW27" s="33">
        <f t="shared" si="9"/>
        <v>23007</v>
      </c>
      <c r="AX27" s="33">
        <f t="shared" si="9"/>
        <v>11896</v>
      </c>
      <c r="AY27" s="33">
        <f t="shared" si="9"/>
        <v>44492</v>
      </c>
      <c r="AZ27" s="33">
        <f t="shared" si="9"/>
        <v>-9571</v>
      </c>
      <c r="BA27" s="33">
        <f t="shared" si="9"/>
        <v>69824</v>
      </c>
      <c r="BB27" s="33">
        <f t="shared" si="9"/>
        <v>8452</v>
      </c>
      <c r="BC27" s="33">
        <f t="shared" si="9"/>
        <v>-159065</v>
      </c>
      <c r="BD27" s="33">
        <f t="shared" si="9"/>
        <v>-2899</v>
      </c>
      <c r="BE27" s="33">
        <f t="shared" si="9"/>
        <v>-40989</v>
      </c>
      <c r="BF27" s="33">
        <f t="shared" si="9"/>
        <v>-194501</v>
      </c>
      <c r="BG27" s="33">
        <f t="shared" si="9"/>
        <v>1479</v>
      </c>
      <c r="BH27" s="33">
        <f t="shared" si="9"/>
        <v>-22729.729999999981</v>
      </c>
      <c r="BI27" s="33">
        <f t="shared" si="9"/>
        <v>58964.64000000013</v>
      </c>
      <c r="BJ27" s="33">
        <f t="shared" si="9"/>
        <v>29917.629999999888</v>
      </c>
      <c r="BK27" s="33">
        <f t="shared" si="9"/>
        <v>-24408.359999999986</v>
      </c>
      <c r="BL27" s="33">
        <f t="shared" si="9"/>
        <v>21813.630000000005</v>
      </c>
      <c r="BM27" s="33">
        <f t="shared" si="9"/>
        <v>21730.729999999981</v>
      </c>
      <c r="BN27" s="174">
        <f t="shared" si="9"/>
        <v>15083.559999999823</v>
      </c>
    </row>
    <row r="28" spans="1:66">
      <c r="A28" s="21"/>
      <c r="B28" s="5"/>
      <c r="C28" s="5"/>
      <c r="D28" s="36"/>
      <c r="E28" s="36"/>
      <c r="F28" s="36"/>
      <c r="G28" s="36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BB28" s="29"/>
      <c r="BC28" s="29"/>
      <c r="BD28" s="29"/>
      <c r="BE28" s="29"/>
      <c r="BF28" s="29"/>
      <c r="BG28" s="29"/>
      <c r="BH28" s="29"/>
      <c r="BN28" s="25"/>
    </row>
    <row r="29" spans="1:66">
      <c r="A29" s="21"/>
      <c r="B29" s="146" t="s">
        <v>110</v>
      </c>
      <c r="C29" s="146" t="s">
        <v>405</v>
      </c>
      <c r="D29" s="155"/>
      <c r="E29" s="155"/>
      <c r="F29" s="155"/>
      <c r="G29" s="155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49"/>
      <c r="BJ29" s="149"/>
      <c r="BK29" s="149"/>
      <c r="BL29" s="149"/>
      <c r="BM29" s="149"/>
      <c r="BN29" s="176"/>
    </row>
    <row r="30" spans="1:66">
      <c r="A30" s="21"/>
      <c r="B30" s="6" t="s">
        <v>109</v>
      </c>
      <c r="C30" s="6" t="s">
        <v>406</v>
      </c>
      <c r="D30" s="12">
        <v>-6411</v>
      </c>
      <c r="E30" s="12">
        <v>-4230</v>
      </c>
      <c r="F30" s="12">
        <v>-6276</v>
      </c>
      <c r="G30" s="12">
        <v>-2767</v>
      </c>
      <c r="H30" s="37">
        <v>-19684</v>
      </c>
      <c r="I30" s="37">
        <v>-8554</v>
      </c>
      <c r="J30" s="37">
        <v>-4983</v>
      </c>
      <c r="K30" s="37">
        <v>-9403</v>
      </c>
      <c r="L30" s="37">
        <v>-6205</v>
      </c>
      <c r="M30" s="37">
        <v>-29145</v>
      </c>
      <c r="N30" s="37">
        <v>-7176</v>
      </c>
      <c r="O30" s="37">
        <v>-12450</v>
      </c>
      <c r="P30" s="37">
        <v>-10143</v>
      </c>
      <c r="Q30" s="37">
        <v>-9537</v>
      </c>
      <c r="R30" s="37">
        <v>-39306</v>
      </c>
      <c r="S30" s="37">
        <v>-6339</v>
      </c>
      <c r="T30" s="37">
        <v>-10471</v>
      </c>
      <c r="U30" s="37">
        <v>-10914</v>
      </c>
      <c r="V30" s="37">
        <v>-15627</v>
      </c>
      <c r="W30" s="37">
        <v>-43351</v>
      </c>
      <c r="X30" s="37">
        <v>-7645</v>
      </c>
      <c r="Y30" s="37">
        <v>-10710</v>
      </c>
      <c r="Z30" s="37">
        <v>-10388</v>
      </c>
      <c r="AA30" s="37">
        <v>-10978</v>
      </c>
      <c r="AB30" s="37">
        <v>-39721</v>
      </c>
      <c r="AC30" s="37">
        <v>-12060</v>
      </c>
      <c r="AD30" s="37">
        <v>-5888</v>
      </c>
      <c r="AE30" s="37">
        <v>-24348</v>
      </c>
      <c r="AF30" s="37">
        <v>-7036</v>
      </c>
      <c r="AG30" s="37">
        <v>-49332</v>
      </c>
      <c r="AH30" s="37">
        <v>-8735</v>
      </c>
      <c r="AI30" s="37">
        <v>-14524</v>
      </c>
      <c r="AJ30" s="37">
        <v>-4695</v>
      </c>
      <c r="AK30" s="37">
        <f>AL30-AH30-AI30-AJ30</f>
        <v>-8471</v>
      </c>
      <c r="AL30" s="37">
        <v>-36425</v>
      </c>
      <c r="AM30" s="37">
        <v>-7686</v>
      </c>
      <c r="AN30" s="37">
        <v>-6619</v>
      </c>
      <c r="AO30" s="37">
        <v>-6645</v>
      </c>
      <c r="AP30" s="37">
        <v>-6344</v>
      </c>
      <c r="AQ30" s="37">
        <v>-27294</v>
      </c>
      <c r="AR30" s="37">
        <v>-9603</v>
      </c>
      <c r="AS30" s="37">
        <v>-11376</v>
      </c>
      <c r="AT30" s="37">
        <v>-11535</v>
      </c>
      <c r="AU30" s="37">
        <v>2605</v>
      </c>
      <c r="AV30" s="37">
        <v>-29909</v>
      </c>
      <c r="AW30" s="37">
        <v>-8735</v>
      </c>
      <c r="AX30" s="37">
        <v>-6617</v>
      </c>
      <c r="AY30" s="37">
        <v>-19121</v>
      </c>
      <c r="AZ30" s="37">
        <v>1758</v>
      </c>
      <c r="BA30" s="37">
        <v>-32715</v>
      </c>
      <c r="BB30" s="37">
        <v>-7873</v>
      </c>
      <c r="BC30" s="37">
        <v>5533</v>
      </c>
      <c r="BD30" s="37">
        <v>2131</v>
      </c>
      <c r="BE30" s="39">
        <v>-8887</v>
      </c>
      <c r="BF30" s="37">
        <v>-9096</v>
      </c>
      <c r="BG30" s="37">
        <v>-8996</v>
      </c>
      <c r="BH30" s="37">
        <v>-1661</v>
      </c>
      <c r="BI30" s="39">
        <v>-5015</v>
      </c>
      <c r="BJ30" s="39">
        <v>-7538</v>
      </c>
      <c r="BK30" s="39">
        <v>-7010</v>
      </c>
      <c r="BL30" s="39">
        <v>-18875</v>
      </c>
      <c r="BM30" s="39">
        <v>-10602</v>
      </c>
      <c r="BN30" s="177">
        <v>-8315</v>
      </c>
    </row>
    <row r="31" spans="1:66">
      <c r="A31" s="21"/>
      <c r="B31" s="6" t="s">
        <v>108</v>
      </c>
      <c r="C31" s="6" t="s">
        <v>407</v>
      </c>
      <c r="D31" s="12">
        <v>-2436</v>
      </c>
      <c r="E31" s="12">
        <v>-2315</v>
      </c>
      <c r="F31" s="12">
        <v>-1529</v>
      </c>
      <c r="G31" s="12">
        <v>-5660</v>
      </c>
      <c r="H31" s="37">
        <v>-11940</v>
      </c>
      <c r="I31" s="37">
        <v>-1919</v>
      </c>
      <c r="J31" s="37">
        <v>895</v>
      </c>
      <c r="K31" s="37">
        <v>-1499</v>
      </c>
      <c r="L31" s="37">
        <v>-1925</v>
      </c>
      <c r="M31" s="37">
        <v>-4448</v>
      </c>
      <c r="N31" s="37">
        <v>-4984</v>
      </c>
      <c r="O31" s="37">
        <v>2476</v>
      </c>
      <c r="P31" s="37">
        <v>-2682</v>
      </c>
      <c r="Q31" s="37">
        <v>-3166</v>
      </c>
      <c r="R31" s="37">
        <v>-8356</v>
      </c>
      <c r="S31" s="37">
        <v>1880</v>
      </c>
      <c r="T31" s="37">
        <v>-298</v>
      </c>
      <c r="U31" s="37">
        <v>9788</v>
      </c>
      <c r="V31" s="37">
        <v>3482</v>
      </c>
      <c r="W31" s="37">
        <v>14852</v>
      </c>
      <c r="X31" s="37">
        <v>-407</v>
      </c>
      <c r="Y31" s="37">
        <v>3862</v>
      </c>
      <c r="Z31" s="37">
        <v>-5641</v>
      </c>
      <c r="AA31" s="37">
        <v>2472</v>
      </c>
      <c r="AB31" s="37">
        <v>286</v>
      </c>
      <c r="AC31" s="37">
        <v>-5663</v>
      </c>
      <c r="AD31" s="37">
        <v>-131</v>
      </c>
      <c r="AE31" s="37">
        <v>-16</v>
      </c>
      <c r="AF31" s="37">
        <v>8781</v>
      </c>
      <c r="AG31" s="37">
        <v>2971</v>
      </c>
      <c r="AH31" s="37">
        <v>1448</v>
      </c>
      <c r="AI31" s="37">
        <v>16586</v>
      </c>
      <c r="AJ31" s="37">
        <v>4116</v>
      </c>
      <c r="AK31" s="37">
        <f>AL31-AH31-AI31-AJ31</f>
        <v>13458</v>
      </c>
      <c r="AL31" s="37">
        <v>35608</v>
      </c>
      <c r="AM31" s="37">
        <v>8450</v>
      </c>
      <c r="AN31" s="37">
        <v>2296</v>
      </c>
      <c r="AO31" s="37">
        <v>-3547</v>
      </c>
      <c r="AP31" s="37">
        <v>-16559</v>
      </c>
      <c r="AQ31" s="37">
        <v>-9360</v>
      </c>
      <c r="AR31" s="37">
        <v>-2307</v>
      </c>
      <c r="AS31" s="37">
        <v>1973</v>
      </c>
      <c r="AT31" s="37">
        <v>307</v>
      </c>
      <c r="AU31" s="37">
        <v>3581</v>
      </c>
      <c r="AV31" s="37">
        <v>3554</v>
      </c>
      <c r="AW31" s="37">
        <v>-179</v>
      </c>
      <c r="AX31" s="37">
        <v>1666</v>
      </c>
      <c r="AY31" s="37">
        <v>7188</v>
      </c>
      <c r="AZ31" s="37">
        <v>7957</v>
      </c>
      <c r="BA31" s="37">
        <v>16632</v>
      </c>
      <c r="BB31" s="37">
        <v>435</v>
      </c>
      <c r="BC31" s="37">
        <v>5423</v>
      </c>
      <c r="BD31" s="37">
        <v>302</v>
      </c>
      <c r="BE31" s="39">
        <v>-4212</v>
      </c>
      <c r="BF31" s="37">
        <v>1948</v>
      </c>
      <c r="BG31" s="37">
        <v>4741</v>
      </c>
      <c r="BH31" s="37">
        <v>6119</v>
      </c>
      <c r="BI31" s="39">
        <v>-1030</v>
      </c>
      <c r="BJ31" s="39">
        <v>3765</v>
      </c>
      <c r="BK31" s="39">
        <v>14944</v>
      </c>
      <c r="BL31" s="39">
        <v>-7203</v>
      </c>
      <c r="BM31" s="39">
        <v>10274</v>
      </c>
      <c r="BN31" s="177">
        <v>8071</v>
      </c>
    </row>
    <row r="32" spans="1:66">
      <c r="A32" s="21"/>
      <c r="D32" s="36">
        <f t="shared" ref="D32:AJ32" si="10">SUM(D30:D31)</f>
        <v>-8847</v>
      </c>
      <c r="E32" s="36">
        <f t="shared" si="10"/>
        <v>-6545</v>
      </c>
      <c r="F32" s="36">
        <f t="shared" si="10"/>
        <v>-7805</v>
      </c>
      <c r="G32" s="36">
        <f t="shared" si="10"/>
        <v>-8427</v>
      </c>
      <c r="H32" s="33">
        <f t="shared" si="10"/>
        <v>-31624</v>
      </c>
      <c r="I32" s="33">
        <f t="shared" si="10"/>
        <v>-10473</v>
      </c>
      <c r="J32" s="33">
        <f t="shared" si="10"/>
        <v>-4088</v>
      </c>
      <c r="K32" s="33">
        <f t="shared" si="10"/>
        <v>-10902</v>
      </c>
      <c r="L32" s="33">
        <f t="shared" si="10"/>
        <v>-8130</v>
      </c>
      <c r="M32" s="33">
        <f t="shared" si="10"/>
        <v>-33593</v>
      </c>
      <c r="N32" s="33">
        <f t="shared" si="10"/>
        <v>-12160</v>
      </c>
      <c r="O32" s="33">
        <f t="shared" si="10"/>
        <v>-9974</v>
      </c>
      <c r="P32" s="33">
        <f t="shared" si="10"/>
        <v>-12825</v>
      </c>
      <c r="Q32" s="33">
        <f t="shared" si="10"/>
        <v>-12703</v>
      </c>
      <c r="R32" s="33">
        <f t="shared" si="10"/>
        <v>-47662</v>
      </c>
      <c r="S32" s="33">
        <f t="shared" si="10"/>
        <v>-4459</v>
      </c>
      <c r="T32" s="33">
        <f t="shared" si="10"/>
        <v>-10769</v>
      </c>
      <c r="U32" s="33">
        <f t="shared" si="10"/>
        <v>-1126</v>
      </c>
      <c r="V32" s="33">
        <f t="shared" si="10"/>
        <v>-12145</v>
      </c>
      <c r="W32" s="33">
        <f t="shared" si="10"/>
        <v>-28499</v>
      </c>
      <c r="X32" s="33">
        <f t="shared" si="10"/>
        <v>-8052</v>
      </c>
      <c r="Y32" s="33">
        <f t="shared" si="10"/>
        <v>-6848</v>
      </c>
      <c r="Z32" s="33">
        <f t="shared" si="10"/>
        <v>-16029</v>
      </c>
      <c r="AA32" s="33">
        <f t="shared" si="10"/>
        <v>-8506</v>
      </c>
      <c r="AB32" s="33">
        <f t="shared" si="10"/>
        <v>-39435</v>
      </c>
      <c r="AC32" s="33">
        <f t="shared" si="10"/>
        <v>-17723</v>
      </c>
      <c r="AD32" s="33">
        <f t="shared" si="10"/>
        <v>-6019</v>
      </c>
      <c r="AE32" s="33">
        <f t="shared" si="10"/>
        <v>-24364</v>
      </c>
      <c r="AF32" s="33">
        <f t="shared" si="10"/>
        <v>1745</v>
      </c>
      <c r="AG32" s="33">
        <f t="shared" si="10"/>
        <v>-46361</v>
      </c>
      <c r="AH32" s="33">
        <f t="shared" si="10"/>
        <v>-7287</v>
      </c>
      <c r="AI32" s="33">
        <f t="shared" si="10"/>
        <v>2062</v>
      </c>
      <c r="AJ32" s="33">
        <f t="shared" si="10"/>
        <v>-579</v>
      </c>
      <c r="AK32" s="33">
        <f>AL32-AH32-AI32-AJ32</f>
        <v>4987</v>
      </c>
      <c r="AL32" s="33">
        <f t="shared" ref="AL32:BN32" si="11">SUM(AL30:AL31)</f>
        <v>-817</v>
      </c>
      <c r="AM32" s="33">
        <f t="shared" si="11"/>
        <v>764</v>
      </c>
      <c r="AN32" s="33">
        <f t="shared" si="11"/>
        <v>-4323</v>
      </c>
      <c r="AO32" s="33">
        <f t="shared" si="11"/>
        <v>-10192</v>
      </c>
      <c r="AP32" s="33">
        <f t="shared" si="11"/>
        <v>-22903</v>
      </c>
      <c r="AQ32" s="33">
        <f t="shared" si="11"/>
        <v>-36654</v>
      </c>
      <c r="AR32" s="33">
        <f t="shared" si="11"/>
        <v>-11910</v>
      </c>
      <c r="AS32" s="33">
        <f t="shared" si="11"/>
        <v>-9403</v>
      </c>
      <c r="AT32" s="33">
        <f t="shared" si="11"/>
        <v>-11228</v>
      </c>
      <c r="AU32" s="33">
        <f t="shared" si="11"/>
        <v>6186</v>
      </c>
      <c r="AV32" s="33">
        <f t="shared" si="11"/>
        <v>-26355</v>
      </c>
      <c r="AW32" s="33">
        <f t="shared" si="11"/>
        <v>-8914</v>
      </c>
      <c r="AX32" s="33">
        <f t="shared" si="11"/>
        <v>-4951</v>
      </c>
      <c r="AY32" s="33">
        <f t="shared" si="11"/>
        <v>-11933</v>
      </c>
      <c r="AZ32" s="33">
        <f t="shared" si="11"/>
        <v>9715</v>
      </c>
      <c r="BA32" s="33">
        <f t="shared" si="11"/>
        <v>-16083</v>
      </c>
      <c r="BB32" s="33">
        <f t="shared" si="11"/>
        <v>-7438</v>
      </c>
      <c r="BC32" s="33">
        <f t="shared" si="11"/>
        <v>10956</v>
      </c>
      <c r="BD32" s="33">
        <f t="shared" si="11"/>
        <v>2433</v>
      </c>
      <c r="BE32" s="33">
        <f t="shared" si="11"/>
        <v>-13099</v>
      </c>
      <c r="BF32" s="33">
        <f t="shared" si="11"/>
        <v>-7148</v>
      </c>
      <c r="BG32" s="33">
        <f t="shared" si="11"/>
        <v>-4255</v>
      </c>
      <c r="BH32" s="33">
        <f t="shared" si="11"/>
        <v>4458</v>
      </c>
      <c r="BI32" s="33">
        <f t="shared" si="11"/>
        <v>-6045</v>
      </c>
      <c r="BJ32" s="33">
        <f t="shared" si="11"/>
        <v>-3773</v>
      </c>
      <c r="BK32" s="33">
        <f t="shared" si="11"/>
        <v>7934</v>
      </c>
      <c r="BL32" s="33">
        <f t="shared" si="11"/>
        <v>-26078</v>
      </c>
      <c r="BM32" s="33">
        <f t="shared" si="11"/>
        <v>-328</v>
      </c>
      <c r="BN32" s="174">
        <f t="shared" si="11"/>
        <v>-244</v>
      </c>
    </row>
    <row r="33" spans="1:66">
      <c r="D33" s="36"/>
      <c r="E33" s="36"/>
      <c r="F33" s="36"/>
      <c r="G33" s="36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BB33" s="29"/>
      <c r="BC33" s="29"/>
      <c r="BD33" s="29"/>
      <c r="BE33" s="29"/>
      <c r="BF33" s="29"/>
      <c r="BG33" s="29"/>
      <c r="BH33" s="29"/>
      <c r="BN33" s="25"/>
    </row>
    <row r="34" spans="1:66">
      <c r="A34" s="21"/>
      <c r="B34" s="5" t="s">
        <v>107</v>
      </c>
      <c r="C34" s="5" t="s">
        <v>408</v>
      </c>
      <c r="D34" s="36"/>
      <c r="E34" s="36"/>
      <c r="F34" s="36"/>
      <c r="G34" s="36"/>
      <c r="H34" s="33">
        <f t="shared" ref="H34:AM34" si="12">H27+H32</f>
        <v>93920</v>
      </c>
      <c r="I34" s="33">
        <f t="shared" si="12"/>
        <v>21243</v>
      </c>
      <c r="J34" s="33">
        <f t="shared" si="12"/>
        <v>30511</v>
      </c>
      <c r="K34" s="33">
        <f t="shared" si="12"/>
        <v>30822</v>
      </c>
      <c r="L34" s="33">
        <f t="shared" si="12"/>
        <v>29244</v>
      </c>
      <c r="M34" s="33">
        <f t="shared" si="12"/>
        <v>111820</v>
      </c>
      <c r="N34" s="33">
        <f t="shared" si="12"/>
        <v>23289</v>
      </c>
      <c r="O34" s="33">
        <f t="shared" si="12"/>
        <v>40288</v>
      </c>
      <c r="P34" s="33">
        <f t="shared" si="12"/>
        <v>27437</v>
      </c>
      <c r="Q34" s="33">
        <f t="shared" si="12"/>
        <v>11815</v>
      </c>
      <c r="R34" s="33">
        <f t="shared" si="12"/>
        <v>102829</v>
      </c>
      <c r="S34" s="33">
        <f t="shared" si="12"/>
        <v>26366</v>
      </c>
      <c r="T34" s="33">
        <f t="shared" si="12"/>
        <v>20352</v>
      </c>
      <c r="U34" s="33">
        <f t="shared" si="12"/>
        <v>20957</v>
      </c>
      <c r="V34" s="33">
        <f t="shared" si="12"/>
        <v>24052</v>
      </c>
      <c r="W34" s="33">
        <f t="shared" si="12"/>
        <v>91727</v>
      </c>
      <c r="X34" s="33">
        <f t="shared" si="12"/>
        <v>23428</v>
      </c>
      <c r="Y34" s="33">
        <f t="shared" si="12"/>
        <v>23478</v>
      </c>
      <c r="Z34" s="33">
        <f t="shared" si="12"/>
        <v>36192</v>
      </c>
      <c r="AA34" s="33">
        <f t="shared" si="12"/>
        <v>27044</v>
      </c>
      <c r="AB34" s="33">
        <f t="shared" si="12"/>
        <v>110142</v>
      </c>
      <c r="AC34" s="33">
        <f t="shared" si="12"/>
        <v>35643</v>
      </c>
      <c r="AD34" s="33">
        <f t="shared" si="12"/>
        <v>30366</v>
      </c>
      <c r="AE34" s="33">
        <f t="shared" si="12"/>
        <v>43516</v>
      </c>
      <c r="AF34" s="33">
        <f t="shared" si="12"/>
        <v>23573</v>
      </c>
      <c r="AG34" s="33">
        <f t="shared" si="12"/>
        <v>133098</v>
      </c>
      <c r="AH34" s="33">
        <f t="shared" si="12"/>
        <v>11769</v>
      </c>
      <c r="AI34" s="33">
        <f t="shared" si="12"/>
        <v>-1619</v>
      </c>
      <c r="AJ34" s="33">
        <f t="shared" si="12"/>
        <v>30239</v>
      </c>
      <c r="AK34" s="33">
        <f t="shared" si="12"/>
        <v>28145</v>
      </c>
      <c r="AL34" s="33">
        <f t="shared" si="12"/>
        <v>66629</v>
      </c>
      <c r="AM34" s="33">
        <f t="shared" si="12"/>
        <v>7995</v>
      </c>
      <c r="AN34" s="33">
        <f t="shared" ref="AN34:BN34" si="13">AN27+AN32</f>
        <v>3427</v>
      </c>
      <c r="AO34" s="33">
        <f t="shared" si="13"/>
        <v>15363</v>
      </c>
      <c r="AP34" s="33">
        <f t="shared" si="13"/>
        <v>973</v>
      </c>
      <c r="AQ34" s="33">
        <f t="shared" si="13"/>
        <v>27758</v>
      </c>
      <c r="AR34" s="33">
        <f t="shared" si="13"/>
        <v>20302</v>
      </c>
      <c r="AS34" s="33">
        <f t="shared" si="13"/>
        <v>13464</v>
      </c>
      <c r="AT34" s="33">
        <f t="shared" si="13"/>
        <v>24234</v>
      </c>
      <c r="AU34" s="33">
        <f t="shared" si="13"/>
        <v>42078</v>
      </c>
      <c r="AV34" s="33">
        <f t="shared" si="13"/>
        <v>100078</v>
      </c>
      <c r="AW34" s="33">
        <f t="shared" si="13"/>
        <v>14093</v>
      </c>
      <c r="AX34" s="33">
        <f t="shared" si="13"/>
        <v>6945</v>
      </c>
      <c r="AY34" s="33">
        <f t="shared" si="13"/>
        <v>32559</v>
      </c>
      <c r="AZ34" s="33">
        <f t="shared" si="13"/>
        <v>144</v>
      </c>
      <c r="BA34" s="33">
        <f t="shared" si="13"/>
        <v>53741</v>
      </c>
      <c r="BB34" s="33">
        <f t="shared" si="13"/>
        <v>1014</v>
      </c>
      <c r="BC34" s="33">
        <f t="shared" si="13"/>
        <v>-148109</v>
      </c>
      <c r="BD34" s="33">
        <f t="shared" si="13"/>
        <v>-466</v>
      </c>
      <c r="BE34" s="33">
        <f t="shared" si="13"/>
        <v>-54088</v>
      </c>
      <c r="BF34" s="33">
        <f t="shared" si="13"/>
        <v>-201649</v>
      </c>
      <c r="BG34" s="33">
        <f t="shared" si="13"/>
        <v>-2776</v>
      </c>
      <c r="BH34" s="33">
        <f t="shared" si="13"/>
        <v>-18271.729999999981</v>
      </c>
      <c r="BI34" s="33">
        <f t="shared" si="13"/>
        <v>52919.64000000013</v>
      </c>
      <c r="BJ34" s="33">
        <f t="shared" si="13"/>
        <v>26144.629999999888</v>
      </c>
      <c r="BK34" s="33">
        <f t="shared" si="13"/>
        <v>-16474.359999999986</v>
      </c>
      <c r="BL34" s="33">
        <f t="shared" si="13"/>
        <v>-4264.3699999999953</v>
      </c>
      <c r="BM34" s="33">
        <f t="shared" si="13"/>
        <v>21402.729999999981</v>
      </c>
      <c r="BN34" s="174">
        <f t="shared" si="13"/>
        <v>14839.559999999823</v>
      </c>
    </row>
    <row r="35" spans="1:66">
      <c r="A35" s="21"/>
      <c r="B35" s="5"/>
      <c r="C35" s="5"/>
      <c r="D35" s="36"/>
      <c r="E35" s="36"/>
      <c r="F35" s="36"/>
      <c r="G35" s="36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BB35" s="29"/>
      <c r="BC35" s="29"/>
      <c r="BD35" s="29"/>
      <c r="BE35" s="29"/>
      <c r="BF35" s="29"/>
      <c r="BG35" s="29"/>
      <c r="BH35" s="29"/>
      <c r="BN35" s="25"/>
    </row>
    <row r="36" spans="1:66">
      <c r="A36" s="21"/>
      <c r="B36" s="5" t="s">
        <v>106</v>
      </c>
      <c r="C36" s="5" t="s">
        <v>409</v>
      </c>
      <c r="D36" s="36"/>
      <c r="E36" s="36"/>
      <c r="F36" s="36"/>
      <c r="G36" s="36"/>
      <c r="H36" s="33">
        <v>0</v>
      </c>
      <c r="I36" s="33"/>
      <c r="J36" s="33"/>
      <c r="K36" s="33"/>
      <c r="L36" s="33"/>
      <c r="M36" s="33">
        <v>0</v>
      </c>
      <c r="N36" s="33"/>
      <c r="O36" s="33"/>
      <c r="P36" s="33"/>
      <c r="Q36" s="33"/>
      <c r="R36" s="33">
        <v>0</v>
      </c>
      <c r="S36" s="33"/>
      <c r="T36" s="33"/>
      <c r="U36" s="33"/>
      <c r="V36" s="33"/>
      <c r="W36" s="33">
        <v>0</v>
      </c>
      <c r="X36" s="33"/>
      <c r="Y36" s="33"/>
      <c r="Z36" s="33"/>
      <c r="AA36" s="33"/>
      <c r="AB36" s="33">
        <v>0</v>
      </c>
      <c r="AC36" s="33"/>
      <c r="AD36" s="33"/>
      <c r="AE36" s="33"/>
      <c r="AF36" s="33"/>
      <c r="AG36" s="33">
        <v>0</v>
      </c>
      <c r="AH36" s="33">
        <v>0</v>
      </c>
      <c r="AI36" s="33">
        <v>0</v>
      </c>
      <c r="AJ36" s="33">
        <f t="shared" ref="AJ36:AT36" si="14">AJ37</f>
        <v>19827</v>
      </c>
      <c r="AK36" s="33">
        <f t="shared" si="14"/>
        <v>0</v>
      </c>
      <c r="AL36" s="33">
        <f t="shared" si="14"/>
        <v>21766</v>
      </c>
      <c r="AM36" s="33">
        <f t="shared" si="14"/>
        <v>0</v>
      </c>
      <c r="AN36" s="33">
        <f t="shared" si="14"/>
        <v>0</v>
      </c>
      <c r="AO36" s="33">
        <f t="shared" si="14"/>
        <v>0</v>
      </c>
      <c r="AP36" s="33">
        <f t="shared" si="14"/>
        <v>0</v>
      </c>
      <c r="AQ36" s="33">
        <f t="shared" si="14"/>
        <v>0</v>
      </c>
      <c r="AR36" s="33">
        <f t="shared" si="14"/>
        <v>0</v>
      </c>
      <c r="AS36" s="33">
        <f t="shared" si="14"/>
        <v>0</v>
      </c>
      <c r="AT36" s="33">
        <f t="shared" si="14"/>
        <v>0</v>
      </c>
      <c r="AU36" s="33">
        <v>0</v>
      </c>
      <c r="AV36" s="33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178">
        <v>0</v>
      </c>
    </row>
    <row r="37" spans="1:66">
      <c r="A37" s="21"/>
      <c r="B37" s="6" t="s">
        <v>105</v>
      </c>
      <c r="C37" s="6" t="s">
        <v>410</v>
      </c>
      <c r="D37" s="12"/>
      <c r="E37" s="12"/>
      <c r="F37" s="12"/>
      <c r="G37" s="12"/>
      <c r="H37" s="37">
        <v>0</v>
      </c>
      <c r="I37" s="37"/>
      <c r="J37" s="37"/>
      <c r="K37" s="37"/>
      <c r="L37" s="37"/>
      <c r="M37" s="37">
        <v>0</v>
      </c>
      <c r="N37" s="37"/>
      <c r="O37" s="37"/>
      <c r="P37" s="37"/>
      <c r="Q37" s="37"/>
      <c r="R37" s="37">
        <v>0</v>
      </c>
      <c r="S37" s="37"/>
      <c r="T37" s="37"/>
      <c r="U37" s="37"/>
      <c r="V37" s="37"/>
      <c r="W37" s="37">
        <v>0</v>
      </c>
      <c r="X37" s="37"/>
      <c r="Y37" s="37"/>
      <c r="Z37" s="37"/>
      <c r="AA37" s="37"/>
      <c r="AB37" s="37">
        <v>0</v>
      </c>
      <c r="AC37" s="37"/>
      <c r="AD37" s="37"/>
      <c r="AE37" s="37"/>
      <c r="AF37" s="37"/>
      <c r="AG37" s="37">
        <v>0</v>
      </c>
      <c r="AH37" s="37">
        <v>0</v>
      </c>
      <c r="AI37" s="37">
        <v>0</v>
      </c>
      <c r="AJ37" s="37">
        <v>19827</v>
      </c>
      <c r="AK37" s="37">
        <v>0</v>
      </c>
      <c r="AL37" s="37">
        <v>21766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175">
        <v>0</v>
      </c>
    </row>
    <row r="38" spans="1:66">
      <c r="A38" s="21"/>
      <c r="D38" s="36"/>
      <c r="E38" s="36"/>
      <c r="F38" s="36"/>
      <c r="G38" s="36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BB38" s="29"/>
      <c r="BC38" s="29"/>
      <c r="BD38" s="29"/>
      <c r="BE38" s="29"/>
      <c r="BF38" s="29"/>
      <c r="BG38" s="29"/>
      <c r="BH38" s="29"/>
      <c r="BN38" s="25"/>
    </row>
    <row r="39" spans="1:66">
      <c r="A39" s="21"/>
      <c r="B39" s="5" t="s">
        <v>104</v>
      </c>
      <c r="C39" s="5" t="s">
        <v>411</v>
      </c>
      <c r="D39" s="36" t="e">
        <f>D27+D32</f>
        <v>#REF!</v>
      </c>
      <c r="E39" s="36" t="e">
        <f>E27+E32</f>
        <v>#REF!</v>
      </c>
      <c r="F39" s="36" t="e">
        <f>F27+F32</f>
        <v>#REF!</v>
      </c>
      <c r="G39" s="36" t="e">
        <f>G27+G32</f>
        <v>#REF!</v>
      </c>
      <c r="H39" s="33">
        <f t="shared" ref="H39:AM39" si="15">H34+H36</f>
        <v>93920</v>
      </c>
      <c r="I39" s="33">
        <f t="shared" si="15"/>
        <v>21243</v>
      </c>
      <c r="J39" s="33">
        <f t="shared" si="15"/>
        <v>30511</v>
      </c>
      <c r="K39" s="33">
        <f t="shared" si="15"/>
        <v>30822</v>
      </c>
      <c r="L39" s="33">
        <f t="shared" si="15"/>
        <v>29244</v>
      </c>
      <c r="M39" s="33">
        <f t="shared" si="15"/>
        <v>111820</v>
      </c>
      <c r="N39" s="33">
        <f t="shared" si="15"/>
        <v>23289</v>
      </c>
      <c r="O39" s="33">
        <f t="shared" si="15"/>
        <v>40288</v>
      </c>
      <c r="P39" s="33">
        <f t="shared" si="15"/>
        <v>27437</v>
      </c>
      <c r="Q39" s="33">
        <f t="shared" si="15"/>
        <v>11815</v>
      </c>
      <c r="R39" s="33">
        <f t="shared" si="15"/>
        <v>102829</v>
      </c>
      <c r="S39" s="33">
        <f t="shared" si="15"/>
        <v>26366</v>
      </c>
      <c r="T39" s="33">
        <f t="shared" si="15"/>
        <v>20352</v>
      </c>
      <c r="U39" s="33">
        <f t="shared" si="15"/>
        <v>20957</v>
      </c>
      <c r="V39" s="33">
        <f t="shared" si="15"/>
        <v>24052</v>
      </c>
      <c r="W39" s="33">
        <f t="shared" si="15"/>
        <v>91727</v>
      </c>
      <c r="X39" s="33">
        <f t="shared" si="15"/>
        <v>23428</v>
      </c>
      <c r="Y39" s="33">
        <f t="shared" si="15"/>
        <v>23478</v>
      </c>
      <c r="Z39" s="33">
        <f t="shared" si="15"/>
        <v>36192</v>
      </c>
      <c r="AA39" s="33">
        <f t="shared" si="15"/>
        <v>27044</v>
      </c>
      <c r="AB39" s="33">
        <f t="shared" si="15"/>
        <v>110142</v>
      </c>
      <c r="AC39" s="33">
        <f t="shared" si="15"/>
        <v>35643</v>
      </c>
      <c r="AD39" s="33">
        <f t="shared" si="15"/>
        <v>30366</v>
      </c>
      <c r="AE39" s="33">
        <f t="shared" si="15"/>
        <v>43516</v>
      </c>
      <c r="AF39" s="33">
        <f t="shared" si="15"/>
        <v>23573</v>
      </c>
      <c r="AG39" s="33">
        <f t="shared" si="15"/>
        <v>133098</v>
      </c>
      <c r="AH39" s="33">
        <f t="shared" si="15"/>
        <v>11769</v>
      </c>
      <c r="AI39" s="33">
        <f t="shared" si="15"/>
        <v>-1619</v>
      </c>
      <c r="AJ39" s="33">
        <f t="shared" si="15"/>
        <v>50066</v>
      </c>
      <c r="AK39" s="33">
        <f t="shared" si="15"/>
        <v>28145</v>
      </c>
      <c r="AL39" s="33">
        <f t="shared" si="15"/>
        <v>88395</v>
      </c>
      <c r="AM39" s="33">
        <f t="shared" si="15"/>
        <v>7995</v>
      </c>
      <c r="AN39" s="33">
        <f t="shared" ref="AN39:BN39" si="16">AN34+AN36</f>
        <v>3427</v>
      </c>
      <c r="AO39" s="33">
        <f t="shared" si="16"/>
        <v>15363</v>
      </c>
      <c r="AP39" s="33">
        <f t="shared" si="16"/>
        <v>973</v>
      </c>
      <c r="AQ39" s="33">
        <f t="shared" si="16"/>
        <v>27758</v>
      </c>
      <c r="AR39" s="33">
        <f t="shared" si="16"/>
        <v>20302</v>
      </c>
      <c r="AS39" s="33">
        <f t="shared" si="16"/>
        <v>13464</v>
      </c>
      <c r="AT39" s="33">
        <f t="shared" si="16"/>
        <v>24234</v>
      </c>
      <c r="AU39" s="33">
        <f t="shared" si="16"/>
        <v>42078</v>
      </c>
      <c r="AV39" s="33">
        <f t="shared" si="16"/>
        <v>100078</v>
      </c>
      <c r="AW39" s="33">
        <f t="shared" si="16"/>
        <v>14093</v>
      </c>
      <c r="AX39" s="33">
        <f t="shared" si="16"/>
        <v>6945</v>
      </c>
      <c r="AY39" s="33">
        <f t="shared" si="16"/>
        <v>32559</v>
      </c>
      <c r="AZ39" s="33">
        <f t="shared" si="16"/>
        <v>144</v>
      </c>
      <c r="BA39" s="33">
        <f t="shared" si="16"/>
        <v>53741</v>
      </c>
      <c r="BB39" s="33">
        <f t="shared" si="16"/>
        <v>1014</v>
      </c>
      <c r="BC39" s="33">
        <f t="shared" si="16"/>
        <v>-148109</v>
      </c>
      <c r="BD39" s="33">
        <f t="shared" si="16"/>
        <v>-466</v>
      </c>
      <c r="BE39" s="33">
        <f t="shared" si="16"/>
        <v>-54088</v>
      </c>
      <c r="BF39" s="33">
        <f t="shared" si="16"/>
        <v>-201649</v>
      </c>
      <c r="BG39" s="33">
        <f t="shared" si="16"/>
        <v>-2776</v>
      </c>
      <c r="BH39" s="33">
        <f t="shared" si="16"/>
        <v>-18271.729999999981</v>
      </c>
      <c r="BI39" s="33">
        <f t="shared" si="16"/>
        <v>52919.64000000013</v>
      </c>
      <c r="BJ39" s="33">
        <f t="shared" si="16"/>
        <v>26144.629999999888</v>
      </c>
      <c r="BK39" s="33">
        <f t="shared" si="16"/>
        <v>-16474.359999999986</v>
      </c>
      <c r="BL39" s="33">
        <f t="shared" si="16"/>
        <v>-4264.3699999999953</v>
      </c>
      <c r="BM39" s="33">
        <f t="shared" si="16"/>
        <v>21402.729999999981</v>
      </c>
      <c r="BN39" s="174">
        <f t="shared" si="16"/>
        <v>14839.559999999823</v>
      </c>
    </row>
    <row r="40" spans="1:66">
      <c r="A40" s="21"/>
      <c r="B40" s="5"/>
      <c r="C40" s="5"/>
      <c r="D40" s="36"/>
      <c r="E40" s="36"/>
      <c r="F40" s="36"/>
      <c r="G40" s="36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1"/>
      <c r="Z40" s="31"/>
      <c r="AA40" s="31"/>
      <c r="AB40" s="33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BB40" s="29"/>
      <c r="BC40" s="29"/>
      <c r="BD40" s="29"/>
      <c r="BE40" s="29"/>
      <c r="BF40" s="29"/>
      <c r="BG40" s="117"/>
      <c r="BH40" s="117"/>
      <c r="BI40" s="117"/>
      <c r="BN40" s="25"/>
    </row>
    <row r="41" spans="1:66">
      <c r="A41" s="21"/>
      <c r="B41" s="5" t="s">
        <v>103</v>
      </c>
      <c r="C41" s="5" t="s">
        <v>412</v>
      </c>
      <c r="D41" s="7"/>
      <c r="E41" s="7"/>
      <c r="F41" s="7"/>
      <c r="G41" s="7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BB41" s="29"/>
      <c r="BC41" s="29"/>
      <c r="BD41" s="29"/>
      <c r="BE41" s="29"/>
      <c r="BF41" s="29"/>
      <c r="BG41" s="29"/>
      <c r="BH41" s="29"/>
      <c r="BN41" s="25"/>
    </row>
    <row r="42" spans="1:66">
      <c r="A42" s="21"/>
      <c r="B42" s="6" t="s">
        <v>102</v>
      </c>
      <c r="C42" s="6" t="s">
        <v>413</v>
      </c>
      <c r="D42" s="36">
        <v>17042</v>
      </c>
      <c r="E42" s="36">
        <v>21075</v>
      </c>
      <c r="F42" s="36">
        <v>23397</v>
      </c>
      <c r="G42" s="36">
        <v>32406</v>
      </c>
      <c r="H42" s="33">
        <v>93920</v>
      </c>
      <c r="I42" s="33">
        <v>21243</v>
      </c>
      <c r="J42" s="33">
        <v>30511</v>
      </c>
      <c r="K42" s="33">
        <v>30822</v>
      </c>
      <c r="L42" s="33">
        <v>29244</v>
      </c>
      <c r="M42" s="33">
        <v>111820</v>
      </c>
      <c r="N42" s="33">
        <v>23289</v>
      </c>
      <c r="O42" s="33">
        <v>40288</v>
      </c>
      <c r="P42" s="33">
        <v>27437</v>
      </c>
      <c r="Q42" s="33">
        <v>11815</v>
      </c>
      <c r="R42" s="33">
        <v>102829</v>
      </c>
      <c r="S42" s="33">
        <v>26366</v>
      </c>
      <c r="T42" s="33">
        <v>20352</v>
      </c>
      <c r="U42" s="33">
        <v>20957</v>
      </c>
      <c r="V42" s="33">
        <v>24052</v>
      </c>
      <c r="W42" s="33">
        <v>91727</v>
      </c>
      <c r="X42" s="33">
        <v>23428</v>
      </c>
      <c r="Y42" s="33">
        <v>23478</v>
      </c>
      <c r="Z42" s="33">
        <v>36192</v>
      </c>
      <c r="AA42" s="33">
        <v>27044</v>
      </c>
      <c r="AB42" s="33">
        <v>110142</v>
      </c>
      <c r="AC42" s="33">
        <v>35643</v>
      </c>
      <c r="AD42" s="33">
        <v>30366</v>
      </c>
      <c r="AE42" s="33">
        <v>43516</v>
      </c>
      <c r="AF42" s="33">
        <v>23540</v>
      </c>
      <c r="AG42" s="33">
        <v>133065</v>
      </c>
      <c r="AH42" s="33">
        <v>11830</v>
      </c>
      <c r="AI42" s="33">
        <v>-1407</v>
      </c>
      <c r="AJ42" s="33">
        <v>49932</v>
      </c>
      <c r="AK42" s="33">
        <f>AK39-AK43</f>
        <v>27880</v>
      </c>
      <c r="AL42" s="33">
        <f>AL39-AL43</f>
        <v>88269</v>
      </c>
      <c r="AM42" s="33">
        <v>7641</v>
      </c>
      <c r="AN42" s="33">
        <v>3164</v>
      </c>
      <c r="AO42" s="33">
        <v>15818</v>
      </c>
      <c r="AP42" s="33">
        <v>1064</v>
      </c>
      <c r="AQ42" s="33">
        <v>27687</v>
      </c>
      <c r="AR42" s="33">
        <v>19722</v>
      </c>
      <c r="AS42" s="33">
        <v>13477</v>
      </c>
      <c r="AT42" s="33">
        <v>23781</v>
      </c>
      <c r="AU42" s="33">
        <v>43060</v>
      </c>
      <c r="AV42" s="33">
        <v>100040</v>
      </c>
      <c r="AW42" s="33">
        <v>13722</v>
      </c>
      <c r="AX42" s="33">
        <v>6311</v>
      </c>
      <c r="AY42" s="33">
        <v>31642</v>
      </c>
      <c r="AZ42" s="33">
        <v>2606</v>
      </c>
      <c r="BA42" s="33">
        <v>54281</v>
      </c>
      <c r="BB42" s="33">
        <v>2102</v>
      </c>
      <c r="BC42" s="33">
        <v>-148058</v>
      </c>
      <c r="BD42" s="33">
        <v>-2474</v>
      </c>
      <c r="BE42" s="33">
        <v>-54025</v>
      </c>
      <c r="BF42" s="33">
        <v>-202455</v>
      </c>
      <c r="BG42" s="33">
        <v>-4959</v>
      </c>
      <c r="BH42" s="32">
        <v>-17603</v>
      </c>
      <c r="BI42" s="32">
        <v>52258</v>
      </c>
      <c r="BJ42" s="32">
        <v>29991</v>
      </c>
      <c r="BK42" s="32">
        <v>-18083</v>
      </c>
      <c r="BL42" s="32">
        <v>-4302</v>
      </c>
      <c r="BM42" s="32">
        <f>'DRE Op Continuada'!K42</f>
        <v>22078</v>
      </c>
      <c r="BN42" s="179">
        <f>'DRE Op Continuada'!L42</f>
        <v>24786</v>
      </c>
    </row>
    <row r="43" spans="1:66">
      <c r="A43" s="21"/>
      <c r="B43" s="6" t="s">
        <v>67</v>
      </c>
      <c r="C43" s="6" t="s">
        <v>414</v>
      </c>
      <c r="D43" s="11">
        <v>0</v>
      </c>
      <c r="E43" s="11">
        <v>0</v>
      </c>
      <c r="F43" s="11">
        <v>0</v>
      </c>
      <c r="G43" s="11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33</v>
      </c>
      <c r="AG43" s="34">
        <v>33</v>
      </c>
      <c r="AH43" s="34">
        <v>-61</v>
      </c>
      <c r="AI43" s="34">
        <v>-212</v>
      </c>
      <c r="AJ43" s="34">
        <v>134</v>
      </c>
      <c r="AK43" s="34">
        <f>AL43-AH43-AI43-AJ43</f>
        <v>265</v>
      </c>
      <c r="AL43" s="34">
        <v>126</v>
      </c>
      <c r="AM43" s="34">
        <v>354</v>
      </c>
      <c r="AN43" s="34">
        <v>263</v>
      </c>
      <c r="AO43" s="35">
        <v>-455.33000000000004</v>
      </c>
      <c r="AP43" s="33">
        <v>-90.669999999999959</v>
      </c>
      <c r="AQ43" s="34">
        <v>71</v>
      </c>
      <c r="AR43" s="34">
        <v>580</v>
      </c>
      <c r="AS43" s="34">
        <v>-13</v>
      </c>
      <c r="AT43" s="34">
        <v>453</v>
      </c>
      <c r="AU43" s="33">
        <v>-982</v>
      </c>
      <c r="AV43" s="33">
        <v>38</v>
      </c>
      <c r="AW43" s="33">
        <v>371</v>
      </c>
      <c r="AX43" s="33">
        <v>634</v>
      </c>
      <c r="AY43" s="33">
        <v>917</v>
      </c>
      <c r="AZ43" s="33">
        <v>-2462</v>
      </c>
      <c r="BA43" s="33">
        <v>-540</v>
      </c>
      <c r="BB43" s="33">
        <v>-1088</v>
      </c>
      <c r="BC43" s="33">
        <v>-51</v>
      </c>
      <c r="BD43" s="33">
        <v>2008</v>
      </c>
      <c r="BE43" s="33">
        <v>-63</v>
      </c>
      <c r="BF43" s="33">
        <v>806</v>
      </c>
      <c r="BG43" s="33">
        <v>2183</v>
      </c>
      <c r="BH43" s="32">
        <v>-668.72999999998137</v>
      </c>
      <c r="BI43" s="32">
        <v>461.64000000013039</v>
      </c>
      <c r="BJ43" s="32">
        <v>-3846.3700000001118</v>
      </c>
      <c r="BK43" s="32">
        <v>1608.640000000014</v>
      </c>
      <c r="BL43" s="32">
        <v>38</v>
      </c>
      <c r="BM43" s="32">
        <f>'DRE Op Continuada'!K43</f>
        <v>-675.35999999986961</v>
      </c>
      <c r="BN43" s="179">
        <f>'DRE Op Continuada'!L43</f>
        <v>-9946.440000000177</v>
      </c>
    </row>
    <row r="44" spans="1:66">
      <c r="A44" s="21"/>
      <c r="AH44" s="31"/>
      <c r="AI44" s="31"/>
      <c r="AJ44" s="31"/>
      <c r="AK44" s="31"/>
      <c r="AL44" s="31"/>
      <c r="AQ44" s="31"/>
      <c r="AR44" s="31"/>
      <c r="AS44" s="31"/>
      <c r="AT44" s="31"/>
    </row>
    <row r="45" spans="1:66">
      <c r="A45" s="21"/>
    </row>
    <row r="46" spans="1:66">
      <c r="A46" s="21"/>
    </row>
    <row r="47" spans="1:66">
      <c r="A47" s="21"/>
    </row>
    <row r="49" spans="1:1">
      <c r="A49" s="21"/>
    </row>
    <row r="50" spans="1:1">
      <c r="A50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  <row r="58" spans="1:1">
      <c r="A58" s="21"/>
    </row>
    <row r="59" spans="1:1">
      <c r="A59" s="21"/>
    </row>
    <row r="60" spans="1:1">
      <c r="A60" s="21"/>
    </row>
    <row r="61" spans="1:1">
      <c r="A61" s="21"/>
    </row>
    <row r="62" spans="1:1">
      <c r="A62" s="21"/>
    </row>
    <row r="63" spans="1:1">
      <c r="A63" s="21"/>
    </row>
    <row r="64" spans="1:1">
      <c r="A64" s="21"/>
    </row>
    <row r="65" spans="1:1">
      <c r="A65" s="21"/>
    </row>
    <row r="66" spans="1:1">
      <c r="A66" s="21"/>
    </row>
    <row r="67" spans="1:1">
      <c r="A67" s="21"/>
    </row>
    <row r="68" spans="1:1">
      <c r="A68" s="21"/>
    </row>
    <row r="69" spans="1:1">
      <c r="A69" s="21"/>
    </row>
    <row r="70" spans="1:1">
      <c r="A70" s="21"/>
    </row>
    <row r="71" spans="1:1">
      <c r="A71" s="21"/>
    </row>
    <row r="73" spans="1:1">
      <c r="A73" s="21"/>
    </row>
    <row r="74" spans="1:1">
      <c r="A74" s="21"/>
    </row>
    <row r="76" spans="1:1">
      <c r="A76" s="21"/>
    </row>
    <row r="77" spans="1:1">
      <c r="A77" s="21"/>
    </row>
    <row r="80" spans="1:1">
      <c r="A80" s="21"/>
    </row>
    <row r="81" spans="1:1">
      <c r="A81" s="21"/>
    </row>
    <row r="82" spans="1:1">
      <c r="A82" s="21"/>
    </row>
    <row r="83" spans="1:1">
      <c r="A83" s="21"/>
    </row>
    <row r="84" spans="1:1">
      <c r="A84" s="21"/>
    </row>
    <row r="85" spans="1:1">
      <c r="A85" s="21"/>
    </row>
    <row r="86" spans="1:1">
      <c r="A86" s="21"/>
    </row>
    <row r="87" spans="1:1">
      <c r="A87" s="21"/>
    </row>
    <row r="88" spans="1:1">
      <c r="A88" s="21"/>
    </row>
    <row r="89" spans="1:1">
      <c r="A89" s="21"/>
    </row>
    <row r="96" spans="1:1">
      <c r="A96" s="21"/>
    </row>
    <row r="97" spans="1:1">
      <c r="A97" s="21"/>
    </row>
    <row r="98" spans="1:1">
      <c r="A98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AB98"/>
  <sheetViews>
    <sheetView showGridLines="0" zoomScale="85" zoomScaleNormal="85" workbookViewId="0">
      <pane xSplit="3" ySplit="7" topLeftCell="V8" activePane="bottomRight" state="frozen"/>
      <selection activeCell="D47" sqref="D47"/>
      <selection pane="topRight" activeCell="D47" sqref="D47"/>
      <selection pane="bottomLeft" activeCell="D47" sqref="D47"/>
      <selection pane="bottomRight" activeCell="U14" sqref="U14"/>
    </sheetView>
  </sheetViews>
  <sheetFormatPr defaultColWidth="8.7265625" defaultRowHeight="14.5"/>
  <cols>
    <col min="1" max="1" width="1.54296875" style="109" customWidth="1"/>
    <col min="2" max="3" width="50.54296875" style="6" bestFit="1" customWidth="1"/>
    <col min="4" max="4" width="12.453125" style="107" bestFit="1" customWidth="1"/>
    <col min="5" max="7" width="12.81640625" style="107" bestFit="1" customWidth="1"/>
    <col min="8" max="8" width="12.81640625" style="107" customWidth="1"/>
    <col min="9" max="9" width="12.81640625" style="107" bestFit="1" customWidth="1"/>
    <col min="10" max="10" width="13.1796875" style="107" bestFit="1" customWidth="1"/>
    <col min="11" max="12" width="10.1796875" style="107" bestFit="1" customWidth="1"/>
    <col min="13" max="13" width="12.81640625" style="107" customWidth="1"/>
    <col min="14" max="14" width="12.1796875" style="107" bestFit="1" customWidth="1"/>
    <col min="15" max="15" width="12.1796875" style="107" customWidth="1"/>
    <col min="16" max="17" width="11.26953125" style="107" customWidth="1"/>
    <col min="18" max="18" width="12.81640625" style="107" customWidth="1"/>
    <col min="19" max="20" width="11.26953125" style="107" bestFit="1" customWidth="1"/>
    <col min="21" max="22" width="14.7265625" style="107" bestFit="1" customWidth="1"/>
    <col min="23" max="23" width="12.26953125" style="107" bestFit="1" customWidth="1"/>
    <col min="24" max="24" width="14" style="107" bestFit="1" customWidth="1"/>
    <col min="25" max="27" width="14.453125" style="107" bestFit="1" customWidth="1"/>
    <col min="28" max="28" width="14.26953125" style="107" bestFit="1" customWidth="1"/>
    <col min="29" max="16384" width="8.7265625" style="107"/>
  </cols>
  <sheetData>
    <row r="1" spans="1:28" s="4" customFormat="1" ht="8.25" customHeight="1">
      <c r="B1" s="9"/>
      <c r="C1" s="9"/>
    </row>
    <row r="2" spans="1:28">
      <c r="A2" s="4"/>
    </row>
    <row r="3" spans="1:28">
      <c r="A3" s="4"/>
    </row>
    <row r="4" spans="1:28">
      <c r="A4" s="4"/>
    </row>
    <row r="5" spans="1:28">
      <c r="A5" s="4"/>
    </row>
    <row r="6" spans="1:28" ht="16.5">
      <c r="A6" s="4"/>
      <c r="B6" s="24"/>
      <c r="C6" s="24"/>
      <c r="D6" s="24" t="s">
        <v>739</v>
      </c>
      <c r="E6" s="24" t="s">
        <v>732</v>
      </c>
      <c r="F6" s="24" t="s">
        <v>733</v>
      </c>
      <c r="G6" s="24" t="s">
        <v>734</v>
      </c>
      <c r="H6" s="24">
        <v>2021</v>
      </c>
      <c r="I6" s="24" t="s">
        <v>735</v>
      </c>
      <c r="J6" s="24" t="s">
        <v>736</v>
      </c>
      <c r="K6" s="24" t="s">
        <v>737</v>
      </c>
      <c r="L6" s="24" t="s">
        <v>738</v>
      </c>
      <c r="M6" s="24">
        <v>2022</v>
      </c>
      <c r="N6" s="24" t="s">
        <v>740</v>
      </c>
      <c r="O6" s="24" t="s">
        <v>741</v>
      </c>
      <c r="P6" s="24" t="s">
        <v>742</v>
      </c>
      <c r="Q6" s="24" t="s">
        <v>743</v>
      </c>
      <c r="R6" s="24">
        <v>2023</v>
      </c>
      <c r="S6" s="24" t="s">
        <v>744</v>
      </c>
      <c r="T6" s="24" t="s">
        <v>745</v>
      </c>
      <c r="U6" s="24" t="s">
        <v>746</v>
      </c>
      <c r="V6" s="24" t="s">
        <v>747</v>
      </c>
      <c r="W6" s="24">
        <v>2024</v>
      </c>
      <c r="X6" s="24" t="s">
        <v>748</v>
      </c>
      <c r="Y6" s="24" t="s">
        <v>749</v>
      </c>
      <c r="Z6" s="24" t="s">
        <v>750</v>
      </c>
      <c r="AA6" s="24" t="s">
        <v>751</v>
      </c>
      <c r="AB6" s="24" t="s">
        <v>777</v>
      </c>
    </row>
    <row r="7" spans="1:28" ht="16.5" customHeight="1">
      <c r="A7" s="4"/>
      <c r="B7" s="40" t="s">
        <v>126</v>
      </c>
      <c r="C7" s="23" t="s">
        <v>415</v>
      </c>
      <c r="D7" s="24" t="s">
        <v>94</v>
      </c>
      <c r="E7" s="24" t="s">
        <v>95</v>
      </c>
      <c r="F7" s="24" t="s">
        <v>96</v>
      </c>
      <c r="G7" s="24" t="s">
        <v>97</v>
      </c>
      <c r="H7" s="24">
        <v>2021</v>
      </c>
      <c r="I7" s="24" t="s">
        <v>98</v>
      </c>
      <c r="J7" s="24" t="s">
        <v>99</v>
      </c>
      <c r="K7" s="24" t="s">
        <v>302</v>
      </c>
      <c r="L7" s="24" t="s">
        <v>305</v>
      </c>
      <c r="M7" s="24">
        <v>2022</v>
      </c>
      <c r="N7" s="24" t="s">
        <v>313</v>
      </c>
      <c r="O7" s="24" t="s">
        <v>314</v>
      </c>
      <c r="P7" s="24" t="s">
        <v>317</v>
      </c>
      <c r="Q7" s="24" t="s">
        <v>320</v>
      </c>
      <c r="R7" s="24">
        <v>2023</v>
      </c>
      <c r="S7" s="24" t="s">
        <v>349</v>
      </c>
      <c r="T7" s="24" t="s">
        <v>355</v>
      </c>
      <c r="U7" s="24" t="s">
        <v>356</v>
      </c>
      <c r="V7" s="24" t="s">
        <v>365</v>
      </c>
      <c r="W7" s="24">
        <v>2024</v>
      </c>
      <c r="X7" s="24" t="s">
        <v>358</v>
      </c>
      <c r="Y7" s="24" t="s">
        <v>359</v>
      </c>
      <c r="Z7" s="24" t="s">
        <v>375</v>
      </c>
      <c r="AA7" s="24" t="s">
        <v>388</v>
      </c>
      <c r="AB7" s="24" t="s">
        <v>778</v>
      </c>
    </row>
    <row r="8" spans="1:28">
      <c r="A8" s="4"/>
      <c r="D8" s="108"/>
      <c r="E8" s="108"/>
    </row>
    <row r="9" spans="1:28">
      <c r="A9" s="4"/>
      <c r="B9" s="5" t="s">
        <v>123</v>
      </c>
      <c r="C9" s="5" t="s">
        <v>392</v>
      </c>
      <c r="D9" s="33">
        <v>365138</v>
      </c>
      <c r="E9" s="33">
        <v>392746</v>
      </c>
      <c r="F9" s="33">
        <v>421274</v>
      </c>
      <c r="G9" s="33">
        <v>437255</v>
      </c>
      <c r="H9" s="33">
        <f>SUM(D9:G9)</f>
        <v>1616413</v>
      </c>
      <c r="I9" s="33">
        <v>447543</v>
      </c>
      <c r="J9" s="33">
        <v>456843</v>
      </c>
      <c r="K9" s="33">
        <v>496301</v>
      </c>
      <c r="L9" s="33">
        <v>478750</v>
      </c>
      <c r="M9" s="33">
        <f>SUM(I9:L9)</f>
        <v>1879437</v>
      </c>
      <c r="N9" s="33">
        <v>529279</v>
      </c>
      <c r="O9" s="33">
        <v>534356</v>
      </c>
      <c r="P9" s="33">
        <v>558409</v>
      </c>
      <c r="Q9" s="33">
        <v>633466</v>
      </c>
      <c r="R9" s="33">
        <v>2255510</v>
      </c>
      <c r="S9" s="33">
        <v>484319</v>
      </c>
      <c r="T9" s="33">
        <v>518153</v>
      </c>
      <c r="U9" s="33">
        <v>579699</v>
      </c>
      <c r="V9" s="33">
        <v>589173</v>
      </c>
      <c r="W9" s="33">
        <f>SUM(S9:V9)</f>
        <v>2171344</v>
      </c>
      <c r="X9" s="33">
        <v>500672.4749629111</v>
      </c>
      <c r="Y9" s="33">
        <v>490098.62308875402</v>
      </c>
      <c r="Z9" s="174">
        <v>540399.70467843674</v>
      </c>
      <c r="AA9" s="174">
        <v>531392.32894265768</v>
      </c>
      <c r="AB9" s="174">
        <v>446979.79000000004</v>
      </c>
    </row>
    <row r="10" spans="1:28">
      <c r="A10" s="4"/>
      <c r="B10" s="6" t="s">
        <v>122</v>
      </c>
      <c r="C10" s="6" t="s">
        <v>393</v>
      </c>
      <c r="D10" s="37">
        <v>-265876</v>
      </c>
      <c r="E10" s="37">
        <v>-264048.73</v>
      </c>
      <c r="F10" s="37">
        <v>-292591.3600000001</v>
      </c>
      <c r="G10" s="37">
        <v>-302500.36999999988</v>
      </c>
      <c r="H10" s="37">
        <f t="shared" ref="H10:H43" si="0">SUM(D10:G10)</f>
        <v>-1125016.46</v>
      </c>
      <c r="I10" s="37">
        <v>-296787.36</v>
      </c>
      <c r="J10" s="37">
        <v>-287417.37</v>
      </c>
      <c r="K10" s="37">
        <v>-315932.35999999987</v>
      </c>
      <c r="L10" s="37">
        <v>-309672.44000000018</v>
      </c>
      <c r="M10" s="37">
        <f t="shared" ref="M10:M43" si="1">SUM(I10:L10)</f>
        <v>-1209809.53</v>
      </c>
      <c r="N10" s="37">
        <v>-321757.58999999997</v>
      </c>
      <c r="O10" s="37">
        <v>-341036.58999999997</v>
      </c>
      <c r="P10" s="37">
        <v>-362969.59000000008</v>
      </c>
      <c r="Q10" s="37">
        <v>-406911.58999999985</v>
      </c>
      <c r="R10" s="37">
        <v>-1432675.3599999999</v>
      </c>
      <c r="S10" s="37">
        <v>-305121.58999999997</v>
      </c>
      <c r="T10" s="37">
        <v>-328714.58999999997</v>
      </c>
      <c r="U10" s="37">
        <v>-369315.59000000008</v>
      </c>
      <c r="V10" s="37">
        <v>-391138.58999999985</v>
      </c>
      <c r="W10" s="37">
        <v>-1394290.36</v>
      </c>
      <c r="X10" s="37">
        <v>-332294</v>
      </c>
      <c r="Y10" s="39">
        <v>-331907</v>
      </c>
      <c r="Z10" s="177">
        <v>-360297</v>
      </c>
      <c r="AA10" s="177">
        <v>-343346</v>
      </c>
      <c r="AB10" s="177">
        <v>-273966</v>
      </c>
    </row>
    <row r="11" spans="1:28">
      <c r="A11" s="4"/>
      <c r="B11" s="5" t="s">
        <v>121</v>
      </c>
      <c r="C11" s="5" t="s">
        <v>416</v>
      </c>
      <c r="D11" s="33">
        <f t="shared" ref="D11:Z11" si="2">SUM(D9:D10)</f>
        <v>99262</v>
      </c>
      <c r="E11" s="33">
        <f t="shared" si="2"/>
        <v>128697.27000000002</v>
      </c>
      <c r="F11" s="33">
        <f t="shared" si="2"/>
        <v>128682.6399999999</v>
      </c>
      <c r="G11" s="33">
        <f t="shared" si="2"/>
        <v>134754.63000000012</v>
      </c>
      <c r="H11" s="33">
        <f t="shared" si="2"/>
        <v>491396.54000000004</v>
      </c>
      <c r="I11" s="33">
        <f t="shared" si="2"/>
        <v>150755.64000000001</v>
      </c>
      <c r="J11" s="33">
        <f t="shared" si="2"/>
        <v>169425.63</v>
      </c>
      <c r="K11" s="33">
        <f t="shared" si="2"/>
        <v>180368.64000000013</v>
      </c>
      <c r="L11" s="33">
        <f t="shared" si="2"/>
        <v>169077.55999999982</v>
      </c>
      <c r="M11" s="33">
        <f t="shared" si="2"/>
        <v>669627.47</v>
      </c>
      <c r="N11" s="33">
        <f t="shared" si="2"/>
        <v>207521.41000000003</v>
      </c>
      <c r="O11" s="33">
        <f t="shared" si="2"/>
        <v>193319.41000000003</v>
      </c>
      <c r="P11" s="33">
        <f t="shared" si="2"/>
        <v>195439.40999999992</v>
      </c>
      <c r="Q11" s="33">
        <f t="shared" si="2"/>
        <v>226554.41000000015</v>
      </c>
      <c r="R11" s="33">
        <f t="shared" si="2"/>
        <v>822834.64000000013</v>
      </c>
      <c r="S11" s="33">
        <f t="shared" si="2"/>
        <v>179197.41000000003</v>
      </c>
      <c r="T11" s="33">
        <f t="shared" si="2"/>
        <v>189438.41000000003</v>
      </c>
      <c r="U11" s="33">
        <f t="shared" si="2"/>
        <v>210383.40999999992</v>
      </c>
      <c r="V11" s="33">
        <f t="shared" si="2"/>
        <v>198034.41000000015</v>
      </c>
      <c r="W11" s="33">
        <f t="shared" si="2"/>
        <v>777053.6399999999</v>
      </c>
      <c r="X11" s="33">
        <f t="shared" si="2"/>
        <v>168378.4749629111</v>
      </c>
      <c r="Y11" s="33">
        <f t="shared" si="2"/>
        <v>158191.62308875402</v>
      </c>
      <c r="Z11" s="174">
        <f t="shared" si="2"/>
        <v>180102.70467843674</v>
      </c>
      <c r="AA11" s="174">
        <f t="shared" ref="AA11:AB11" si="3">SUM(AA9:AA10)</f>
        <v>188046.32894265768</v>
      </c>
      <c r="AB11" s="174">
        <f t="shared" si="3"/>
        <v>173013.79000000004</v>
      </c>
    </row>
    <row r="12" spans="1:28">
      <c r="A12" s="4"/>
      <c r="B12" s="5"/>
      <c r="C12" s="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68"/>
      <c r="X12" s="145"/>
      <c r="Y12" s="145"/>
      <c r="Z12" s="190"/>
      <c r="AA12" s="190"/>
    </row>
    <row r="13" spans="1:28">
      <c r="A13" s="4"/>
      <c r="B13" s="5" t="s">
        <v>120</v>
      </c>
      <c r="C13" s="5" t="s">
        <v>395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90"/>
      <c r="AA13" s="190"/>
    </row>
    <row r="14" spans="1:28">
      <c r="A14" s="4"/>
      <c r="B14" s="6" t="s">
        <v>119</v>
      </c>
      <c r="C14" s="6" t="s">
        <v>396</v>
      </c>
      <c r="D14" s="37">
        <v>-35743</v>
      </c>
      <c r="E14" s="37">
        <v>-60464</v>
      </c>
      <c r="F14" s="37">
        <v>-41985</v>
      </c>
      <c r="G14" s="37">
        <v>-36616</v>
      </c>
      <c r="H14" s="37">
        <f t="shared" si="0"/>
        <v>-174808</v>
      </c>
      <c r="I14" s="37">
        <v>-43017</v>
      </c>
      <c r="J14" s="37">
        <v>-48489</v>
      </c>
      <c r="K14" s="37">
        <v>-42759</v>
      </c>
      <c r="L14" s="37">
        <v>-41835</v>
      </c>
      <c r="M14" s="37">
        <f t="shared" si="1"/>
        <v>-176100</v>
      </c>
      <c r="N14" s="37">
        <v>-48999</v>
      </c>
      <c r="O14" s="37">
        <v>-45244</v>
      </c>
      <c r="P14" s="37">
        <v>-33505</v>
      </c>
      <c r="Q14" s="37">
        <v>-66294</v>
      </c>
      <c r="R14" s="37">
        <v>-194042</v>
      </c>
      <c r="S14" s="37">
        <v>-47626</v>
      </c>
      <c r="T14" s="37">
        <v>-46601</v>
      </c>
      <c r="U14" s="37">
        <v>-58796</v>
      </c>
      <c r="V14" s="37">
        <v>-67800</v>
      </c>
      <c r="W14" s="37">
        <v>-220823</v>
      </c>
      <c r="X14" s="37">
        <v>-46370</v>
      </c>
      <c r="Y14" s="37">
        <v>-51241</v>
      </c>
      <c r="Z14" s="175">
        <v>-58522</v>
      </c>
      <c r="AA14" s="175">
        <v>-52926</v>
      </c>
      <c r="AB14" s="175">
        <v>-49671</v>
      </c>
    </row>
    <row r="15" spans="1:28">
      <c r="A15" s="4"/>
      <c r="B15" s="6" t="s">
        <v>118</v>
      </c>
      <c r="C15" s="6" t="s">
        <v>397</v>
      </c>
      <c r="D15" s="37">
        <v>-18791</v>
      </c>
      <c r="E15" s="37">
        <v>-27396</v>
      </c>
      <c r="F15" s="37">
        <v>-20310</v>
      </c>
      <c r="G15" s="37">
        <v>-21881</v>
      </c>
      <c r="H15" s="37">
        <f t="shared" si="0"/>
        <v>-88378</v>
      </c>
      <c r="I15" s="37">
        <v>-31248</v>
      </c>
      <c r="J15" s="37">
        <v>-24860</v>
      </c>
      <c r="K15" s="37">
        <v>-38366</v>
      </c>
      <c r="L15" s="37">
        <v>-21229</v>
      </c>
      <c r="M15" s="37">
        <f t="shared" si="1"/>
        <v>-115703</v>
      </c>
      <c r="N15" s="37">
        <v>-39587</v>
      </c>
      <c r="O15" s="37">
        <v>-37190</v>
      </c>
      <c r="P15" s="39">
        <v>-46692</v>
      </c>
      <c r="Q15" s="39">
        <v>-42293</v>
      </c>
      <c r="R15" s="37">
        <v>-165762</v>
      </c>
      <c r="S15" s="39">
        <v>-38802</v>
      </c>
      <c r="T15" s="39">
        <v>-36413</v>
      </c>
      <c r="U15" s="39">
        <v>-42815</v>
      </c>
      <c r="V15" s="39">
        <v>-46591</v>
      </c>
      <c r="W15" s="37">
        <v>-164621</v>
      </c>
      <c r="X15" s="39">
        <v>-40907</v>
      </c>
      <c r="Y15" s="39">
        <v>-43327</v>
      </c>
      <c r="Z15" s="177">
        <v>-34072</v>
      </c>
      <c r="AA15" s="177">
        <v>-43772</v>
      </c>
      <c r="AB15" s="177">
        <v>-34551</v>
      </c>
    </row>
    <row r="16" spans="1:28">
      <c r="A16" s="4"/>
      <c r="B16" s="6" t="s">
        <v>117</v>
      </c>
      <c r="C16" s="6" t="s">
        <v>398</v>
      </c>
      <c r="D16" s="37">
        <v>-10430</v>
      </c>
      <c r="E16" s="37">
        <v>-32032</v>
      </c>
      <c r="F16" s="37">
        <v>-5138</v>
      </c>
      <c r="G16" s="37">
        <v>-12621</v>
      </c>
      <c r="H16" s="37">
        <f t="shared" si="0"/>
        <v>-60221</v>
      </c>
      <c r="I16" s="37">
        <v>-8357</v>
      </c>
      <c r="J16" s="37">
        <v>-3984</v>
      </c>
      <c r="K16" s="37">
        <v>-8533</v>
      </c>
      <c r="L16" s="37">
        <v>-50853</v>
      </c>
      <c r="M16" s="37">
        <f t="shared" si="1"/>
        <v>-71727</v>
      </c>
      <c r="N16" s="37">
        <v>-16392</v>
      </c>
      <c r="O16" s="37">
        <v>-7036</v>
      </c>
      <c r="P16" s="37">
        <v>-3827</v>
      </c>
      <c r="Q16" s="37">
        <v>-43789</v>
      </c>
      <c r="R16" s="37">
        <v>-71044</v>
      </c>
      <c r="S16" s="37">
        <v>109129.98029000001</v>
      </c>
      <c r="T16" s="37">
        <v>-2326</v>
      </c>
      <c r="U16" s="37">
        <v>-1705</v>
      </c>
      <c r="V16" s="37">
        <v>-16542</v>
      </c>
      <c r="W16" s="37">
        <v>88556.980290000007</v>
      </c>
      <c r="X16" s="37">
        <v>26323</v>
      </c>
      <c r="Y16" s="37">
        <v>-7861</v>
      </c>
      <c r="Z16" s="175">
        <v>-21730</v>
      </c>
      <c r="AA16" s="175">
        <v>-23138</v>
      </c>
      <c r="AB16" s="175">
        <v>-5799</v>
      </c>
    </row>
    <row r="17" spans="1:28">
      <c r="A17" s="4"/>
      <c r="B17" s="6" t="s">
        <v>116</v>
      </c>
      <c r="C17" s="6" t="s">
        <v>399</v>
      </c>
      <c r="D17" s="37">
        <v>36</v>
      </c>
      <c r="E17" s="37">
        <v>-387</v>
      </c>
      <c r="F17" s="37">
        <v>-681</v>
      </c>
      <c r="G17" s="37">
        <v>-1596</v>
      </c>
      <c r="H17" s="37">
        <f t="shared" si="0"/>
        <v>-2628</v>
      </c>
      <c r="I17" s="37">
        <v>-354</v>
      </c>
      <c r="J17" s="37">
        <v>-876</v>
      </c>
      <c r="K17" s="37">
        <v>-630</v>
      </c>
      <c r="L17" s="37">
        <v>-1586</v>
      </c>
      <c r="M17" s="37">
        <f t="shared" si="1"/>
        <v>-3446</v>
      </c>
      <c r="N17" s="37">
        <v>-1022</v>
      </c>
      <c r="O17" s="37">
        <v>-534</v>
      </c>
      <c r="P17" s="37">
        <v>671</v>
      </c>
      <c r="Q17" s="37">
        <v>658</v>
      </c>
      <c r="R17" s="37">
        <v>-227</v>
      </c>
      <c r="S17" s="37">
        <v>-1728</v>
      </c>
      <c r="T17" s="37">
        <v>105</v>
      </c>
      <c r="U17" s="37">
        <v>-283</v>
      </c>
      <c r="V17" s="37">
        <v>-52</v>
      </c>
      <c r="W17" s="37">
        <v>-1958</v>
      </c>
      <c r="X17" s="37">
        <v>708</v>
      </c>
      <c r="Y17" s="37">
        <v>-51</v>
      </c>
      <c r="Z17" s="175">
        <v>141</v>
      </c>
      <c r="AA17" s="175">
        <v>-121</v>
      </c>
      <c r="AB17" s="175">
        <v>208</v>
      </c>
    </row>
    <row r="18" spans="1:28">
      <c r="A18" s="4"/>
      <c r="D18" s="33">
        <f t="shared" ref="D18:Z18" si="4">SUM(D14:D17)</f>
        <v>-64928</v>
      </c>
      <c r="E18" s="33">
        <f t="shared" si="4"/>
        <v>-120279</v>
      </c>
      <c r="F18" s="33">
        <f t="shared" si="4"/>
        <v>-68114</v>
      </c>
      <c r="G18" s="33">
        <f t="shared" si="4"/>
        <v>-72714</v>
      </c>
      <c r="H18" s="33">
        <f t="shared" si="4"/>
        <v>-326035</v>
      </c>
      <c r="I18" s="33">
        <f t="shared" si="4"/>
        <v>-82976</v>
      </c>
      <c r="J18" s="33">
        <f t="shared" si="4"/>
        <v>-78209</v>
      </c>
      <c r="K18" s="33">
        <f t="shared" si="4"/>
        <v>-90288</v>
      </c>
      <c r="L18" s="33">
        <f t="shared" si="4"/>
        <v>-115503</v>
      </c>
      <c r="M18" s="33">
        <f t="shared" si="4"/>
        <v>-366976</v>
      </c>
      <c r="N18" s="33">
        <f t="shared" si="4"/>
        <v>-106000</v>
      </c>
      <c r="O18" s="33">
        <f t="shared" si="4"/>
        <v>-90004</v>
      </c>
      <c r="P18" s="33">
        <f t="shared" si="4"/>
        <v>-83353</v>
      </c>
      <c r="Q18" s="33">
        <f t="shared" si="4"/>
        <v>-151718</v>
      </c>
      <c r="R18" s="33">
        <f t="shared" si="4"/>
        <v>-431075</v>
      </c>
      <c r="S18" s="33">
        <f t="shared" si="4"/>
        <v>20973.980290000007</v>
      </c>
      <c r="T18" s="33">
        <f t="shared" si="4"/>
        <v>-85235</v>
      </c>
      <c r="U18" s="33">
        <f t="shared" si="4"/>
        <v>-103599</v>
      </c>
      <c r="V18" s="33">
        <f t="shared" si="4"/>
        <v>-130985</v>
      </c>
      <c r="W18" s="33">
        <f t="shared" si="4"/>
        <v>-298845.01971000002</v>
      </c>
      <c r="X18" s="33">
        <f t="shared" si="4"/>
        <v>-60246</v>
      </c>
      <c r="Y18" s="33">
        <f>SUM(Y14:Y17)</f>
        <v>-102480</v>
      </c>
      <c r="Z18" s="174">
        <f t="shared" si="4"/>
        <v>-114183</v>
      </c>
      <c r="AA18" s="174">
        <f t="shared" ref="AA18:AB18" si="5">SUM(AA14:AA17)</f>
        <v>-119957</v>
      </c>
      <c r="AB18" s="174">
        <f t="shared" si="5"/>
        <v>-89813</v>
      </c>
    </row>
    <row r="19" spans="1:28">
      <c r="A19" s="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91"/>
      <c r="AA19" s="191"/>
    </row>
    <row r="20" spans="1:28">
      <c r="A20" s="4"/>
      <c r="B20" s="5" t="s">
        <v>115</v>
      </c>
      <c r="C20" s="5" t="s">
        <v>400</v>
      </c>
      <c r="D20" s="33">
        <f t="shared" ref="D20:Z20" si="6">D18+D11</f>
        <v>34334</v>
      </c>
      <c r="E20" s="33">
        <f t="shared" si="6"/>
        <v>8418.2700000000186</v>
      </c>
      <c r="F20" s="33">
        <f t="shared" si="6"/>
        <v>60568.639999999898</v>
      </c>
      <c r="G20" s="33">
        <f t="shared" si="6"/>
        <v>62040.630000000121</v>
      </c>
      <c r="H20" s="33">
        <f t="shared" si="6"/>
        <v>165361.54000000004</v>
      </c>
      <c r="I20" s="33">
        <f t="shared" si="6"/>
        <v>67779.640000000014</v>
      </c>
      <c r="J20" s="33">
        <f t="shared" si="6"/>
        <v>91216.63</v>
      </c>
      <c r="K20" s="33">
        <f t="shared" si="6"/>
        <v>90080.64000000013</v>
      </c>
      <c r="L20" s="33">
        <f t="shared" si="6"/>
        <v>53574.559999999823</v>
      </c>
      <c r="M20" s="33">
        <f t="shared" si="6"/>
        <v>302651.46999999997</v>
      </c>
      <c r="N20" s="33">
        <f t="shared" si="6"/>
        <v>101521.41000000003</v>
      </c>
      <c r="O20" s="33">
        <f t="shared" si="6"/>
        <v>103315.41000000003</v>
      </c>
      <c r="P20" s="33">
        <f t="shared" si="6"/>
        <v>112086.40999999992</v>
      </c>
      <c r="Q20" s="33">
        <f t="shared" si="6"/>
        <v>74836.410000000149</v>
      </c>
      <c r="R20" s="33">
        <f t="shared" si="6"/>
        <v>391759.64000000013</v>
      </c>
      <c r="S20" s="33">
        <f t="shared" si="6"/>
        <v>200171.39029000004</v>
      </c>
      <c r="T20" s="33">
        <f t="shared" si="6"/>
        <v>104203.41000000003</v>
      </c>
      <c r="U20" s="33">
        <f t="shared" si="6"/>
        <v>106784.40999999992</v>
      </c>
      <c r="V20" s="33">
        <f t="shared" si="6"/>
        <v>67049.410000000149</v>
      </c>
      <c r="W20" s="33">
        <f t="shared" si="6"/>
        <v>478208.62028999988</v>
      </c>
      <c r="X20" s="33">
        <f t="shared" si="6"/>
        <v>108132.4749629111</v>
      </c>
      <c r="Y20" s="33">
        <f t="shared" si="6"/>
        <v>55711.623088754015</v>
      </c>
      <c r="Z20" s="174">
        <f t="shared" si="6"/>
        <v>65919.704678436741</v>
      </c>
      <c r="AA20" s="174">
        <f t="shared" ref="AA20:AB20" si="7">AA18+AA11</f>
        <v>68089.328942657681</v>
      </c>
      <c r="AB20" s="174">
        <f t="shared" si="7"/>
        <v>83200.790000000037</v>
      </c>
    </row>
    <row r="21" spans="1:28">
      <c r="A21" s="4"/>
      <c r="B21" s="5"/>
      <c r="C21" s="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91"/>
      <c r="AA21" s="191"/>
    </row>
    <row r="22" spans="1:28">
      <c r="A22" s="4"/>
      <c r="B22" s="5" t="s">
        <v>114</v>
      </c>
      <c r="C22" s="5" t="s">
        <v>401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91"/>
      <c r="AA22" s="191"/>
    </row>
    <row r="23" spans="1:28">
      <c r="A23" s="4"/>
      <c r="B23" s="6" t="s">
        <v>113</v>
      </c>
      <c r="C23" s="6" t="s">
        <v>402</v>
      </c>
      <c r="D23" s="39">
        <v>17308</v>
      </c>
      <c r="E23" s="39">
        <v>52414</v>
      </c>
      <c r="F23" s="39">
        <v>46156</v>
      </c>
      <c r="G23" s="39">
        <v>45926</v>
      </c>
      <c r="H23" s="39">
        <f t="shared" si="0"/>
        <v>161804</v>
      </c>
      <c r="I23" s="39">
        <v>33437</v>
      </c>
      <c r="J23" s="39">
        <v>73243</v>
      </c>
      <c r="K23" s="39">
        <v>53598</v>
      </c>
      <c r="L23" s="39">
        <v>59984</v>
      </c>
      <c r="M23" s="39">
        <f t="shared" si="1"/>
        <v>220262</v>
      </c>
      <c r="N23" s="39">
        <v>46488</v>
      </c>
      <c r="O23" s="39">
        <v>47749.451296024476</v>
      </c>
      <c r="P23" s="39">
        <v>65390.512520976903</v>
      </c>
      <c r="Q23" s="39">
        <v>117478.03618299862</v>
      </c>
      <c r="R23" s="39">
        <v>277106</v>
      </c>
      <c r="S23" s="39">
        <v>47411</v>
      </c>
      <c r="T23" s="39">
        <v>54003</v>
      </c>
      <c r="U23" s="39">
        <v>42081</v>
      </c>
      <c r="V23" s="39">
        <v>56338</v>
      </c>
      <c r="W23" s="39">
        <v>199833</v>
      </c>
      <c r="X23" s="39">
        <v>34180</v>
      </c>
      <c r="Y23" s="39">
        <v>52558</v>
      </c>
      <c r="Z23" s="177">
        <v>48899</v>
      </c>
      <c r="AA23" s="177">
        <v>54102</v>
      </c>
      <c r="AB23" s="177">
        <v>73693</v>
      </c>
    </row>
    <row r="24" spans="1:28">
      <c r="A24" s="4"/>
      <c r="B24" s="6" t="s">
        <v>112</v>
      </c>
      <c r="C24" s="6" t="s">
        <v>403</v>
      </c>
      <c r="D24" s="39">
        <v>-35899</v>
      </c>
      <c r="E24" s="39">
        <v>-84055</v>
      </c>
      <c r="F24" s="39">
        <v>-45066</v>
      </c>
      <c r="G24" s="39">
        <v>-65039</v>
      </c>
      <c r="H24" s="39">
        <f t="shared" si="0"/>
        <v>-230059</v>
      </c>
      <c r="I24" s="39">
        <v>-118189</v>
      </c>
      <c r="J24" s="39">
        <v>-89957</v>
      </c>
      <c r="K24" s="39">
        <v>-104634</v>
      </c>
      <c r="L24" s="39">
        <v>-94059</v>
      </c>
      <c r="M24" s="39">
        <f t="shared" si="1"/>
        <v>-406839</v>
      </c>
      <c r="N24" s="39">
        <v>-65428</v>
      </c>
      <c r="O24" s="39">
        <v>-80421.203093544231</v>
      </c>
      <c r="P24" s="39">
        <v>-89613.22016645578</v>
      </c>
      <c r="Q24" s="39">
        <v>-160240.57673999999</v>
      </c>
      <c r="R24" s="39">
        <v>-395703</v>
      </c>
      <c r="S24" s="39">
        <v>-77509</v>
      </c>
      <c r="T24" s="39">
        <v>-69916</v>
      </c>
      <c r="U24" s="39">
        <v>-37991</v>
      </c>
      <c r="V24" s="39">
        <v>-56731</v>
      </c>
      <c r="W24" s="39">
        <v>-242147</v>
      </c>
      <c r="X24" s="39">
        <v>-55983</v>
      </c>
      <c r="Y24" s="39">
        <v>-75728</v>
      </c>
      <c r="Z24" s="177">
        <v>-56535</v>
      </c>
      <c r="AA24" s="177">
        <v>-65068</v>
      </c>
      <c r="AB24" s="177">
        <v>-69108</v>
      </c>
    </row>
    <row r="25" spans="1:28">
      <c r="A25" s="4"/>
      <c r="D25" s="33">
        <f t="shared" ref="D25:Z25" si="8">SUM(D23:D24)</f>
        <v>-18591</v>
      </c>
      <c r="E25" s="33">
        <f t="shared" si="8"/>
        <v>-31641</v>
      </c>
      <c r="F25" s="33">
        <f t="shared" si="8"/>
        <v>1090</v>
      </c>
      <c r="G25" s="33">
        <f t="shared" si="8"/>
        <v>-19113</v>
      </c>
      <c r="H25" s="33">
        <f t="shared" si="8"/>
        <v>-68255</v>
      </c>
      <c r="I25" s="33">
        <f t="shared" si="8"/>
        <v>-84752</v>
      </c>
      <c r="J25" s="33">
        <f t="shared" si="8"/>
        <v>-16714</v>
      </c>
      <c r="K25" s="33">
        <f t="shared" si="8"/>
        <v>-51036</v>
      </c>
      <c r="L25" s="33">
        <f t="shared" si="8"/>
        <v>-34075</v>
      </c>
      <c r="M25" s="33">
        <f t="shared" si="8"/>
        <v>-186577</v>
      </c>
      <c r="N25" s="33">
        <f t="shared" si="8"/>
        <v>-18940</v>
      </c>
      <c r="O25" s="33">
        <f t="shared" si="8"/>
        <v>-32671.751797519755</v>
      </c>
      <c r="P25" s="33">
        <f t="shared" si="8"/>
        <v>-24222.707645478877</v>
      </c>
      <c r="Q25" s="33">
        <f t="shared" si="8"/>
        <v>-42762.540557001368</v>
      </c>
      <c r="R25" s="33">
        <f t="shared" si="8"/>
        <v>-118597</v>
      </c>
      <c r="S25" s="33">
        <f t="shared" si="8"/>
        <v>-30098</v>
      </c>
      <c r="T25" s="33">
        <f t="shared" si="8"/>
        <v>-15913</v>
      </c>
      <c r="U25" s="33">
        <f t="shared" si="8"/>
        <v>4090</v>
      </c>
      <c r="V25" s="33">
        <f t="shared" si="8"/>
        <v>-393</v>
      </c>
      <c r="W25" s="33">
        <f t="shared" si="8"/>
        <v>-42314</v>
      </c>
      <c r="X25" s="33">
        <f t="shared" si="8"/>
        <v>-21803</v>
      </c>
      <c r="Y25" s="33">
        <f t="shared" si="8"/>
        <v>-23170</v>
      </c>
      <c r="Z25" s="174">
        <f t="shared" si="8"/>
        <v>-7636</v>
      </c>
      <c r="AA25" s="174">
        <f t="shared" ref="AA25:AB25" si="9">SUM(AA23:AA24)</f>
        <v>-10966</v>
      </c>
      <c r="AB25" s="174">
        <f t="shared" si="9"/>
        <v>4585</v>
      </c>
    </row>
    <row r="26" spans="1:28">
      <c r="A26" s="4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91"/>
      <c r="AA26" s="191"/>
    </row>
    <row r="27" spans="1:28">
      <c r="A27" s="4"/>
      <c r="B27" s="5" t="s">
        <v>111</v>
      </c>
      <c r="C27" s="5" t="s">
        <v>404</v>
      </c>
      <c r="D27" s="33">
        <f t="shared" ref="D27:Z27" si="10">D20+D25</f>
        <v>15743</v>
      </c>
      <c r="E27" s="33">
        <f t="shared" si="10"/>
        <v>-23222.729999999981</v>
      </c>
      <c r="F27" s="33">
        <f t="shared" si="10"/>
        <v>61658.639999999898</v>
      </c>
      <c r="G27" s="33">
        <f t="shared" si="10"/>
        <v>42927.630000000121</v>
      </c>
      <c r="H27" s="33">
        <f t="shared" si="10"/>
        <v>97106.540000000037</v>
      </c>
      <c r="I27" s="33">
        <f t="shared" si="10"/>
        <v>-16972.359999999986</v>
      </c>
      <c r="J27" s="33">
        <f t="shared" si="10"/>
        <v>74502.63</v>
      </c>
      <c r="K27" s="33">
        <f t="shared" si="10"/>
        <v>39044.64000000013</v>
      </c>
      <c r="L27" s="33">
        <f t="shared" si="10"/>
        <v>19499.559999999823</v>
      </c>
      <c r="M27" s="33">
        <f t="shared" si="10"/>
        <v>116074.46999999997</v>
      </c>
      <c r="N27" s="33">
        <f t="shared" si="10"/>
        <v>82581.410000000033</v>
      </c>
      <c r="O27" s="33">
        <f t="shared" si="10"/>
        <v>70643.658202480277</v>
      </c>
      <c r="P27" s="33">
        <f t="shared" si="10"/>
        <v>87863.70235452104</v>
      </c>
      <c r="Q27" s="33">
        <f t="shared" si="10"/>
        <v>32073.869442998781</v>
      </c>
      <c r="R27" s="33">
        <f t="shared" si="10"/>
        <v>273162.64000000013</v>
      </c>
      <c r="S27" s="33">
        <f t="shared" si="10"/>
        <v>170073.39029000004</v>
      </c>
      <c r="T27" s="33">
        <f t="shared" si="10"/>
        <v>88290.410000000033</v>
      </c>
      <c r="U27" s="33">
        <f t="shared" si="10"/>
        <v>110874.40999999992</v>
      </c>
      <c r="V27" s="33">
        <f t="shared" si="10"/>
        <v>66656.410000000149</v>
      </c>
      <c r="W27" s="33">
        <f t="shared" si="10"/>
        <v>435894.62028999988</v>
      </c>
      <c r="X27" s="33">
        <f t="shared" si="10"/>
        <v>86329.474962911103</v>
      </c>
      <c r="Y27" s="33">
        <f t="shared" si="10"/>
        <v>32541.623088754015</v>
      </c>
      <c r="Z27" s="174">
        <f t="shared" si="10"/>
        <v>58283.704678436741</v>
      </c>
      <c r="AA27" s="174">
        <f t="shared" ref="AA27" si="11">AA20+AA25</f>
        <v>57123.328942657681</v>
      </c>
      <c r="AB27" s="174">
        <f>AB20+AB25</f>
        <v>87785.790000000037</v>
      </c>
    </row>
    <row r="28" spans="1:28">
      <c r="A28" s="4"/>
      <c r="B28" s="5"/>
      <c r="C28" s="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91"/>
      <c r="AA28" s="191"/>
    </row>
    <row r="29" spans="1:28">
      <c r="A29" s="4"/>
      <c r="B29" s="5" t="s">
        <v>110</v>
      </c>
      <c r="C29" s="5" t="s">
        <v>405</v>
      </c>
      <c r="Z29" s="190"/>
      <c r="AA29" s="190"/>
    </row>
    <row r="30" spans="1:28">
      <c r="A30" s="4"/>
      <c r="B30" s="6" t="s">
        <v>109</v>
      </c>
      <c r="C30" s="6" t="s">
        <v>406</v>
      </c>
      <c r="D30" s="39">
        <v>-8996</v>
      </c>
      <c r="E30" s="39">
        <v>-1661</v>
      </c>
      <c r="F30" s="39">
        <v>-5015</v>
      </c>
      <c r="G30" s="39">
        <v>-7538</v>
      </c>
      <c r="H30" s="39">
        <f t="shared" si="0"/>
        <v>-23210</v>
      </c>
      <c r="I30" s="39">
        <v>-7010</v>
      </c>
      <c r="J30" s="39">
        <v>-18875</v>
      </c>
      <c r="K30" s="39">
        <v>-10602</v>
      </c>
      <c r="L30" s="39">
        <v>-8315</v>
      </c>
      <c r="M30" s="39">
        <f t="shared" si="1"/>
        <v>-44802</v>
      </c>
      <c r="N30" s="39">
        <v>-17396</v>
      </c>
      <c r="O30" s="39">
        <v>-8324</v>
      </c>
      <c r="P30" s="39">
        <v>-11945</v>
      </c>
      <c r="Q30" s="39">
        <v>-5632</v>
      </c>
      <c r="R30" s="39">
        <v>-43297</v>
      </c>
      <c r="S30" s="39">
        <v>13334</v>
      </c>
      <c r="T30" s="39">
        <v>2496</v>
      </c>
      <c r="U30" s="39">
        <v>-25881</v>
      </c>
      <c r="V30" s="39">
        <v>-12271</v>
      </c>
      <c r="W30" s="39">
        <v>-22322</v>
      </c>
      <c r="X30" s="39">
        <v>-18496</v>
      </c>
      <c r="Y30" s="39">
        <v>-1999</v>
      </c>
      <c r="Z30" s="177">
        <v>-10551</v>
      </c>
      <c r="AA30" s="177">
        <v>-4729</v>
      </c>
      <c r="AB30" s="177">
        <v>-21184</v>
      </c>
    </row>
    <row r="31" spans="1:28">
      <c r="A31" s="4"/>
      <c r="B31" s="6" t="s">
        <v>108</v>
      </c>
      <c r="C31" s="6" t="s">
        <v>407</v>
      </c>
      <c r="D31" s="39">
        <v>4741</v>
      </c>
      <c r="E31" s="39">
        <v>6119</v>
      </c>
      <c r="F31" s="39">
        <v>-1030</v>
      </c>
      <c r="G31" s="39">
        <v>3765</v>
      </c>
      <c r="H31" s="39">
        <f t="shared" si="0"/>
        <v>13595</v>
      </c>
      <c r="I31" s="39">
        <v>14944</v>
      </c>
      <c r="J31" s="39">
        <v>-7203</v>
      </c>
      <c r="K31" s="39">
        <v>10274</v>
      </c>
      <c r="L31" s="39">
        <v>8071</v>
      </c>
      <c r="M31" s="39">
        <f t="shared" si="1"/>
        <v>26086</v>
      </c>
      <c r="N31" s="39">
        <v>-5546</v>
      </c>
      <c r="O31" s="39">
        <v>-7125</v>
      </c>
      <c r="P31" s="39">
        <v>-14918</v>
      </c>
      <c r="Q31" s="39">
        <v>8344</v>
      </c>
      <c r="R31" s="39">
        <v>-19245</v>
      </c>
      <c r="S31" s="39">
        <v>-36769</v>
      </c>
      <c r="T31" s="39">
        <v>-11167</v>
      </c>
      <c r="U31" s="39">
        <v>6445</v>
      </c>
      <c r="V31" s="39">
        <v>7567</v>
      </c>
      <c r="W31" s="39">
        <v>-33924</v>
      </c>
      <c r="X31" s="39">
        <v>5747</v>
      </c>
      <c r="Y31" s="39">
        <v>24337</v>
      </c>
      <c r="Z31" s="177">
        <v>4072</v>
      </c>
      <c r="AA31" s="177">
        <v>36048</v>
      </c>
      <c r="AB31" s="177">
        <v>-10923</v>
      </c>
    </row>
    <row r="32" spans="1:28">
      <c r="A32" s="4"/>
      <c r="D32" s="33">
        <f t="shared" ref="D32:Z32" si="12">SUM(D30:D31)</f>
        <v>-4255</v>
      </c>
      <c r="E32" s="33">
        <f t="shared" si="12"/>
        <v>4458</v>
      </c>
      <c r="F32" s="33">
        <f t="shared" si="12"/>
        <v>-6045</v>
      </c>
      <c r="G32" s="33">
        <f t="shared" si="12"/>
        <v>-3773</v>
      </c>
      <c r="H32" s="33">
        <f t="shared" si="12"/>
        <v>-9615</v>
      </c>
      <c r="I32" s="33">
        <f t="shared" si="12"/>
        <v>7934</v>
      </c>
      <c r="J32" s="33">
        <f t="shared" si="12"/>
        <v>-26078</v>
      </c>
      <c r="K32" s="33">
        <f t="shared" si="12"/>
        <v>-328</v>
      </c>
      <c r="L32" s="33">
        <f t="shared" si="12"/>
        <v>-244</v>
      </c>
      <c r="M32" s="33">
        <f t="shared" si="12"/>
        <v>-18716</v>
      </c>
      <c r="N32" s="33">
        <f t="shared" si="12"/>
        <v>-22942</v>
      </c>
      <c r="O32" s="33">
        <f t="shared" si="12"/>
        <v>-15449</v>
      </c>
      <c r="P32" s="33">
        <f t="shared" si="12"/>
        <v>-26863</v>
      </c>
      <c r="Q32" s="33">
        <f t="shared" si="12"/>
        <v>2712</v>
      </c>
      <c r="R32" s="33">
        <f t="shared" si="12"/>
        <v>-62542</v>
      </c>
      <c r="S32" s="33">
        <f t="shared" si="12"/>
        <v>-23435</v>
      </c>
      <c r="T32" s="33">
        <f t="shared" si="12"/>
        <v>-8671</v>
      </c>
      <c r="U32" s="33">
        <f t="shared" si="12"/>
        <v>-19436</v>
      </c>
      <c r="V32" s="33">
        <f t="shared" si="12"/>
        <v>-4704</v>
      </c>
      <c r="W32" s="33">
        <f t="shared" si="12"/>
        <v>-56246</v>
      </c>
      <c r="X32" s="33">
        <f t="shared" si="12"/>
        <v>-12749</v>
      </c>
      <c r="Y32" s="33">
        <f t="shared" si="12"/>
        <v>22338</v>
      </c>
      <c r="Z32" s="174">
        <f t="shared" si="12"/>
        <v>-6479</v>
      </c>
      <c r="AA32" s="174">
        <f t="shared" ref="AA32:AB32" si="13">SUM(AA30:AA31)</f>
        <v>31319</v>
      </c>
      <c r="AB32" s="174">
        <f t="shared" si="13"/>
        <v>-32107</v>
      </c>
    </row>
    <row r="33" spans="1:28">
      <c r="Z33" s="190"/>
      <c r="AA33" s="190"/>
    </row>
    <row r="34" spans="1:28">
      <c r="A34" s="4"/>
      <c r="B34" s="5" t="s">
        <v>107</v>
      </c>
      <c r="C34" s="5" t="s">
        <v>408</v>
      </c>
      <c r="D34" s="33">
        <f t="shared" ref="D34:J34" si="14">D27+D32</f>
        <v>11488</v>
      </c>
      <c r="E34" s="33">
        <f t="shared" si="14"/>
        <v>-18764.729999999981</v>
      </c>
      <c r="F34" s="33">
        <f t="shared" si="14"/>
        <v>55613.639999999898</v>
      </c>
      <c r="G34" s="33">
        <f t="shared" si="14"/>
        <v>39154.630000000121</v>
      </c>
      <c r="H34" s="33">
        <f t="shared" si="0"/>
        <v>87491.540000000037</v>
      </c>
      <c r="I34" s="33">
        <f t="shared" si="14"/>
        <v>-9038.359999999986</v>
      </c>
      <c r="J34" s="33">
        <f t="shared" si="14"/>
        <v>48424.630000000005</v>
      </c>
      <c r="K34" s="33">
        <f>K27+K32</f>
        <v>38716.64000000013</v>
      </c>
      <c r="L34" s="33">
        <f>L27+L32</f>
        <v>19255.559999999823</v>
      </c>
      <c r="M34" s="33">
        <f t="shared" si="1"/>
        <v>97358.469999999972</v>
      </c>
      <c r="N34" s="33">
        <v>59639.410000000033</v>
      </c>
      <c r="O34" s="33">
        <v>55194.658202480277</v>
      </c>
      <c r="P34" s="33">
        <v>61000.70235452104</v>
      </c>
      <c r="Q34" s="33">
        <v>34785.869442998781</v>
      </c>
      <c r="R34" s="33">
        <v>210620.64000000013</v>
      </c>
      <c r="S34" s="33">
        <v>146638.39029000004</v>
      </c>
      <c r="T34" s="33">
        <f>T27+T32</f>
        <v>79619.410000000033</v>
      </c>
      <c r="U34" s="33">
        <v>91438.409999999916</v>
      </c>
      <c r="V34" s="33">
        <v>61952.410000000149</v>
      </c>
      <c r="W34" s="33">
        <v>379648.62029000011</v>
      </c>
      <c r="X34" s="33">
        <v>73580</v>
      </c>
      <c r="Y34" s="33">
        <v>54880</v>
      </c>
      <c r="Z34" s="174">
        <f>Z32+Z27</f>
        <v>51804.704678436741</v>
      </c>
      <c r="AA34" s="174">
        <f>AA32+AA27</f>
        <v>88442.328942657681</v>
      </c>
      <c r="AB34" s="174">
        <f>AB32+AB27</f>
        <v>55678.790000000037</v>
      </c>
    </row>
    <row r="35" spans="1:28">
      <c r="A35" s="4"/>
      <c r="B35" s="5"/>
      <c r="C35" s="5"/>
      <c r="Z35" s="190"/>
      <c r="AA35" s="190"/>
    </row>
    <row r="36" spans="1:28">
      <c r="A36" s="4"/>
      <c r="B36" s="5" t="s">
        <v>106</v>
      </c>
      <c r="C36" s="5" t="s">
        <v>409</v>
      </c>
      <c r="D36" s="39">
        <v>-14264</v>
      </c>
      <c r="E36" s="39">
        <v>493</v>
      </c>
      <c r="F36" s="39">
        <v>-2794</v>
      </c>
      <c r="G36" s="39">
        <v>-13010</v>
      </c>
      <c r="H36" s="39">
        <f t="shared" si="0"/>
        <v>-29575</v>
      </c>
      <c r="I36" s="39">
        <v>-7436</v>
      </c>
      <c r="J36" s="39">
        <v>-52689</v>
      </c>
      <c r="K36" s="39">
        <v>-17314</v>
      </c>
      <c r="L36" s="39">
        <v>-4416</v>
      </c>
      <c r="M36" s="39">
        <f t="shared" si="1"/>
        <v>-81855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177">
        <v>0</v>
      </c>
      <c r="AA36" s="177">
        <v>0</v>
      </c>
      <c r="AB36" s="177">
        <v>0</v>
      </c>
    </row>
    <row r="37" spans="1:28">
      <c r="A37" s="4"/>
      <c r="B37" s="6" t="s">
        <v>105</v>
      </c>
      <c r="C37" s="6" t="s">
        <v>410</v>
      </c>
      <c r="Z37" s="190"/>
      <c r="AA37" s="190"/>
    </row>
    <row r="38" spans="1:28">
      <c r="A38" s="4"/>
      <c r="Z38" s="190"/>
      <c r="AA38" s="190"/>
    </row>
    <row r="39" spans="1:28">
      <c r="A39" s="4"/>
      <c r="B39" s="5" t="s">
        <v>104</v>
      </c>
      <c r="C39" s="5" t="s">
        <v>411</v>
      </c>
      <c r="D39" s="33">
        <f t="shared" ref="D39:Y39" si="15">D34+D36</f>
        <v>-2776</v>
      </c>
      <c r="E39" s="33">
        <f t="shared" si="15"/>
        <v>-18271.729999999981</v>
      </c>
      <c r="F39" s="33">
        <f t="shared" si="15"/>
        <v>52819.639999999898</v>
      </c>
      <c r="G39" s="33">
        <f t="shared" si="15"/>
        <v>26144.630000000121</v>
      </c>
      <c r="H39" s="33">
        <f t="shared" si="15"/>
        <v>57916.540000000037</v>
      </c>
      <c r="I39" s="33">
        <f t="shared" si="15"/>
        <v>-16474.359999999986</v>
      </c>
      <c r="J39" s="33">
        <f t="shared" si="15"/>
        <v>-4264.3699999999953</v>
      </c>
      <c r="K39" s="33">
        <f t="shared" si="15"/>
        <v>21402.64000000013</v>
      </c>
      <c r="L39" s="33">
        <f t="shared" si="15"/>
        <v>14839.559999999823</v>
      </c>
      <c r="M39" s="33">
        <f t="shared" si="15"/>
        <v>15503.469999999972</v>
      </c>
      <c r="N39" s="33">
        <f t="shared" si="15"/>
        <v>59639.410000000033</v>
      </c>
      <c r="O39" s="33">
        <f t="shared" si="15"/>
        <v>55194.658202480277</v>
      </c>
      <c r="P39" s="33">
        <f t="shared" si="15"/>
        <v>61000.70235452104</v>
      </c>
      <c r="Q39" s="33">
        <f t="shared" si="15"/>
        <v>34785.869442998781</v>
      </c>
      <c r="R39" s="33">
        <f t="shared" si="15"/>
        <v>210620.64000000013</v>
      </c>
      <c r="S39" s="33">
        <f t="shared" si="15"/>
        <v>146638.39029000004</v>
      </c>
      <c r="T39" s="33">
        <f t="shared" si="15"/>
        <v>79619.410000000033</v>
      </c>
      <c r="U39" s="33">
        <f t="shared" si="15"/>
        <v>91438.409999999916</v>
      </c>
      <c r="V39" s="33">
        <f t="shared" si="15"/>
        <v>61952.410000000149</v>
      </c>
      <c r="W39" s="33">
        <f t="shared" si="15"/>
        <v>379648.62029000011</v>
      </c>
      <c r="X39" s="33">
        <f t="shared" si="15"/>
        <v>73580</v>
      </c>
      <c r="Y39" s="33">
        <f t="shared" si="15"/>
        <v>54880</v>
      </c>
      <c r="Z39" s="174">
        <f>Z34+Z36</f>
        <v>51804.704678436741</v>
      </c>
      <c r="AA39" s="174">
        <f>AA34+AA36</f>
        <v>88442.328942657681</v>
      </c>
      <c r="AB39" s="174">
        <f>AB34+AB36</f>
        <v>55678.790000000037</v>
      </c>
    </row>
    <row r="40" spans="1:28">
      <c r="A40" s="4"/>
      <c r="B40" s="5"/>
      <c r="C40" s="5"/>
      <c r="Z40" s="190"/>
      <c r="AA40" s="190"/>
    </row>
    <row r="41" spans="1:28">
      <c r="A41" s="4"/>
      <c r="B41" s="5" t="s">
        <v>103</v>
      </c>
      <c r="C41" s="5" t="s">
        <v>412</v>
      </c>
      <c r="V41" s="32"/>
      <c r="X41" s="32"/>
      <c r="Y41" s="32"/>
      <c r="Z41" s="179"/>
      <c r="AA41" s="179"/>
    </row>
    <row r="42" spans="1:28">
      <c r="A42" s="4"/>
      <c r="B42" s="6" t="s">
        <v>102</v>
      </c>
      <c r="C42" s="6" t="s">
        <v>413</v>
      </c>
      <c r="D42" s="32">
        <v>-4959</v>
      </c>
      <c r="E42" s="32">
        <v>-17603</v>
      </c>
      <c r="F42" s="32">
        <v>52258</v>
      </c>
      <c r="G42" s="32">
        <v>29991</v>
      </c>
      <c r="H42" s="32">
        <f t="shared" si="0"/>
        <v>59687</v>
      </c>
      <c r="I42" s="32">
        <v>-18083</v>
      </c>
      <c r="J42" s="32">
        <v>-4302</v>
      </c>
      <c r="K42" s="32">
        <v>22078</v>
      </c>
      <c r="L42" s="32">
        <v>24786</v>
      </c>
      <c r="M42" s="32">
        <f t="shared" si="1"/>
        <v>24479</v>
      </c>
      <c r="N42" s="32">
        <v>59457</v>
      </c>
      <c r="O42" s="32">
        <v>57521</v>
      </c>
      <c r="P42" s="32">
        <v>60712</v>
      </c>
      <c r="Q42" s="32">
        <v>35596</v>
      </c>
      <c r="R42" s="32">
        <v>213286</v>
      </c>
      <c r="S42" s="32">
        <v>147874</v>
      </c>
      <c r="T42" s="32">
        <v>79635</v>
      </c>
      <c r="U42" s="32">
        <v>90315</v>
      </c>
      <c r="V42" s="32">
        <v>63090</v>
      </c>
      <c r="W42" s="32">
        <v>380914</v>
      </c>
      <c r="X42" s="32">
        <v>73419</v>
      </c>
      <c r="Y42" s="32">
        <v>54054</v>
      </c>
      <c r="Z42" s="179">
        <v>48968</v>
      </c>
      <c r="AA42" s="179">
        <v>84825</v>
      </c>
      <c r="AB42" s="179">
        <v>55916</v>
      </c>
    </row>
    <row r="43" spans="1:28">
      <c r="A43" s="4"/>
      <c r="B43" s="6" t="s">
        <v>67</v>
      </c>
      <c r="C43" s="6" t="s">
        <v>414</v>
      </c>
      <c r="D43" s="32">
        <v>2183</v>
      </c>
      <c r="E43" s="32">
        <v>-668.72999999998137</v>
      </c>
      <c r="F43" s="32">
        <v>561.64000000013039</v>
      </c>
      <c r="G43" s="32">
        <v>-3846.3700000001118</v>
      </c>
      <c r="H43" s="32">
        <f t="shared" si="0"/>
        <v>-1770.4599999999627</v>
      </c>
      <c r="I43" s="32">
        <v>1608.640000000014</v>
      </c>
      <c r="J43" s="32">
        <v>37.630000000004657</v>
      </c>
      <c r="K43" s="32">
        <v>-675.35999999986961</v>
      </c>
      <c r="L43" s="32">
        <v>-9946.440000000177</v>
      </c>
      <c r="M43" s="32">
        <f t="shared" si="1"/>
        <v>-8975.5300000000279</v>
      </c>
      <c r="N43" s="32">
        <v>182.4100000000326</v>
      </c>
      <c r="O43" s="32">
        <v>-2326.3417975197081</v>
      </c>
      <c r="P43" s="32">
        <v>288.70235452102497</v>
      </c>
      <c r="Q43" s="32">
        <v>-810.13055700121913</v>
      </c>
      <c r="R43" s="32">
        <v>-2665.3599999998696</v>
      </c>
      <c r="S43" s="32">
        <v>-1235.6097099999606</v>
      </c>
      <c r="T43" s="32">
        <v>-16</v>
      </c>
      <c r="U43" s="32">
        <v>1123.4099999999162</v>
      </c>
      <c r="V43" s="32">
        <v>-1137.589999999851</v>
      </c>
      <c r="W43" s="32">
        <v>-1265.7897099998954</v>
      </c>
      <c r="X43" s="32">
        <v>161.4100000000326</v>
      </c>
      <c r="Y43" s="32">
        <v>826</v>
      </c>
      <c r="Z43" s="179">
        <v>2837</v>
      </c>
      <c r="AA43" s="179">
        <v>3617</v>
      </c>
      <c r="AB43" s="179">
        <v>-237</v>
      </c>
    </row>
    <row r="44" spans="1:28">
      <c r="A44" s="4"/>
    </row>
    <row r="45" spans="1:28">
      <c r="A45" s="4"/>
    </row>
    <row r="46" spans="1:28">
      <c r="A46" s="4"/>
    </row>
    <row r="47" spans="1:28">
      <c r="A47" s="4"/>
    </row>
    <row r="49" spans="1:1">
      <c r="A49" s="4"/>
    </row>
    <row r="50" spans="1:1">
      <c r="A50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3" spans="1:1">
      <c r="A73" s="4"/>
    </row>
    <row r="74" spans="1:1">
      <c r="A74" s="4"/>
    </row>
    <row r="76" spans="1:1">
      <c r="A76" s="4"/>
    </row>
    <row r="77" spans="1:1">
      <c r="A77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6" spans="1:1">
      <c r="A96" s="4"/>
    </row>
    <row r="97" spans="1:1">
      <c r="A97" s="4"/>
    </row>
    <row r="98" spans="1:1">
      <c r="A98" s="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pageSetUpPr fitToPage="1"/>
  </sheetPr>
  <dimension ref="A1:BU104"/>
  <sheetViews>
    <sheetView showGridLines="0" zoomScale="85" zoomScaleNormal="85" workbookViewId="0">
      <pane xSplit="3" ySplit="7" topLeftCell="BL55" activePane="bottomRight" state="frozen"/>
      <selection activeCell="R26" sqref="R26"/>
      <selection pane="topRight" activeCell="R26" sqref="R26"/>
      <selection pane="bottomLeft" activeCell="R26" sqref="R26"/>
      <selection pane="bottomRight" activeCell="BT82" sqref="BT82"/>
    </sheetView>
  </sheetViews>
  <sheetFormatPr defaultRowHeight="14.5"/>
  <cols>
    <col min="1" max="1" width="1.54296875" style="1" customWidth="1"/>
    <col min="2" max="3" width="55.1796875" style="6" bestFit="1" customWidth="1"/>
    <col min="4" max="18" width="11.81640625" style="6" customWidth="1"/>
    <col min="19" max="19" width="10.7265625" style="6" hidden="1" customWidth="1"/>
    <col min="20" max="21" width="0" style="6" hidden="1" customWidth="1"/>
    <col min="22" max="23" width="10.81640625" style="6" customWidth="1"/>
    <col min="24" max="30" width="11.54296875" style="6" bestFit="1" customWidth="1"/>
    <col min="31" max="37" width="12.453125" style="6" bestFit="1" customWidth="1"/>
    <col min="38" max="39" width="12.453125" bestFit="1" customWidth="1"/>
    <col min="40" max="40" width="13.81640625" bestFit="1" customWidth="1"/>
    <col min="41" max="42" width="12.453125" bestFit="1" customWidth="1"/>
    <col min="43" max="43" width="11.54296875" bestFit="1" customWidth="1"/>
    <col min="44" max="49" width="12.453125" bestFit="1" customWidth="1"/>
    <col min="50" max="50" width="12.453125" customWidth="1"/>
    <col min="51" max="52" width="12.453125" bestFit="1" customWidth="1"/>
    <col min="53" max="53" width="12.1796875" bestFit="1" customWidth="1"/>
    <col min="54" max="57" width="11.7265625" bestFit="1" customWidth="1"/>
    <col min="58" max="65" width="12.1796875" bestFit="1" customWidth="1"/>
    <col min="66" max="68" width="11.7265625" bestFit="1" customWidth="1"/>
    <col min="69" max="69" width="11.1796875" customWidth="1"/>
    <col min="70" max="70" width="11.1796875" bestFit="1" customWidth="1"/>
    <col min="71" max="71" width="10.81640625" bestFit="1" customWidth="1"/>
  </cols>
  <sheetData>
    <row r="1" spans="1:71" s="21" customFormat="1" ht="8.25" customHeight="1">
      <c r="B1" s="9"/>
      <c r="C1" s="9"/>
      <c r="D1" s="9"/>
      <c r="E1" s="9"/>
      <c r="F1" s="9"/>
      <c r="G1" s="4"/>
      <c r="AQ1" s="21" t="s">
        <v>85</v>
      </c>
      <c r="AR1" s="21" t="s">
        <v>85</v>
      </c>
      <c r="AS1" s="21" t="s">
        <v>85</v>
      </c>
      <c r="AT1" s="21" t="s">
        <v>85</v>
      </c>
      <c r="BN1" s="25"/>
      <c r="BO1" s="25"/>
      <c r="BP1" s="25"/>
    </row>
    <row r="2" spans="1:71">
      <c r="A2" s="21"/>
    </row>
    <row r="3" spans="1:71">
      <c r="A3" s="21"/>
    </row>
    <row r="4" spans="1:71">
      <c r="A4" s="21"/>
      <c r="F4"/>
    </row>
    <row r="5" spans="1:71">
      <c r="A5" s="21"/>
    </row>
    <row r="6" spans="1:71" ht="16.5">
      <c r="A6" s="21"/>
      <c r="B6" s="23"/>
      <c r="C6" s="23"/>
      <c r="D6" s="24" t="s">
        <v>687</v>
      </c>
      <c r="E6" s="24" t="s">
        <v>688</v>
      </c>
      <c r="F6" s="24" t="s">
        <v>689</v>
      </c>
      <c r="G6" s="24" t="s">
        <v>690</v>
      </c>
      <c r="H6" s="24" t="s">
        <v>691</v>
      </c>
      <c r="I6" s="24" t="s">
        <v>692</v>
      </c>
      <c r="J6" s="24" t="s">
        <v>693</v>
      </c>
      <c r="K6" s="24" t="s">
        <v>694</v>
      </c>
      <c r="L6" s="24" t="s">
        <v>695</v>
      </c>
      <c r="M6" s="24" t="s">
        <v>696</v>
      </c>
      <c r="N6" s="24" t="s">
        <v>697</v>
      </c>
      <c r="O6" s="24" t="s">
        <v>698</v>
      </c>
      <c r="P6" s="24" t="s">
        <v>699</v>
      </c>
      <c r="Q6" s="24" t="s">
        <v>700</v>
      </c>
      <c r="R6" s="24" t="s">
        <v>701</v>
      </c>
      <c r="S6" s="24"/>
      <c r="T6" s="24"/>
      <c r="U6" s="24"/>
      <c r="V6" s="24" t="s">
        <v>702</v>
      </c>
      <c r="W6" s="24" t="s">
        <v>703</v>
      </c>
      <c r="X6" s="24" t="s">
        <v>704</v>
      </c>
      <c r="Y6" s="24" t="s">
        <v>705</v>
      </c>
      <c r="Z6" s="24" t="s">
        <v>706</v>
      </c>
      <c r="AA6" s="24" t="s">
        <v>707</v>
      </c>
      <c r="AB6" s="24" t="s">
        <v>708</v>
      </c>
      <c r="AC6" s="24" t="s">
        <v>709</v>
      </c>
      <c r="AD6" s="24" t="s">
        <v>710</v>
      </c>
      <c r="AE6" s="24" t="s">
        <v>711</v>
      </c>
      <c r="AF6" s="24" t="s">
        <v>712</v>
      </c>
      <c r="AG6" s="24" t="s">
        <v>713</v>
      </c>
      <c r="AH6" s="24" t="s">
        <v>714</v>
      </c>
      <c r="AI6" s="24" t="s">
        <v>715</v>
      </c>
      <c r="AJ6" s="24" t="s">
        <v>716</v>
      </c>
      <c r="AK6" s="24" t="s">
        <v>717</v>
      </c>
      <c r="AL6" s="24" t="s">
        <v>718</v>
      </c>
      <c r="AM6" s="24" t="s">
        <v>719</v>
      </c>
      <c r="AN6" s="24" t="s">
        <v>720</v>
      </c>
      <c r="AO6" s="24" t="s">
        <v>721</v>
      </c>
      <c r="AP6" s="24" t="s">
        <v>722</v>
      </c>
      <c r="AQ6" s="24" t="s">
        <v>723</v>
      </c>
      <c r="AR6" s="24" t="s">
        <v>724</v>
      </c>
      <c r="AS6" s="24" t="s">
        <v>725</v>
      </c>
      <c r="AT6" s="24" t="s">
        <v>726</v>
      </c>
      <c r="AU6" s="24" t="s">
        <v>727</v>
      </c>
      <c r="AV6" s="24" t="s">
        <v>728</v>
      </c>
      <c r="AW6" s="24" t="s">
        <v>729</v>
      </c>
      <c r="AX6" s="24" t="s">
        <v>730</v>
      </c>
      <c r="AY6" s="24" t="s">
        <v>739</v>
      </c>
      <c r="AZ6" s="24" t="s">
        <v>732</v>
      </c>
      <c r="BA6" s="24" t="s">
        <v>733</v>
      </c>
      <c r="BB6" s="24" t="s">
        <v>734</v>
      </c>
      <c r="BC6" s="24" t="s">
        <v>735</v>
      </c>
      <c r="BD6" s="24" t="s">
        <v>736</v>
      </c>
      <c r="BE6" s="24" t="s">
        <v>737</v>
      </c>
      <c r="BF6" s="24" t="s">
        <v>738</v>
      </c>
      <c r="BG6" s="24" t="s">
        <v>740</v>
      </c>
      <c r="BH6" s="24" t="s">
        <v>741</v>
      </c>
      <c r="BI6" s="24" t="s">
        <v>742</v>
      </c>
      <c r="BJ6" s="24" t="s">
        <v>743</v>
      </c>
      <c r="BK6" s="24" t="s">
        <v>744</v>
      </c>
      <c r="BL6" s="24" t="s">
        <v>745</v>
      </c>
      <c r="BM6" s="24" t="s">
        <v>746</v>
      </c>
      <c r="BN6" s="24" t="s">
        <v>747</v>
      </c>
      <c r="BO6" s="24" t="s">
        <v>748</v>
      </c>
      <c r="BP6" s="24" t="s">
        <v>749</v>
      </c>
      <c r="BQ6" s="24" t="s">
        <v>750</v>
      </c>
      <c r="BR6" s="24" t="s">
        <v>751</v>
      </c>
      <c r="BS6" s="24" t="s">
        <v>777</v>
      </c>
    </row>
    <row r="7" spans="1:71" s="2" customFormat="1" ht="20.25" customHeight="1">
      <c r="A7" s="21"/>
      <c r="B7" s="23" t="s">
        <v>53</v>
      </c>
      <c r="C7" s="23" t="s">
        <v>417</v>
      </c>
      <c r="D7" s="24" t="s">
        <v>22</v>
      </c>
      <c r="E7" s="24" t="s">
        <v>21</v>
      </c>
      <c r="F7" s="24" t="s">
        <v>20</v>
      </c>
      <c r="G7" s="24" t="s">
        <v>17</v>
      </c>
      <c r="H7" s="24" t="s">
        <v>19</v>
      </c>
      <c r="I7" s="24" t="s">
        <v>18</v>
      </c>
      <c r="J7" s="24" t="s">
        <v>16</v>
      </c>
      <c r="K7" s="24" t="s">
        <v>15</v>
      </c>
      <c r="L7" s="24" t="s">
        <v>14</v>
      </c>
      <c r="M7" s="24" t="s">
        <v>12</v>
      </c>
      <c r="N7" s="24" t="s">
        <v>10</v>
      </c>
      <c r="O7" s="24" t="s">
        <v>9</v>
      </c>
      <c r="P7" s="24" t="s">
        <v>13</v>
      </c>
      <c r="Q7" s="24" t="s">
        <v>11</v>
      </c>
      <c r="R7" s="24" t="s">
        <v>8</v>
      </c>
      <c r="S7" s="24"/>
      <c r="T7" s="24"/>
      <c r="U7" s="24"/>
      <c r="V7" s="24" t="s">
        <v>25</v>
      </c>
      <c r="W7" s="24" t="s">
        <v>26</v>
      </c>
      <c r="X7" s="24" t="s">
        <v>55</v>
      </c>
      <c r="Y7" s="24" t="s">
        <v>56</v>
      </c>
      <c r="Z7" s="24" t="s">
        <v>57</v>
      </c>
      <c r="AA7" s="24" t="s">
        <v>58</v>
      </c>
      <c r="AB7" s="24" t="s">
        <v>59</v>
      </c>
      <c r="AC7" s="24" t="s">
        <v>60</v>
      </c>
      <c r="AD7" s="24" t="s">
        <v>62</v>
      </c>
      <c r="AE7" s="24" t="s">
        <v>69</v>
      </c>
      <c r="AF7" s="24" t="s">
        <v>70</v>
      </c>
      <c r="AG7" s="24" t="s">
        <v>72</v>
      </c>
      <c r="AH7" s="24" t="s">
        <v>73</v>
      </c>
      <c r="AI7" s="24" t="s">
        <v>74</v>
      </c>
      <c r="AJ7" s="24" t="s">
        <v>75</v>
      </c>
      <c r="AK7" s="24" t="s">
        <v>77</v>
      </c>
      <c r="AL7" s="24" t="s">
        <v>79</v>
      </c>
      <c r="AM7" s="24" t="s">
        <v>80</v>
      </c>
      <c r="AN7" s="24" t="s">
        <v>81</v>
      </c>
      <c r="AO7" s="24" t="s">
        <v>82</v>
      </c>
      <c r="AP7" s="24" t="s">
        <v>83</v>
      </c>
      <c r="AQ7" s="24" t="s">
        <v>86</v>
      </c>
      <c r="AR7" s="24" t="s">
        <v>87</v>
      </c>
      <c r="AS7" s="24" t="s">
        <v>88</v>
      </c>
      <c r="AT7" s="24" t="s">
        <v>89</v>
      </c>
      <c r="AU7" s="24" t="s">
        <v>90</v>
      </c>
      <c r="AV7" s="24" t="s">
        <v>91</v>
      </c>
      <c r="AW7" s="24" t="s">
        <v>92</v>
      </c>
      <c r="AX7" s="24" t="s">
        <v>93</v>
      </c>
      <c r="AY7" s="24" t="s">
        <v>94</v>
      </c>
      <c r="AZ7" s="24" t="s">
        <v>95</v>
      </c>
      <c r="BA7" s="24" t="s">
        <v>96</v>
      </c>
      <c r="BB7" s="24" t="s">
        <v>97</v>
      </c>
      <c r="BC7" s="24" t="s">
        <v>98</v>
      </c>
      <c r="BD7" s="24" t="s">
        <v>99</v>
      </c>
      <c r="BE7" s="24" t="s">
        <v>302</v>
      </c>
      <c r="BF7" s="24" t="s">
        <v>305</v>
      </c>
      <c r="BG7" s="24" t="s">
        <v>313</v>
      </c>
      <c r="BH7" s="24" t="s">
        <v>314</v>
      </c>
      <c r="BI7" s="24" t="s">
        <v>317</v>
      </c>
      <c r="BJ7" s="24" t="s">
        <v>320</v>
      </c>
      <c r="BK7" s="24" t="s">
        <v>349</v>
      </c>
      <c r="BL7" s="24" t="s">
        <v>355</v>
      </c>
      <c r="BM7" s="24" t="s">
        <v>356</v>
      </c>
      <c r="BN7" s="102" t="s">
        <v>365</v>
      </c>
      <c r="BO7" s="24" t="s">
        <v>358</v>
      </c>
      <c r="BP7" s="24" t="s">
        <v>359</v>
      </c>
      <c r="BQ7" s="24" t="s">
        <v>375</v>
      </c>
      <c r="BR7" s="24" t="s">
        <v>388</v>
      </c>
      <c r="BS7" s="24" t="s">
        <v>778</v>
      </c>
    </row>
    <row r="8" spans="1:71" ht="18.75" customHeight="1">
      <c r="A8" s="21"/>
      <c r="B8" s="5" t="s">
        <v>6</v>
      </c>
      <c r="C8" s="5" t="s">
        <v>418</v>
      </c>
    </row>
    <row r="9" spans="1:71" ht="15" customHeight="1">
      <c r="A9" s="21"/>
      <c r="B9" s="7" t="s">
        <v>0</v>
      </c>
      <c r="C9" s="9" t="s">
        <v>419</v>
      </c>
      <c r="D9" s="8">
        <v>88038</v>
      </c>
      <c r="E9" s="8">
        <v>75661</v>
      </c>
      <c r="F9" s="8">
        <v>117145</v>
      </c>
      <c r="G9" s="8">
        <v>139744</v>
      </c>
      <c r="H9" s="8">
        <v>124766</v>
      </c>
      <c r="I9" s="8">
        <v>94248</v>
      </c>
      <c r="J9" s="8">
        <v>109847</v>
      </c>
      <c r="K9" s="8">
        <v>171780</v>
      </c>
      <c r="L9" s="8">
        <v>175673</v>
      </c>
      <c r="M9" s="8">
        <v>87709</v>
      </c>
      <c r="N9" s="8">
        <v>101204</v>
      </c>
      <c r="O9" s="8">
        <v>115779</v>
      </c>
      <c r="P9" s="8">
        <v>99602</v>
      </c>
      <c r="Q9" s="8">
        <v>152999</v>
      </c>
      <c r="R9" s="8">
        <v>253392</v>
      </c>
      <c r="S9" s="8"/>
      <c r="T9" s="8"/>
      <c r="U9" s="8"/>
      <c r="V9" s="8">
        <v>152203</v>
      </c>
      <c r="W9" s="8">
        <v>155306</v>
      </c>
      <c r="X9" s="8">
        <v>151121</v>
      </c>
      <c r="Y9" s="8">
        <v>178524</v>
      </c>
      <c r="Z9" s="8">
        <v>181066</v>
      </c>
      <c r="AA9" s="8">
        <v>188220</v>
      </c>
      <c r="AB9" s="8">
        <v>193095</v>
      </c>
      <c r="AC9" s="8">
        <v>245247</v>
      </c>
      <c r="AD9" s="8">
        <v>241283</v>
      </c>
      <c r="AE9" s="8">
        <v>210805</v>
      </c>
      <c r="AF9" s="8">
        <v>119816</v>
      </c>
      <c r="AG9" s="8">
        <v>423028</v>
      </c>
      <c r="AH9" s="8">
        <v>394777</v>
      </c>
      <c r="AI9" s="8">
        <v>353459</v>
      </c>
      <c r="AJ9" s="8">
        <v>311543</v>
      </c>
      <c r="AK9" s="8">
        <v>308365</v>
      </c>
      <c r="AL9" s="8">
        <v>296857</v>
      </c>
      <c r="AM9" s="8">
        <v>313670</v>
      </c>
      <c r="AN9" s="8">
        <v>497570</v>
      </c>
      <c r="AO9" s="8">
        <v>347563</v>
      </c>
      <c r="AP9" s="8">
        <v>311571</v>
      </c>
      <c r="AQ9" s="8">
        <v>290795</v>
      </c>
      <c r="AR9" s="8">
        <v>306277</v>
      </c>
      <c r="AS9" s="8">
        <v>342365</v>
      </c>
      <c r="AT9" s="8">
        <v>318522</v>
      </c>
      <c r="AU9" s="8">
        <v>333876</v>
      </c>
      <c r="AV9" s="8">
        <v>524134</v>
      </c>
      <c r="AW9" s="8">
        <v>525767</v>
      </c>
      <c r="AX9" s="8">
        <v>486536</v>
      </c>
      <c r="AY9" s="8">
        <v>533277</v>
      </c>
      <c r="AZ9" s="8">
        <v>321803</v>
      </c>
      <c r="BA9" s="8">
        <v>368439</v>
      </c>
      <c r="BB9" s="8">
        <v>390039</v>
      </c>
      <c r="BC9" s="8">
        <v>392763</v>
      </c>
      <c r="BD9" s="8">
        <v>234243</v>
      </c>
      <c r="BE9" s="8">
        <v>345447</v>
      </c>
      <c r="BF9" s="8">
        <v>365161</v>
      </c>
      <c r="BG9" s="8">
        <v>405063</v>
      </c>
      <c r="BH9" s="8">
        <v>282500</v>
      </c>
      <c r="BI9" s="8">
        <v>434629</v>
      </c>
      <c r="BJ9" s="8">
        <v>422029</v>
      </c>
      <c r="BK9" s="8">
        <v>561744</v>
      </c>
      <c r="BL9" s="8">
        <v>525808</v>
      </c>
      <c r="BM9" s="8">
        <v>542157</v>
      </c>
      <c r="BN9" s="8">
        <v>569472</v>
      </c>
      <c r="BO9" s="8">
        <v>587118</v>
      </c>
      <c r="BP9" s="8">
        <v>459133</v>
      </c>
      <c r="BQ9" s="180">
        <v>493691</v>
      </c>
      <c r="BR9" s="180">
        <v>699196</v>
      </c>
      <c r="BS9" s="180">
        <v>607367</v>
      </c>
    </row>
    <row r="10" spans="1:71" ht="15" customHeight="1">
      <c r="B10" s="9" t="s">
        <v>61</v>
      </c>
      <c r="C10" s="7" t="s">
        <v>420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394551</v>
      </c>
      <c r="AD10" s="8">
        <v>9314</v>
      </c>
      <c r="AE10" s="8">
        <v>4174</v>
      </c>
      <c r="AF10" s="8">
        <v>3969</v>
      </c>
      <c r="AG10" s="8">
        <v>9134</v>
      </c>
      <c r="AH10" s="8">
        <v>5842</v>
      </c>
      <c r="AI10" s="8">
        <v>0</v>
      </c>
      <c r="AJ10" s="8">
        <v>0</v>
      </c>
      <c r="AK10" s="8">
        <v>0</v>
      </c>
      <c r="AL10" s="8">
        <v>16715</v>
      </c>
      <c r="AM10" s="8">
        <v>17201</v>
      </c>
      <c r="AN10" s="8">
        <v>18962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 t="s">
        <v>350</v>
      </c>
      <c r="BL10" s="8">
        <v>0</v>
      </c>
      <c r="BM10" s="8">
        <v>0</v>
      </c>
      <c r="BN10" s="8">
        <v>32723</v>
      </c>
      <c r="BO10" s="8">
        <v>40120</v>
      </c>
      <c r="BP10" s="8">
        <v>38658</v>
      </c>
      <c r="BQ10" s="180">
        <v>38408</v>
      </c>
      <c r="BR10" s="180">
        <v>40136</v>
      </c>
      <c r="BS10" s="180">
        <v>38434</v>
      </c>
    </row>
    <row r="11" spans="1:71" ht="15" customHeight="1">
      <c r="A11" s="21"/>
      <c r="B11" s="7" t="s">
        <v>45</v>
      </c>
      <c r="C11" s="7" t="s">
        <v>421</v>
      </c>
      <c r="D11" s="8">
        <v>111630</v>
      </c>
      <c r="E11" s="8">
        <v>141596</v>
      </c>
      <c r="F11" s="8">
        <v>125179</v>
      </c>
      <c r="G11" s="8">
        <v>125814</v>
      </c>
      <c r="H11" s="8">
        <v>147041</v>
      </c>
      <c r="I11" s="8">
        <v>138288</v>
      </c>
      <c r="J11" s="8">
        <v>150317</v>
      </c>
      <c r="K11" s="8">
        <v>153504</v>
      </c>
      <c r="L11" s="8">
        <v>160686</v>
      </c>
      <c r="M11" s="8">
        <v>174811</v>
      </c>
      <c r="N11" s="8">
        <v>174022</v>
      </c>
      <c r="O11" s="8">
        <v>167158</v>
      </c>
      <c r="P11" s="8">
        <v>201776</v>
      </c>
      <c r="Q11" s="8">
        <v>216605</v>
      </c>
      <c r="R11" s="8">
        <v>233327</v>
      </c>
      <c r="S11" s="8"/>
      <c r="T11" s="8"/>
      <c r="U11" s="8"/>
      <c r="V11" s="8">
        <v>233568</v>
      </c>
      <c r="W11" s="8">
        <v>224408</v>
      </c>
      <c r="X11" s="8">
        <v>237002</v>
      </c>
      <c r="Y11" s="8">
        <v>263369</v>
      </c>
      <c r="Z11" s="8">
        <v>269411</v>
      </c>
      <c r="AA11" s="8">
        <v>302154</v>
      </c>
      <c r="AB11" s="8">
        <v>302068</v>
      </c>
      <c r="AC11" s="8">
        <v>345857</v>
      </c>
      <c r="AD11" s="8">
        <v>359930</v>
      </c>
      <c r="AE11" s="8">
        <v>356066</v>
      </c>
      <c r="AF11" s="8">
        <v>342764</v>
      </c>
      <c r="AG11" s="8">
        <v>339860</v>
      </c>
      <c r="AH11" s="8">
        <v>322736</v>
      </c>
      <c r="AI11" s="8">
        <v>311539</v>
      </c>
      <c r="AJ11" s="8">
        <v>351160</v>
      </c>
      <c r="AK11" s="8">
        <v>369754</v>
      </c>
      <c r="AL11" s="8">
        <v>358418</v>
      </c>
      <c r="AM11" s="8">
        <v>337544</v>
      </c>
      <c r="AN11" s="8">
        <v>399093</v>
      </c>
      <c r="AO11" s="8">
        <v>429378</v>
      </c>
      <c r="AP11" s="8">
        <v>367982</v>
      </c>
      <c r="AQ11" s="8">
        <v>398391</v>
      </c>
      <c r="AR11" s="8">
        <v>438741</v>
      </c>
      <c r="AS11" s="8">
        <v>432108</v>
      </c>
      <c r="AT11" s="8">
        <v>395523</v>
      </c>
      <c r="AU11" s="8">
        <v>437602</v>
      </c>
      <c r="AV11" s="8">
        <v>435883</v>
      </c>
      <c r="AW11" s="8">
        <v>490132</v>
      </c>
      <c r="AX11" s="8">
        <v>358504</v>
      </c>
      <c r="AY11" s="8">
        <v>429345</v>
      </c>
      <c r="AZ11" s="8">
        <v>391005</v>
      </c>
      <c r="BA11" s="8">
        <v>448494</v>
      </c>
      <c r="BB11" s="8">
        <v>428869</v>
      </c>
      <c r="BC11" s="8">
        <v>424127</v>
      </c>
      <c r="BD11" s="8">
        <v>347249</v>
      </c>
      <c r="BE11" s="8">
        <v>384428</v>
      </c>
      <c r="BF11" s="8">
        <v>347115</v>
      </c>
      <c r="BG11" s="8">
        <v>399012</v>
      </c>
      <c r="BH11" s="8">
        <v>425042</v>
      </c>
      <c r="BI11" s="8">
        <v>420924</v>
      </c>
      <c r="BJ11" s="8">
        <v>386929</v>
      </c>
      <c r="BK11" s="8">
        <v>398459</v>
      </c>
      <c r="BL11" s="8">
        <v>390310</v>
      </c>
      <c r="BM11" s="8">
        <v>443777</v>
      </c>
      <c r="BN11" s="8">
        <v>471854</v>
      </c>
      <c r="BO11" s="8">
        <v>379348</v>
      </c>
      <c r="BP11" s="8">
        <v>408048</v>
      </c>
      <c r="BQ11" s="180">
        <v>448242</v>
      </c>
      <c r="BR11" s="180">
        <v>452259</v>
      </c>
      <c r="BS11" s="180">
        <v>401677</v>
      </c>
    </row>
    <row r="12" spans="1:71" ht="15" customHeight="1">
      <c r="A12" s="21"/>
      <c r="B12" s="7" t="s">
        <v>46</v>
      </c>
      <c r="C12" s="7" t="s">
        <v>422</v>
      </c>
      <c r="D12" s="8">
        <v>-2345</v>
      </c>
      <c r="E12" s="8">
        <v>-2350</v>
      </c>
      <c r="F12" s="8">
        <v>-1373</v>
      </c>
      <c r="G12" s="8">
        <v>-1340</v>
      </c>
      <c r="H12" s="8">
        <v>-1152</v>
      </c>
      <c r="I12" s="8">
        <v>-872</v>
      </c>
      <c r="J12" s="8">
        <v>-883</v>
      </c>
      <c r="K12" s="8">
        <v>-976</v>
      </c>
      <c r="L12" s="8">
        <v>-1090</v>
      </c>
      <c r="M12" s="8">
        <v>-729</v>
      </c>
      <c r="N12" s="8">
        <v>-1051</v>
      </c>
      <c r="O12" s="8">
        <v>-1158</v>
      </c>
      <c r="P12" s="8">
        <v>-1204</v>
      </c>
      <c r="Q12" s="8">
        <v>-1244</v>
      </c>
      <c r="R12" s="8">
        <v>-1235</v>
      </c>
      <c r="S12" s="8"/>
      <c r="T12" s="8"/>
      <c r="U12" s="8"/>
      <c r="V12" s="8">
        <v>-1439</v>
      </c>
      <c r="W12" s="8">
        <v>-1577</v>
      </c>
      <c r="X12" s="8">
        <v>-1998</v>
      </c>
      <c r="Y12" s="8">
        <v>-2471</v>
      </c>
      <c r="Z12" s="8">
        <v>-4991</v>
      </c>
      <c r="AA12" s="8">
        <v>-5290</v>
      </c>
      <c r="AB12" s="8">
        <v>-5216</v>
      </c>
      <c r="AC12" s="8">
        <v>-7138</v>
      </c>
      <c r="AD12" s="8">
        <v>0</v>
      </c>
      <c r="AE12" s="8">
        <v>0</v>
      </c>
      <c r="AF12" s="8">
        <v>0</v>
      </c>
      <c r="AG12" s="8">
        <v>0</v>
      </c>
      <c r="AH12" s="8">
        <v>-24236</v>
      </c>
      <c r="AI12" s="8">
        <v>-22687</v>
      </c>
      <c r="AJ12" s="8">
        <v>-23286</v>
      </c>
      <c r="AK12" s="8">
        <v>-22538</v>
      </c>
      <c r="AL12" s="8">
        <v>-23253</v>
      </c>
      <c r="AM12" s="8">
        <v>-26098</v>
      </c>
      <c r="AN12" s="8">
        <v>-30155</v>
      </c>
      <c r="AO12" s="8">
        <v>-41432</v>
      </c>
      <c r="AP12" s="8">
        <v>0</v>
      </c>
      <c r="AQ12" s="8">
        <v>0</v>
      </c>
      <c r="AR12" s="8">
        <v>-36331</v>
      </c>
      <c r="AS12" s="8">
        <v>0</v>
      </c>
      <c r="AT12" s="8"/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180">
        <v>0</v>
      </c>
      <c r="BR12" s="180">
        <v>0</v>
      </c>
      <c r="BS12" s="180">
        <v>0</v>
      </c>
    </row>
    <row r="13" spans="1:71" ht="15" customHeight="1">
      <c r="A13" s="21"/>
      <c r="B13" s="7" t="s">
        <v>28</v>
      </c>
      <c r="C13" s="7" t="s">
        <v>423</v>
      </c>
      <c r="D13" s="8">
        <v>35979</v>
      </c>
      <c r="E13" s="8">
        <v>4875</v>
      </c>
      <c r="F13" s="8">
        <v>5156</v>
      </c>
      <c r="G13" s="8">
        <v>28183</v>
      </c>
      <c r="H13" s="8">
        <v>32937</v>
      </c>
      <c r="I13" s="8">
        <v>42933</v>
      </c>
      <c r="J13" s="8">
        <v>32266</v>
      </c>
      <c r="K13" s="8">
        <v>32167</v>
      </c>
      <c r="L13" s="8">
        <v>36091</v>
      </c>
      <c r="M13" s="8">
        <v>36315</v>
      </c>
      <c r="N13" s="8">
        <v>20539</v>
      </c>
      <c r="O13" s="8">
        <v>7893</v>
      </c>
      <c r="P13" s="8">
        <v>10174</v>
      </c>
      <c r="Q13" s="8">
        <v>11744</v>
      </c>
      <c r="R13" s="8">
        <v>17722</v>
      </c>
      <c r="S13" s="8"/>
      <c r="T13" s="8"/>
      <c r="U13" s="8"/>
      <c r="V13" s="8">
        <v>19548</v>
      </c>
      <c r="W13" s="8">
        <v>23446</v>
      </c>
      <c r="X13" s="8">
        <v>24709</v>
      </c>
      <c r="Y13" s="8">
        <v>24319</v>
      </c>
      <c r="Z13" s="8">
        <v>14911</v>
      </c>
      <c r="AA13" s="8">
        <v>16254</v>
      </c>
      <c r="AB13" s="8">
        <v>22001</v>
      </c>
      <c r="AC13" s="8">
        <v>22286</v>
      </c>
      <c r="AD13" s="8">
        <v>22958</v>
      </c>
      <c r="AE13" s="8">
        <v>26762</v>
      </c>
      <c r="AF13" s="8">
        <v>24674</v>
      </c>
      <c r="AG13" s="8">
        <v>22555</v>
      </c>
      <c r="AH13" s="8">
        <v>25173</v>
      </c>
      <c r="AI13" s="8">
        <v>45933</v>
      </c>
      <c r="AJ13" s="8">
        <v>57379</v>
      </c>
      <c r="AK13" s="8">
        <v>49286</v>
      </c>
      <c r="AL13" s="8">
        <v>51491</v>
      </c>
      <c r="AM13" s="8">
        <v>58612</v>
      </c>
      <c r="AN13" s="8">
        <v>68158</v>
      </c>
      <c r="AO13" s="8">
        <v>65695</v>
      </c>
      <c r="AP13" s="8">
        <v>95842</v>
      </c>
      <c r="AQ13" s="8">
        <v>88311</v>
      </c>
      <c r="AR13" s="8">
        <v>86884</v>
      </c>
      <c r="AS13" s="8">
        <v>77799</v>
      </c>
      <c r="AT13" s="8">
        <v>79983</v>
      </c>
      <c r="AU13" s="8">
        <v>59339</v>
      </c>
      <c r="AV13" s="8">
        <v>70404</v>
      </c>
      <c r="AW13" s="8">
        <v>82597</v>
      </c>
      <c r="AX13" s="8">
        <v>71051</v>
      </c>
      <c r="AY13" s="8">
        <v>75067</v>
      </c>
      <c r="AZ13" s="8">
        <v>75669</v>
      </c>
      <c r="BA13" s="8">
        <v>76232</v>
      </c>
      <c r="BB13" s="8">
        <v>82647</v>
      </c>
      <c r="BC13" s="8">
        <v>87625</v>
      </c>
      <c r="BD13" s="8">
        <v>88831</v>
      </c>
      <c r="BE13" s="8">
        <v>83501</v>
      </c>
      <c r="BF13" s="8">
        <v>96478</v>
      </c>
      <c r="BG13" s="8">
        <v>87849</v>
      </c>
      <c r="BH13" s="8">
        <v>76462</v>
      </c>
      <c r="BI13" s="8">
        <v>71310</v>
      </c>
      <c r="BJ13" s="8">
        <v>86137</v>
      </c>
      <c r="BK13" s="8">
        <v>93264</v>
      </c>
      <c r="BL13" s="8">
        <v>115499</v>
      </c>
      <c r="BM13" s="8">
        <v>135597</v>
      </c>
      <c r="BN13" s="8">
        <v>137928</v>
      </c>
      <c r="BO13" s="8">
        <v>147250</v>
      </c>
      <c r="BP13" s="8">
        <v>163237</v>
      </c>
      <c r="BQ13" s="180">
        <v>182686</v>
      </c>
      <c r="BR13" s="180">
        <v>102388</v>
      </c>
      <c r="BS13" s="180">
        <v>93629</v>
      </c>
    </row>
    <row r="14" spans="1:71" ht="15" customHeight="1">
      <c r="A14" s="21"/>
      <c r="B14" s="7" t="s">
        <v>1</v>
      </c>
      <c r="C14" s="7" t="s">
        <v>424</v>
      </c>
      <c r="D14" s="8">
        <v>81133</v>
      </c>
      <c r="E14" s="8">
        <v>80430</v>
      </c>
      <c r="F14" s="8">
        <v>78585</v>
      </c>
      <c r="G14" s="8">
        <v>84969</v>
      </c>
      <c r="H14" s="8">
        <v>90351</v>
      </c>
      <c r="I14" s="8">
        <v>95087</v>
      </c>
      <c r="J14" s="8">
        <v>92169</v>
      </c>
      <c r="K14" s="8">
        <v>100253</v>
      </c>
      <c r="L14" s="8">
        <v>98943</v>
      </c>
      <c r="M14" s="8">
        <v>103709</v>
      </c>
      <c r="N14" s="8">
        <v>99745</v>
      </c>
      <c r="O14" s="8">
        <v>99834</v>
      </c>
      <c r="P14" s="8">
        <v>96739</v>
      </c>
      <c r="Q14" s="8">
        <v>115885</v>
      </c>
      <c r="R14" s="8">
        <v>119414</v>
      </c>
      <c r="S14" s="8"/>
      <c r="T14" s="8"/>
      <c r="U14" s="8"/>
      <c r="V14" s="8">
        <v>118058</v>
      </c>
      <c r="W14" s="8">
        <v>117581</v>
      </c>
      <c r="X14" s="8">
        <v>121163</v>
      </c>
      <c r="Y14" s="8">
        <v>125564</v>
      </c>
      <c r="Z14" s="8">
        <v>127478</v>
      </c>
      <c r="AA14" s="8">
        <v>156544</v>
      </c>
      <c r="AB14" s="8">
        <v>176810</v>
      </c>
      <c r="AC14" s="8">
        <v>180474</v>
      </c>
      <c r="AD14" s="8">
        <v>181831</v>
      </c>
      <c r="AE14" s="8">
        <v>176012</v>
      </c>
      <c r="AF14" s="8">
        <v>155379</v>
      </c>
      <c r="AG14" s="8">
        <v>148145</v>
      </c>
      <c r="AH14" s="8">
        <v>128999</v>
      </c>
      <c r="AI14" s="8">
        <v>124061</v>
      </c>
      <c r="AJ14" s="8">
        <v>130423</v>
      </c>
      <c r="AK14" s="8">
        <v>122707</v>
      </c>
      <c r="AL14" s="8">
        <v>118262</v>
      </c>
      <c r="AM14" s="8">
        <v>124309</v>
      </c>
      <c r="AN14" s="8">
        <v>144318</v>
      </c>
      <c r="AO14" s="8">
        <v>153148</v>
      </c>
      <c r="AP14" s="8">
        <v>145902</v>
      </c>
      <c r="AQ14" s="8">
        <v>160725</v>
      </c>
      <c r="AR14" s="8">
        <v>207524</v>
      </c>
      <c r="AS14" s="8">
        <v>238547</v>
      </c>
      <c r="AT14" s="8">
        <v>227028</v>
      </c>
      <c r="AU14" s="8">
        <v>264757</v>
      </c>
      <c r="AV14" s="8">
        <v>265106</v>
      </c>
      <c r="AW14" s="8">
        <v>280541</v>
      </c>
      <c r="AX14" s="8">
        <v>270014</v>
      </c>
      <c r="AY14" s="8">
        <v>325554</v>
      </c>
      <c r="AZ14" s="8">
        <v>325736</v>
      </c>
      <c r="BA14" s="8">
        <v>307063</v>
      </c>
      <c r="BB14" s="8">
        <v>323266</v>
      </c>
      <c r="BC14" s="8">
        <v>334569</v>
      </c>
      <c r="BD14" s="8">
        <v>286725</v>
      </c>
      <c r="BE14" s="8">
        <v>303797</v>
      </c>
      <c r="BF14" s="8">
        <v>344161</v>
      </c>
      <c r="BG14" s="8">
        <v>362319</v>
      </c>
      <c r="BH14" s="8">
        <v>363643</v>
      </c>
      <c r="BI14" s="8">
        <v>341620</v>
      </c>
      <c r="BJ14" s="8">
        <v>267477</v>
      </c>
      <c r="BK14" s="8">
        <v>334730</v>
      </c>
      <c r="BL14" s="8">
        <v>316186</v>
      </c>
      <c r="BM14" s="8">
        <v>293032</v>
      </c>
      <c r="BN14" s="8">
        <v>274491</v>
      </c>
      <c r="BO14" s="8">
        <v>260987</v>
      </c>
      <c r="BP14" s="8">
        <v>269845</v>
      </c>
      <c r="BQ14" s="180">
        <v>236809</v>
      </c>
      <c r="BR14" s="180">
        <v>238227</v>
      </c>
      <c r="BS14" s="180">
        <v>225014</v>
      </c>
    </row>
    <row r="15" spans="1:71" ht="15" customHeight="1">
      <c r="A15" s="21"/>
      <c r="B15" s="7" t="s">
        <v>47</v>
      </c>
      <c r="C15" s="7" t="s">
        <v>425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1094</v>
      </c>
      <c r="P15" s="8">
        <v>900</v>
      </c>
      <c r="Q15" s="8">
        <v>0</v>
      </c>
      <c r="R15" s="8">
        <v>0</v>
      </c>
      <c r="S15" s="8"/>
      <c r="T15" s="8"/>
      <c r="U15" s="8"/>
      <c r="V15" s="8">
        <v>1188</v>
      </c>
      <c r="W15" s="8">
        <v>1188</v>
      </c>
      <c r="X15" s="8">
        <v>1539</v>
      </c>
      <c r="Y15" s="8">
        <v>0</v>
      </c>
      <c r="Z15" s="8">
        <v>1344</v>
      </c>
      <c r="AA15" s="8">
        <v>1293</v>
      </c>
      <c r="AB15" s="8">
        <v>0</v>
      </c>
      <c r="AC15" s="8">
        <v>1328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/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180">
        <v>0</v>
      </c>
      <c r="BR15" s="180">
        <v>0</v>
      </c>
      <c r="BS15" s="180">
        <v>0</v>
      </c>
    </row>
    <row r="16" spans="1:71" ht="15" customHeight="1">
      <c r="A16" s="21"/>
      <c r="B16" s="7" t="s">
        <v>27</v>
      </c>
      <c r="C16" s="6" t="s">
        <v>426</v>
      </c>
      <c r="D16" s="8">
        <v>3441</v>
      </c>
      <c r="E16" s="8">
        <v>22189</v>
      </c>
      <c r="F16" s="8">
        <v>20955</v>
      </c>
      <c r="G16" s="8">
        <v>3606</v>
      </c>
      <c r="H16" s="8">
        <v>3763</v>
      </c>
      <c r="I16" s="8">
        <v>5515</v>
      </c>
      <c r="J16" s="8">
        <v>5038</v>
      </c>
      <c r="K16" s="8">
        <v>4414</v>
      </c>
      <c r="L16" s="8">
        <v>4280</v>
      </c>
      <c r="M16" s="8">
        <v>6559</v>
      </c>
      <c r="N16" s="8">
        <v>19443</v>
      </c>
      <c r="O16" s="8">
        <v>21562</v>
      </c>
      <c r="P16" s="8">
        <v>21117</v>
      </c>
      <c r="Q16" s="8">
        <v>24247</v>
      </c>
      <c r="R16" s="8">
        <v>24641</v>
      </c>
      <c r="S16" s="8"/>
      <c r="T16" s="8"/>
      <c r="U16" s="8"/>
      <c r="V16" s="8">
        <v>23030</v>
      </c>
      <c r="W16" s="8">
        <v>23674</v>
      </c>
      <c r="X16" s="8">
        <v>23887</v>
      </c>
      <c r="Y16" s="8">
        <v>24851</v>
      </c>
      <c r="Z16" s="8">
        <v>16703</v>
      </c>
      <c r="AA16" s="8">
        <v>21298</v>
      </c>
      <c r="AB16" s="8">
        <v>28538</v>
      </c>
      <c r="AC16" s="8">
        <v>28411</v>
      </c>
      <c r="AD16" s="8">
        <v>56644</v>
      </c>
      <c r="AE16" s="8">
        <v>53503</v>
      </c>
      <c r="AF16" s="8">
        <v>55899</v>
      </c>
      <c r="AG16" s="8">
        <v>52229</v>
      </c>
      <c r="AH16" s="8">
        <v>18748</v>
      </c>
      <c r="AI16" s="8">
        <v>19771</v>
      </c>
      <c r="AJ16" s="8">
        <v>24679</v>
      </c>
      <c r="AK16" s="8">
        <v>21216</v>
      </c>
      <c r="AL16" s="8">
        <v>16318</v>
      </c>
      <c r="AM16" s="8">
        <v>18631</v>
      </c>
      <c r="AN16" s="8">
        <v>22081</v>
      </c>
      <c r="AO16" s="8">
        <v>23459</v>
      </c>
      <c r="AP16" s="8">
        <v>0</v>
      </c>
      <c r="AQ16" s="8">
        <v>0</v>
      </c>
      <c r="AR16" s="8">
        <v>29323</v>
      </c>
      <c r="AS16" s="8">
        <v>24201</v>
      </c>
      <c r="AT16" s="8">
        <v>21204</v>
      </c>
      <c r="AU16" s="8">
        <v>29240</v>
      </c>
      <c r="AV16" s="8">
        <v>19022</v>
      </c>
      <c r="AW16" s="8">
        <v>14858</v>
      </c>
      <c r="AX16" s="8">
        <v>12950</v>
      </c>
      <c r="AY16" s="8">
        <v>12911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180">
        <v>0</v>
      </c>
      <c r="BR16" s="180">
        <v>0</v>
      </c>
      <c r="BS16" s="180">
        <v>0</v>
      </c>
    </row>
    <row r="17" spans="1:72" ht="15" customHeight="1">
      <c r="A17" s="21"/>
      <c r="B17" s="6" t="s">
        <v>78</v>
      </c>
      <c r="C17" s="6" t="s">
        <v>427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40297</v>
      </c>
      <c r="AQ17" s="8">
        <v>41981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14704</v>
      </c>
      <c r="AX17" s="8">
        <v>13546</v>
      </c>
      <c r="AY17" s="8">
        <v>14851</v>
      </c>
      <c r="AZ17" s="8">
        <v>42174</v>
      </c>
      <c r="BA17" s="8">
        <v>38835</v>
      </c>
      <c r="BB17" s="8">
        <v>39321</v>
      </c>
      <c r="BC17" s="8">
        <v>39398</v>
      </c>
      <c r="BD17" s="8">
        <v>20570</v>
      </c>
      <c r="BE17" s="8">
        <v>19122</v>
      </c>
      <c r="BF17" s="8">
        <v>122414</v>
      </c>
      <c r="BG17" s="8">
        <v>100820</v>
      </c>
      <c r="BH17" s="8">
        <v>66013</v>
      </c>
      <c r="BI17" s="8">
        <v>42431</v>
      </c>
      <c r="BJ17" s="8">
        <v>40164</v>
      </c>
      <c r="BK17" s="8">
        <v>46750</v>
      </c>
      <c r="BL17" s="8">
        <v>58695</v>
      </c>
      <c r="BM17" s="8">
        <v>63851</v>
      </c>
      <c r="BN17" s="8">
        <v>17528</v>
      </c>
      <c r="BO17" s="8">
        <v>53265</v>
      </c>
      <c r="BP17" s="8">
        <v>30973</v>
      </c>
      <c r="BQ17" s="180">
        <v>32938</v>
      </c>
      <c r="BR17" s="180">
        <v>38073</v>
      </c>
      <c r="BS17" s="180">
        <v>37315</v>
      </c>
    </row>
    <row r="18" spans="1:72" ht="15" customHeight="1">
      <c r="A18" s="25"/>
      <c r="B18" s="6" t="s">
        <v>71</v>
      </c>
      <c r="C18" s="6" t="s">
        <v>428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26907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180">
        <v>0</v>
      </c>
      <c r="BR18" s="180">
        <v>0</v>
      </c>
      <c r="BS18" s="180">
        <v>0</v>
      </c>
    </row>
    <row r="19" spans="1:72" ht="15" customHeight="1">
      <c r="A19" s="25"/>
      <c r="B19" s="6" t="s">
        <v>52</v>
      </c>
      <c r="C19" s="6" t="s">
        <v>429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78</v>
      </c>
      <c r="R19" s="26">
        <v>0</v>
      </c>
      <c r="S19" s="26"/>
      <c r="T19" s="26"/>
      <c r="U19" s="26"/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4828</v>
      </c>
      <c r="BO19" s="8" t="s">
        <v>350</v>
      </c>
      <c r="BP19" s="8" t="s">
        <v>350</v>
      </c>
      <c r="BQ19" s="180" t="s">
        <v>350</v>
      </c>
      <c r="BR19" s="180" t="s">
        <v>350</v>
      </c>
      <c r="BS19" s="180" t="s">
        <v>350</v>
      </c>
    </row>
    <row r="20" spans="1:72" ht="15" customHeight="1">
      <c r="A20" s="25"/>
      <c r="B20" s="6" t="s">
        <v>48</v>
      </c>
      <c r="C20" s="6" t="s">
        <v>430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2661</v>
      </c>
      <c r="P20" s="26">
        <v>2704</v>
      </c>
      <c r="Q20" s="26">
        <v>3325</v>
      </c>
      <c r="R20" s="26">
        <v>0</v>
      </c>
      <c r="S20" s="26"/>
      <c r="T20" s="26"/>
      <c r="U20" s="26"/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34088</v>
      </c>
      <c r="AW20" s="26">
        <v>0</v>
      </c>
      <c r="AX20" s="26">
        <v>57163</v>
      </c>
      <c r="AY20" s="26">
        <v>78450</v>
      </c>
      <c r="AZ20" s="26">
        <v>169925</v>
      </c>
      <c r="BA20" s="8">
        <v>33363</v>
      </c>
      <c r="BB20" s="8">
        <v>45797</v>
      </c>
      <c r="BC20" s="8">
        <v>47368</v>
      </c>
      <c r="BD20" s="8">
        <v>44850</v>
      </c>
      <c r="BE20" s="8">
        <v>35989</v>
      </c>
      <c r="BF20" s="8">
        <v>19644</v>
      </c>
      <c r="BG20" s="8">
        <v>21805</v>
      </c>
      <c r="BH20" s="8">
        <v>22998</v>
      </c>
      <c r="BI20" s="8">
        <v>20689</v>
      </c>
      <c r="BJ20" s="8">
        <v>16142</v>
      </c>
      <c r="BK20" s="8">
        <v>16819</v>
      </c>
      <c r="BL20" s="8">
        <v>8537</v>
      </c>
      <c r="BM20" s="8">
        <v>9729</v>
      </c>
      <c r="BN20" s="8">
        <v>13404</v>
      </c>
      <c r="BO20" s="8">
        <v>14974</v>
      </c>
      <c r="BP20" s="8">
        <v>14728</v>
      </c>
      <c r="BQ20" s="180">
        <v>14737</v>
      </c>
      <c r="BR20" s="180">
        <v>25599</v>
      </c>
      <c r="BS20" s="180">
        <v>23863</v>
      </c>
    </row>
    <row r="21" spans="1:72" ht="15" customHeight="1">
      <c r="A21" s="25"/>
      <c r="B21" s="6" t="s">
        <v>44</v>
      </c>
      <c r="C21" s="6" t="s">
        <v>431</v>
      </c>
      <c r="D21" s="26">
        <v>1238</v>
      </c>
      <c r="E21" s="26">
        <v>0</v>
      </c>
      <c r="F21" s="26">
        <v>0</v>
      </c>
      <c r="G21" s="26">
        <v>411</v>
      </c>
      <c r="H21" s="26">
        <v>3161</v>
      </c>
      <c r="I21" s="26">
        <v>4009</v>
      </c>
      <c r="J21" s="26">
        <v>5176</v>
      </c>
      <c r="K21" s="26">
        <v>6151</v>
      </c>
      <c r="L21" s="26">
        <v>5140</v>
      </c>
      <c r="M21" s="26">
        <v>6375</v>
      </c>
      <c r="N21" s="26">
        <v>5923</v>
      </c>
      <c r="O21" s="26">
        <v>4313</v>
      </c>
      <c r="P21" s="26">
        <v>6476</v>
      </c>
      <c r="Q21" s="26">
        <v>6308</v>
      </c>
      <c r="R21" s="26">
        <v>5848</v>
      </c>
      <c r="S21" s="26"/>
      <c r="T21" s="26"/>
      <c r="U21" s="26"/>
      <c r="V21" s="26">
        <v>7846</v>
      </c>
      <c r="W21" s="26">
        <v>7774</v>
      </c>
      <c r="X21" s="26">
        <v>7009</v>
      </c>
      <c r="Y21" s="26">
        <v>6026</v>
      </c>
      <c r="Z21" s="26">
        <v>8812</v>
      </c>
      <c r="AA21" s="26">
        <v>13621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30527</v>
      </c>
      <c r="AI21" s="26">
        <v>35649</v>
      </c>
      <c r="AJ21" s="26">
        <v>41589</v>
      </c>
      <c r="AK21" s="26">
        <v>35196</v>
      </c>
      <c r="AL21" s="26">
        <v>23919</v>
      </c>
      <c r="AM21" s="26">
        <v>21489</v>
      </c>
      <c r="AN21" s="26">
        <v>20634</v>
      </c>
      <c r="AO21" s="26">
        <v>21335</v>
      </c>
      <c r="AP21" s="26">
        <v>0</v>
      </c>
      <c r="AQ21" s="26">
        <v>0</v>
      </c>
      <c r="AR21" s="26">
        <v>17948</v>
      </c>
      <c r="AS21" s="26">
        <v>45895</v>
      </c>
      <c r="AT21" s="26">
        <v>39876</v>
      </c>
      <c r="AU21" s="26">
        <v>56611</v>
      </c>
      <c r="AV21" s="26">
        <v>49128</v>
      </c>
      <c r="AW21" s="26">
        <v>47727</v>
      </c>
      <c r="AX21" s="26">
        <v>35055</v>
      </c>
      <c r="AY21" s="26">
        <v>48475</v>
      </c>
      <c r="AZ21" s="26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20948</v>
      </c>
      <c r="BO21" s="8">
        <v>29568</v>
      </c>
      <c r="BP21" s="8">
        <v>0</v>
      </c>
      <c r="BQ21" s="180">
        <v>0</v>
      </c>
      <c r="BR21" s="180">
        <v>0</v>
      </c>
      <c r="BS21" s="180">
        <v>0</v>
      </c>
    </row>
    <row r="22" spans="1:72" ht="15" customHeight="1">
      <c r="A22" s="25"/>
      <c r="D22" s="27">
        <f t="shared" ref="D22:BO22" si="0">SUM(D9:D21)</f>
        <v>319114</v>
      </c>
      <c r="E22" s="27">
        <f t="shared" si="0"/>
        <v>322401</v>
      </c>
      <c r="F22" s="27">
        <f t="shared" si="0"/>
        <v>345647</v>
      </c>
      <c r="G22" s="27">
        <f t="shared" si="0"/>
        <v>381387</v>
      </c>
      <c r="H22" s="27">
        <f t="shared" si="0"/>
        <v>400867</v>
      </c>
      <c r="I22" s="27">
        <f t="shared" si="0"/>
        <v>379208</v>
      </c>
      <c r="J22" s="27">
        <f t="shared" si="0"/>
        <v>393930</v>
      </c>
      <c r="K22" s="27">
        <f t="shared" si="0"/>
        <v>467293</v>
      </c>
      <c r="L22" s="27">
        <f t="shared" si="0"/>
        <v>479723</v>
      </c>
      <c r="M22" s="27">
        <f t="shared" si="0"/>
        <v>414749</v>
      </c>
      <c r="N22" s="27">
        <f t="shared" si="0"/>
        <v>419825</v>
      </c>
      <c r="O22" s="27">
        <f t="shared" si="0"/>
        <v>419136</v>
      </c>
      <c r="P22" s="27">
        <f t="shared" si="0"/>
        <v>438284</v>
      </c>
      <c r="Q22" s="27">
        <f t="shared" si="0"/>
        <v>529947</v>
      </c>
      <c r="R22" s="27">
        <f t="shared" si="0"/>
        <v>653109</v>
      </c>
      <c r="S22" s="27">
        <f t="shared" si="0"/>
        <v>0</v>
      </c>
      <c r="T22" s="27">
        <f t="shared" si="0"/>
        <v>0</v>
      </c>
      <c r="U22" s="27">
        <f t="shared" si="0"/>
        <v>0</v>
      </c>
      <c r="V22" s="27">
        <f t="shared" si="0"/>
        <v>554002</v>
      </c>
      <c r="W22" s="27">
        <f t="shared" si="0"/>
        <v>551800</v>
      </c>
      <c r="X22" s="27">
        <f t="shared" si="0"/>
        <v>564432</v>
      </c>
      <c r="Y22" s="27">
        <f t="shared" si="0"/>
        <v>620182</v>
      </c>
      <c r="Z22" s="27">
        <f t="shared" si="0"/>
        <v>614734</v>
      </c>
      <c r="AA22" s="27">
        <f t="shared" si="0"/>
        <v>694094</v>
      </c>
      <c r="AB22" s="27">
        <f t="shared" si="0"/>
        <v>717296</v>
      </c>
      <c r="AC22" s="27">
        <f t="shared" si="0"/>
        <v>1211016</v>
      </c>
      <c r="AD22" s="27">
        <f t="shared" si="0"/>
        <v>871960</v>
      </c>
      <c r="AE22" s="27">
        <f t="shared" si="0"/>
        <v>827322</v>
      </c>
      <c r="AF22" s="27">
        <f t="shared" si="0"/>
        <v>729408</v>
      </c>
      <c r="AG22" s="27">
        <f t="shared" si="0"/>
        <v>994951</v>
      </c>
      <c r="AH22" s="27">
        <f t="shared" si="0"/>
        <v>902566</v>
      </c>
      <c r="AI22" s="27">
        <f t="shared" si="0"/>
        <v>867725</v>
      </c>
      <c r="AJ22" s="27">
        <f t="shared" si="0"/>
        <v>893487</v>
      </c>
      <c r="AK22" s="27">
        <f t="shared" si="0"/>
        <v>883986</v>
      </c>
      <c r="AL22" s="27">
        <f t="shared" si="0"/>
        <v>858727</v>
      </c>
      <c r="AM22" s="27">
        <f t="shared" si="0"/>
        <v>865358</v>
      </c>
      <c r="AN22" s="27">
        <f t="shared" si="0"/>
        <v>1140661</v>
      </c>
      <c r="AO22" s="27">
        <f t="shared" si="0"/>
        <v>999146</v>
      </c>
      <c r="AP22" s="27">
        <f t="shared" si="0"/>
        <v>961594</v>
      </c>
      <c r="AQ22" s="27">
        <f t="shared" si="0"/>
        <v>980203</v>
      </c>
      <c r="AR22" s="27">
        <f t="shared" si="0"/>
        <v>1050366</v>
      </c>
      <c r="AS22" s="27">
        <f t="shared" si="0"/>
        <v>1160915</v>
      </c>
      <c r="AT22" s="27">
        <f t="shared" si="0"/>
        <v>1082136</v>
      </c>
      <c r="AU22" s="27">
        <f t="shared" si="0"/>
        <v>1181425</v>
      </c>
      <c r="AV22" s="27">
        <f t="shared" si="0"/>
        <v>1397765</v>
      </c>
      <c r="AW22" s="27">
        <f t="shared" si="0"/>
        <v>1456326</v>
      </c>
      <c r="AX22" s="27">
        <f t="shared" si="0"/>
        <v>1304819</v>
      </c>
      <c r="AY22" s="27">
        <f t="shared" si="0"/>
        <v>1517930</v>
      </c>
      <c r="AZ22" s="27">
        <f t="shared" si="0"/>
        <v>1326312</v>
      </c>
      <c r="BA22" s="27">
        <f t="shared" si="0"/>
        <v>1272426</v>
      </c>
      <c r="BB22" s="27">
        <f t="shared" si="0"/>
        <v>1309939</v>
      </c>
      <c r="BC22" s="27">
        <f t="shared" si="0"/>
        <v>1325850</v>
      </c>
      <c r="BD22" s="27">
        <f t="shared" si="0"/>
        <v>1022468</v>
      </c>
      <c r="BE22" s="27">
        <f t="shared" si="0"/>
        <v>1172284</v>
      </c>
      <c r="BF22" s="27">
        <f t="shared" si="0"/>
        <v>1294973</v>
      </c>
      <c r="BG22" s="27">
        <f t="shared" si="0"/>
        <v>1376868</v>
      </c>
      <c r="BH22" s="27">
        <f t="shared" si="0"/>
        <v>1236658</v>
      </c>
      <c r="BI22" s="27">
        <f t="shared" si="0"/>
        <v>1331603</v>
      </c>
      <c r="BJ22" s="27">
        <f t="shared" si="0"/>
        <v>1218878</v>
      </c>
      <c r="BK22" s="27">
        <f t="shared" si="0"/>
        <v>1451766</v>
      </c>
      <c r="BL22" s="27">
        <f t="shared" si="0"/>
        <v>1415035</v>
      </c>
      <c r="BM22" s="27">
        <f t="shared" si="0"/>
        <v>1488143</v>
      </c>
      <c r="BN22" s="27">
        <f t="shared" si="0"/>
        <v>1543176</v>
      </c>
      <c r="BO22" s="27">
        <f t="shared" si="0"/>
        <v>1512630</v>
      </c>
      <c r="BP22" s="27">
        <f>SUM(BP9:BP21)</f>
        <v>1384622</v>
      </c>
      <c r="BQ22" s="181">
        <f>SUM(BQ9:BQ21)</f>
        <v>1447511</v>
      </c>
      <c r="BR22" s="181">
        <f>SUM(BR9:BR21)</f>
        <v>1595878</v>
      </c>
      <c r="BS22" s="181">
        <f>SUM(BS9:BS21)</f>
        <v>1427299</v>
      </c>
      <c r="BT22" s="214"/>
    </row>
    <row r="23" spans="1:72" ht="15" customHeight="1">
      <c r="A23" s="2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  <c r="U23" s="26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BA23" s="8"/>
      <c r="BB23" s="8"/>
      <c r="BC23" s="8"/>
      <c r="BQ23" s="182"/>
      <c r="BR23" s="182"/>
      <c r="BS23" s="182"/>
    </row>
    <row r="24" spans="1:72" ht="15" customHeight="1">
      <c r="A24" s="25"/>
      <c r="B24" s="6" t="s">
        <v>71</v>
      </c>
      <c r="C24" s="6" t="s">
        <v>428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791</v>
      </c>
      <c r="AK24" s="26">
        <v>791</v>
      </c>
      <c r="AL24" s="26">
        <v>791</v>
      </c>
      <c r="AM24" s="26">
        <v>791</v>
      </c>
      <c r="AN24" s="26">
        <v>791</v>
      </c>
      <c r="AO24" s="26">
        <v>791</v>
      </c>
      <c r="AP24" s="26">
        <v>791</v>
      </c>
      <c r="AQ24" s="26">
        <v>791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33923</v>
      </c>
      <c r="BA24" s="8">
        <v>35063</v>
      </c>
      <c r="BB24" s="8">
        <v>16746</v>
      </c>
      <c r="BC24" s="8">
        <v>16746</v>
      </c>
      <c r="BD24" s="8">
        <v>16746</v>
      </c>
      <c r="BE24" s="8">
        <v>16746</v>
      </c>
      <c r="BF24" s="8">
        <v>16746</v>
      </c>
      <c r="BG24" s="8">
        <v>16746</v>
      </c>
      <c r="BH24" s="8">
        <v>16746</v>
      </c>
      <c r="BI24" s="8">
        <v>16746</v>
      </c>
      <c r="BJ24" s="8">
        <v>48557</v>
      </c>
      <c r="BK24" s="8">
        <v>4275</v>
      </c>
      <c r="BL24" s="8">
        <v>4275</v>
      </c>
      <c r="BM24" s="8">
        <v>4275</v>
      </c>
      <c r="BN24" s="26">
        <v>9393</v>
      </c>
      <c r="BO24" s="26">
        <v>4275</v>
      </c>
      <c r="BP24" s="26">
        <v>4275</v>
      </c>
      <c r="BQ24" s="205">
        <v>4275</v>
      </c>
      <c r="BR24" s="205">
        <v>4275</v>
      </c>
      <c r="BS24" s="180">
        <v>4285</v>
      </c>
    </row>
    <row r="25" spans="1:72" ht="15" customHeight="1">
      <c r="A25" s="25"/>
      <c r="D25" s="27">
        <f t="shared" ref="D25:BO25" si="1">SUM(D24)</f>
        <v>0</v>
      </c>
      <c r="E25" s="27">
        <f t="shared" si="1"/>
        <v>0</v>
      </c>
      <c r="F25" s="27">
        <f t="shared" si="1"/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  <c r="S25" s="27">
        <f t="shared" si="1"/>
        <v>0</v>
      </c>
      <c r="T25" s="27">
        <f t="shared" si="1"/>
        <v>0</v>
      </c>
      <c r="U25" s="27">
        <f t="shared" si="1"/>
        <v>0</v>
      </c>
      <c r="V25" s="27">
        <f t="shared" si="1"/>
        <v>0</v>
      </c>
      <c r="W25" s="27">
        <f t="shared" si="1"/>
        <v>0</v>
      </c>
      <c r="X25" s="27">
        <f t="shared" si="1"/>
        <v>0</v>
      </c>
      <c r="Y25" s="27">
        <f t="shared" si="1"/>
        <v>0</v>
      </c>
      <c r="Z25" s="27">
        <f t="shared" si="1"/>
        <v>0</v>
      </c>
      <c r="AA25" s="27">
        <f t="shared" si="1"/>
        <v>0</v>
      </c>
      <c r="AB25" s="27">
        <f t="shared" si="1"/>
        <v>0</v>
      </c>
      <c r="AC25" s="27">
        <f t="shared" si="1"/>
        <v>0</v>
      </c>
      <c r="AD25" s="27">
        <f t="shared" si="1"/>
        <v>0</v>
      </c>
      <c r="AE25" s="27">
        <f t="shared" si="1"/>
        <v>0</v>
      </c>
      <c r="AF25" s="27">
        <f t="shared" si="1"/>
        <v>0</v>
      </c>
      <c r="AG25" s="27">
        <f t="shared" si="1"/>
        <v>0</v>
      </c>
      <c r="AH25" s="27">
        <f t="shared" si="1"/>
        <v>0</v>
      </c>
      <c r="AI25" s="27">
        <f t="shared" si="1"/>
        <v>0</v>
      </c>
      <c r="AJ25" s="27">
        <f t="shared" si="1"/>
        <v>791</v>
      </c>
      <c r="AK25" s="27">
        <f t="shared" si="1"/>
        <v>791</v>
      </c>
      <c r="AL25" s="27">
        <f t="shared" si="1"/>
        <v>791</v>
      </c>
      <c r="AM25" s="27">
        <f t="shared" si="1"/>
        <v>791</v>
      </c>
      <c r="AN25" s="27">
        <f t="shared" si="1"/>
        <v>791</v>
      </c>
      <c r="AO25" s="27">
        <f t="shared" si="1"/>
        <v>791</v>
      </c>
      <c r="AP25" s="27">
        <f t="shared" si="1"/>
        <v>791</v>
      </c>
      <c r="AQ25" s="27">
        <f t="shared" si="1"/>
        <v>791</v>
      </c>
      <c r="AR25" s="27">
        <f t="shared" si="1"/>
        <v>0</v>
      </c>
      <c r="AS25" s="27">
        <f t="shared" si="1"/>
        <v>0</v>
      </c>
      <c r="AT25" s="27">
        <f t="shared" si="1"/>
        <v>0</v>
      </c>
      <c r="AU25" s="27">
        <f t="shared" si="1"/>
        <v>0</v>
      </c>
      <c r="AV25" s="27">
        <f t="shared" si="1"/>
        <v>0</v>
      </c>
      <c r="AW25" s="27">
        <f t="shared" si="1"/>
        <v>0</v>
      </c>
      <c r="AX25" s="27">
        <f t="shared" si="1"/>
        <v>0</v>
      </c>
      <c r="AY25" s="27">
        <f t="shared" si="1"/>
        <v>0</v>
      </c>
      <c r="AZ25" s="27">
        <f t="shared" si="1"/>
        <v>33923</v>
      </c>
      <c r="BA25" s="27">
        <f t="shared" si="1"/>
        <v>35063</v>
      </c>
      <c r="BB25" s="27">
        <f t="shared" si="1"/>
        <v>16746</v>
      </c>
      <c r="BC25" s="27">
        <f t="shared" si="1"/>
        <v>16746</v>
      </c>
      <c r="BD25" s="27">
        <f t="shared" si="1"/>
        <v>16746</v>
      </c>
      <c r="BE25" s="27">
        <f t="shared" si="1"/>
        <v>16746</v>
      </c>
      <c r="BF25" s="27">
        <f t="shared" si="1"/>
        <v>16746</v>
      </c>
      <c r="BG25" s="27">
        <f t="shared" si="1"/>
        <v>16746</v>
      </c>
      <c r="BH25" s="27">
        <f t="shared" si="1"/>
        <v>16746</v>
      </c>
      <c r="BI25" s="27">
        <f t="shared" si="1"/>
        <v>16746</v>
      </c>
      <c r="BJ25" s="27">
        <f t="shared" si="1"/>
        <v>48557</v>
      </c>
      <c r="BK25" s="27">
        <f t="shared" si="1"/>
        <v>4275</v>
      </c>
      <c r="BL25" s="27">
        <f t="shared" si="1"/>
        <v>4275</v>
      </c>
      <c r="BM25" s="27">
        <f t="shared" si="1"/>
        <v>4275</v>
      </c>
      <c r="BN25" s="27">
        <f t="shared" si="1"/>
        <v>9393</v>
      </c>
      <c r="BO25" s="27">
        <f t="shared" si="1"/>
        <v>4275</v>
      </c>
      <c r="BP25" s="27">
        <f>SUM(BP24)</f>
        <v>4275</v>
      </c>
      <c r="BQ25" s="181">
        <f>SUM(BQ24)</f>
        <v>4275</v>
      </c>
      <c r="BR25" s="181">
        <f>SUM(BR24)</f>
        <v>4275</v>
      </c>
      <c r="BS25" s="181">
        <f>SUM(BS24)</f>
        <v>4285</v>
      </c>
    </row>
    <row r="26" spans="1:72" ht="15" customHeight="1">
      <c r="A26" s="21"/>
      <c r="B26" s="6" t="s">
        <v>100</v>
      </c>
      <c r="C26" s="6" t="s">
        <v>432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379631</v>
      </c>
      <c r="BE26" s="8">
        <v>441647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 t="s">
        <v>350</v>
      </c>
      <c r="BL26" s="8" t="s">
        <v>350</v>
      </c>
      <c r="BM26" s="8">
        <v>0</v>
      </c>
      <c r="BN26" s="26">
        <v>0</v>
      </c>
      <c r="BO26" s="26">
        <v>0</v>
      </c>
      <c r="BP26" s="26">
        <v>0</v>
      </c>
      <c r="BQ26" s="183">
        <v>0</v>
      </c>
      <c r="BR26" s="183">
        <v>0</v>
      </c>
      <c r="BS26" s="183">
        <v>0</v>
      </c>
    </row>
    <row r="27" spans="1:72" ht="15" customHeight="1">
      <c r="A27" s="21"/>
      <c r="B27" s="146" t="s">
        <v>7</v>
      </c>
      <c r="C27" s="146" t="s">
        <v>433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8"/>
      <c r="T27" s="148"/>
      <c r="U27" s="148"/>
      <c r="V27" s="147"/>
      <c r="W27" s="147"/>
      <c r="X27" s="147"/>
      <c r="Y27" s="147"/>
      <c r="Z27" s="147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50"/>
      <c r="BB27" s="150"/>
      <c r="BC27" s="150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84"/>
      <c r="BR27" s="184"/>
      <c r="BS27" s="184"/>
    </row>
    <row r="28" spans="1:72" ht="15" customHeight="1">
      <c r="A28" s="21"/>
      <c r="B28" s="7" t="s">
        <v>45</v>
      </c>
      <c r="C28" s="7" t="s">
        <v>421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12">
        <v>4100</v>
      </c>
      <c r="AA28" s="12">
        <v>6625</v>
      </c>
      <c r="AB28" s="12">
        <v>12095</v>
      </c>
      <c r="AC28" s="12">
        <v>11994</v>
      </c>
      <c r="AD28" s="12">
        <v>13210</v>
      </c>
      <c r="AE28" s="12">
        <v>16372</v>
      </c>
      <c r="AF28" s="12">
        <v>15671</v>
      </c>
      <c r="AG28" s="12">
        <v>15037</v>
      </c>
      <c r="AH28" s="12">
        <v>12755</v>
      </c>
      <c r="AI28" s="12">
        <v>19008</v>
      </c>
      <c r="AJ28" s="12">
        <v>19648</v>
      </c>
      <c r="AK28" s="12">
        <v>18832</v>
      </c>
      <c r="AL28" s="12">
        <v>18101</v>
      </c>
      <c r="AM28" s="12">
        <v>17473</v>
      </c>
      <c r="AN28" s="12">
        <v>16770</v>
      </c>
      <c r="AO28" s="26">
        <v>16268</v>
      </c>
      <c r="AP28" s="26">
        <v>15556</v>
      </c>
      <c r="AQ28" s="26">
        <v>13177</v>
      </c>
      <c r="AR28" s="26">
        <v>12655</v>
      </c>
      <c r="AS28" s="26">
        <v>12143</v>
      </c>
      <c r="AT28" s="26">
        <v>11594</v>
      </c>
      <c r="AU28" s="26">
        <v>9795</v>
      </c>
      <c r="AV28" s="26">
        <v>9795</v>
      </c>
      <c r="AW28" s="26">
        <v>7334</v>
      </c>
      <c r="AX28" s="26">
        <v>23663</v>
      </c>
      <c r="AY28" s="26">
        <v>14505</v>
      </c>
      <c r="AZ28" s="26">
        <v>5603</v>
      </c>
      <c r="BA28" s="8">
        <v>5603</v>
      </c>
      <c r="BB28" s="8">
        <v>5603</v>
      </c>
      <c r="BC28" s="8">
        <v>3818</v>
      </c>
      <c r="BD28" s="8">
        <v>3818</v>
      </c>
      <c r="BE28" s="8">
        <v>3818</v>
      </c>
      <c r="BF28" s="8">
        <v>3818</v>
      </c>
      <c r="BG28" s="8">
        <v>6866</v>
      </c>
      <c r="BH28" s="8">
        <v>6209</v>
      </c>
      <c r="BI28" s="8">
        <v>1502</v>
      </c>
      <c r="BJ28" s="8">
        <v>0</v>
      </c>
      <c r="BK28" s="8">
        <v>0</v>
      </c>
      <c r="BL28" s="8">
        <v>0</v>
      </c>
      <c r="BM28" s="8">
        <v>0</v>
      </c>
      <c r="BN28" s="26">
        <v>0</v>
      </c>
      <c r="BO28" s="26">
        <v>0</v>
      </c>
      <c r="BP28" s="26">
        <v>0</v>
      </c>
      <c r="BQ28" s="183">
        <v>0</v>
      </c>
      <c r="BR28" s="183">
        <v>0</v>
      </c>
      <c r="BS28" s="183">
        <v>0</v>
      </c>
    </row>
    <row r="29" spans="1:72" ht="15" customHeight="1">
      <c r="A29" s="21"/>
      <c r="B29" s="7" t="s">
        <v>3</v>
      </c>
      <c r="C29" s="7" t="s">
        <v>434</v>
      </c>
      <c r="D29" s="13">
        <v>6541</v>
      </c>
      <c r="E29" s="13">
        <v>1618</v>
      </c>
      <c r="F29" s="13">
        <v>7193</v>
      </c>
      <c r="G29" s="13">
        <v>7827</v>
      </c>
      <c r="H29" s="13">
        <v>8054</v>
      </c>
      <c r="I29" s="13">
        <v>8632</v>
      </c>
      <c r="J29" s="13">
        <v>9382</v>
      </c>
      <c r="K29" s="13">
        <v>12279</v>
      </c>
      <c r="L29" s="13">
        <v>13150</v>
      </c>
      <c r="M29" s="13">
        <v>21104</v>
      </c>
      <c r="N29" s="13">
        <v>21730</v>
      </c>
      <c r="O29" s="13">
        <v>19801</v>
      </c>
      <c r="P29" s="13">
        <v>27188</v>
      </c>
      <c r="Q29" s="13">
        <v>27598</v>
      </c>
      <c r="R29" s="13">
        <v>27825</v>
      </c>
      <c r="S29" s="13"/>
      <c r="T29" s="13"/>
      <c r="U29" s="13"/>
      <c r="V29" s="13">
        <v>28494</v>
      </c>
      <c r="W29" s="13">
        <v>28771</v>
      </c>
      <c r="X29" s="13">
        <v>29751</v>
      </c>
      <c r="Y29" s="13">
        <v>30785</v>
      </c>
      <c r="Z29" s="12">
        <v>29286</v>
      </c>
      <c r="AA29" s="12">
        <v>29614</v>
      </c>
      <c r="AB29" s="12">
        <v>29273</v>
      </c>
      <c r="AC29" s="12">
        <v>33993</v>
      </c>
      <c r="AD29" s="12">
        <v>31206</v>
      </c>
      <c r="AE29" s="12">
        <v>31443</v>
      </c>
      <c r="AF29" s="12">
        <v>31298</v>
      </c>
      <c r="AG29" s="12">
        <v>34627</v>
      </c>
      <c r="AH29" s="12">
        <v>37254</v>
      </c>
      <c r="AI29" s="12">
        <v>37101</v>
      </c>
      <c r="AJ29" s="12">
        <v>38048</v>
      </c>
      <c r="AK29" s="12">
        <v>37606</v>
      </c>
      <c r="AL29" s="12">
        <v>38282</v>
      </c>
      <c r="AM29" s="12">
        <v>36547</v>
      </c>
      <c r="AN29" s="12">
        <v>39735</v>
      </c>
      <c r="AO29" s="26">
        <v>39360</v>
      </c>
      <c r="AP29" s="26">
        <v>38616</v>
      </c>
      <c r="AQ29" s="26">
        <v>38302</v>
      </c>
      <c r="AR29" s="26">
        <v>38738</v>
      </c>
      <c r="AS29" s="26">
        <v>37854</v>
      </c>
      <c r="AT29" s="26">
        <v>36435</v>
      </c>
      <c r="AU29" s="26">
        <v>32794</v>
      </c>
      <c r="AV29" s="26">
        <v>32420</v>
      </c>
      <c r="AW29" s="26">
        <v>21967</v>
      </c>
      <c r="AX29" s="26">
        <v>21166</v>
      </c>
      <c r="AY29" s="26">
        <v>21241</v>
      </c>
      <c r="AZ29" s="26">
        <v>19060</v>
      </c>
      <c r="BA29" s="8">
        <v>18905</v>
      </c>
      <c r="BB29" s="8">
        <v>41204</v>
      </c>
      <c r="BC29" s="8">
        <v>20691</v>
      </c>
      <c r="BD29" s="8">
        <v>20506</v>
      </c>
      <c r="BE29" s="8">
        <v>19597</v>
      </c>
      <c r="BF29" s="8">
        <v>19365</v>
      </c>
      <c r="BG29" s="8">
        <v>19373</v>
      </c>
      <c r="BH29" s="8">
        <v>20439</v>
      </c>
      <c r="BI29" s="8">
        <v>19944</v>
      </c>
      <c r="BJ29" s="8">
        <v>19767</v>
      </c>
      <c r="BK29" s="8">
        <v>19817</v>
      </c>
      <c r="BL29" s="8">
        <v>19867</v>
      </c>
      <c r="BM29" s="8">
        <v>20320</v>
      </c>
      <c r="BN29" s="26">
        <v>20746</v>
      </c>
      <c r="BO29" s="26">
        <v>20825</v>
      </c>
      <c r="BP29" s="26">
        <v>20544</v>
      </c>
      <c r="BQ29" s="183">
        <v>21092</v>
      </c>
      <c r="BR29" s="183">
        <v>20603</v>
      </c>
      <c r="BS29" s="180">
        <v>21517</v>
      </c>
    </row>
    <row r="30" spans="1:72" ht="15" customHeight="1">
      <c r="A30" s="21"/>
      <c r="B30" s="7" t="s">
        <v>28</v>
      </c>
      <c r="C30" s="7" t="s">
        <v>423</v>
      </c>
      <c r="D30" s="13">
        <v>1522</v>
      </c>
      <c r="E30" s="13">
        <v>1339</v>
      </c>
      <c r="F30" s="13">
        <v>1133</v>
      </c>
      <c r="G30" s="13">
        <v>247</v>
      </c>
      <c r="H30" s="13">
        <v>202</v>
      </c>
      <c r="I30" s="13">
        <v>202</v>
      </c>
      <c r="J30" s="13">
        <v>203</v>
      </c>
      <c r="K30" s="13">
        <v>3555</v>
      </c>
      <c r="L30" s="13">
        <v>3500</v>
      </c>
      <c r="M30" s="13">
        <v>3500</v>
      </c>
      <c r="N30" s="13">
        <v>3499</v>
      </c>
      <c r="O30" s="13">
        <v>5237</v>
      </c>
      <c r="P30" s="13">
        <v>5237</v>
      </c>
      <c r="Q30" s="13">
        <v>5237</v>
      </c>
      <c r="R30" s="13">
        <v>5237</v>
      </c>
      <c r="S30" s="13"/>
      <c r="T30" s="13"/>
      <c r="U30" s="13"/>
      <c r="V30" s="13">
        <v>5237</v>
      </c>
      <c r="W30" s="13">
        <v>5237</v>
      </c>
      <c r="X30" s="13">
        <v>5237</v>
      </c>
      <c r="Y30" s="13">
        <v>8325</v>
      </c>
      <c r="Z30" s="12">
        <v>13397</v>
      </c>
      <c r="AA30" s="12">
        <v>14570</v>
      </c>
      <c r="AB30" s="12">
        <v>16703</v>
      </c>
      <c r="AC30" s="12">
        <v>17805</v>
      </c>
      <c r="AD30" s="12">
        <v>18686</v>
      </c>
      <c r="AE30" s="12">
        <v>19427</v>
      </c>
      <c r="AF30" s="12">
        <v>20342</v>
      </c>
      <c r="AG30" s="12">
        <v>20704</v>
      </c>
      <c r="AH30" s="12">
        <v>21279</v>
      </c>
      <c r="AI30" s="12">
        <v>21585</v>
      </c>
      <c r="AJ30" s="12">
        <v>22301</v>
      </c>
      <c r="AK30" s="12">
        <v>22539</v>
      </c>
      <c r="AL30" s="12">
        <v>22513</v>
      </c>
      <c r="AM30" s="12">
        <v>23080</v>
      </c>
      <c r="AN30" s="12">
        <v>23499</v>
      </c>
      <c r="AO30" s="26">
        <v>21444</v>
      </c>
      <c r="AP30" s="26">
        <v>21374</v>
      </c>
      <c r="AQ30" s="26">
        <v>21441</v>
      </c>
      <c r="AR30" s="26">
        <v>21344</v>
      </c>
      <c r="AS30" s="26">
        <v>21547</v>
      </c>
      <c r="AT30" s="26">
        <v>21473</v>
      </c>
      <c r="AU30" s="26">
        <v>21344</v>
      </c>
      <c r="AV30" s="26">
        <v>21348</v>
      </c>
      <c r="AW30" s="26">
        <v>21887</v>
      </c>
      <c r="AX30" s="26">
        <v>21883</v>
      </c>
      <c r="AY30" s="26">
        <v>21883</v>
      </c>
      <c r="AZ30" s="26">
        <v>68438</v>
      </c>
      <c r="BA30" s="8">
        <v>71422</v>
      </c>
      <c r="BB30" s="8">
        <v>81624</v>
      </c>
      <c r="BC30" s="8">
        <v>82145</v>
      </c>
      <c r="BD30" s="8">
        <v>68443</v>
      </c>
      <c r="BE30" s="8">
        <v>76702</v>
      </c>
      <c r="BF30" s="8">
        <v>83892</v>
      </c>
      <c r="BG30" s="8">
        <v>85996</v>
      </c>
      <c r="BH30" s="8">
        <v>87706</v>
      </c>
      <c r="BI30" s="8">
        <v>71002</v>
      </c>
      <c r="BJ30" s="8">
        <v>71891</v>
      </c>
      <c r="BK30" s="8">
        <v>72798</v>
      </c>
      <c r="BL30" s="8">
        <v>66303</v>
      </c>
      <c r="BM30" s="8">
        <v>70023</v>
      </c>
      <c r="BN30" s="26">
        <v>63079</v>
      </c>
      <c r="BO30" s="26">
        <v>64186</v>
      </c>
      <c r="BP30" s="26">
        <v>57395</v>
      </c>
      <c r="BQ30" s="183">
        <v>52374</v>
      </c>
      <c r="BR30" s="183">
        <v>138830</v>
      </c>
      <c r="BS30" s="180">
        <v>211593</v>
      </c>
    </row>
    <row r="31" spans="1:72" ht="15" customHeight="1">
      <c r="A31" s="21"/>
      <c r="B31" s="7" t="s">
        <v>2</v>
      </c>
      <c r="C31" s="7" t="s">
        <v>435</v>
      </c>
      <c r="D31" s="13">
        <v>16474</v>
      </c>
      <c r="E31" s="13">
        <v>11713</v>
      </c>
      <c r="F31" s="13">
        <v>11386</v>
      </c>
      <c r="G31" s="13">
        <v>7244</v>
      </c>
      <c r="H31" s="13">
        <v>13117</v>
      </c>
      <c r="I31" s="13">
        <v>16764</v>
      </c>
      <c r="J31" s="13">
        <v>16893</v>
      </c>
      <c r="K31" s="13">
        <v>13185</v>
      </c>
      <c r="L31" s="13">
        <v>15034</v>
      </c>
      <c r="M31" s="13">
        <v>15087</v>
      </c>
      <c r="N31" s="13">
        <v>14113</v>
      </c>
      <c r="O31" s="13">
        <v>14690</v>
      </c>
      <c r="P31" s="13">
        <v>18576</v>
      </c>
      <c r="Q31" s="13">
        <v>19066</v>
      </c>
      <c r="R31" s="13">
        <v>22219</v>
      </c>
      <c r="S31" s="13"/>
      <c r="T31" s="13"/>
      <c r="U31" s="13"/>
      <c r="V31" s="13">
        <v>26476</v>
      </c>
      <c r="W31" s="13">
        <v>26173</v>
      </c>
      <c r="X31" s="13">
        <v>30653</v>
      </c>
      <c r="Y31" s="13">
        <v>25410</v>
      </c>
      <c r="Z31" s="12">
        <v>24902</v>
      </c>
      <c r="AA31" s="12">
        <v>24090</v>
      </c>
      <c r="AB31" s="12">
        <v>24178</v>
      </c>
      <c r="AC31" s="12">
        <v>28130</v>
      </c>
      <c r="AD31" s="12">
        <v>34767</v>
      </c>
      <c r="AE31" s="12">
        <v>35472</v>
      </c>
      <c r="AF31" s="12">
        <v>49082</v>
      </c>
      <c r="AG31" s="12">
        <v>53743</v>
      </c>
      <c r="AH31" s="12">
        <v>66581</v>
      </c>
      <c r="AI31" s="12">
        <v>74328</v>
      </c>
      <c r="AJ31" s="12">
        <v>78275</v>
      </c>
      <c r="AK31" s="12">
        <v>76389</v>
      </c>
      <c r="AL31" s="12">
        <v>61275</v>
      </c>
      <c r="AM31" s="12">
        <v>58746</v>
      </c>
      <c r="AN31" s="12">
        <v>64155</v>
      </c>
      <c r="AO31" s="26">
        <v>66440</v>
      </c>
      <c r="AP31" s="26">
        <v>68489</v>
      </c>
      <c r="AQ31" s="26">
        <v>70981</v>
      </c>
      <c r="AR31" s="26">
        <v>71247</v>
      </c>
      <c r="AS31" s="26">
        <v>81145</v>
      </c>
      <c r="AT31" s="26">
        <v>88480</v>
      </c>
      <c r="AU31" s="26">
        <v>105410</v>
      </c>
      <c r="AV31" s="26">
        <v>114331</v>
      </c>
      <c r="AW31" s="26">
        <v>116577</v>
      </c>
      <c r="AX31" s="26">
        <v>104465</v>
      </c>
      <c r="AY31" s="26">
        <v>115369</v>
      </c>
      <c r="AZ31" s="26">
        <v>115959</v>
      </c>
      <c r="BA31" s="8">
        <v>114827</v>
      </c>
      <c r="BB31" s="8">
        <v>115533</v>
      </c>
      <c r="BC31" s="8">
        <v>122020</v>
      </c>
      <c r="BD31" s="8">
        <v>123791</v>
      </c>
      <c r="BE31" s="8">
        <v>138489</v>
      </c>
      <c r="BF31" s="8">
        <v>103855</v>
      </c>
      <c r="BG31" s="8">
        <v>98178</v>
      </c>
      <c r="BH31" s="8">
        <v>90915</v>
      </c>
      <c r="BI31" s="8">
        <v>85817</v>
      </c>
      <c r="BJ31" s="8">
        <v>93644</v>
      </c>
      <c r="BK31" s="8">
        <v>65873</v>
      </c>
      <c r="BL31" s="8">
        <v>60539</v>
      </c>
      <c r="BM31" s="8">
        <v>65506</v>
      </c>
      <c r="BN31" s="26">
        <v>75117</v>
      </c>
      <c r="BO31" s="26">
        <v>59417</v>
      </c>
      <c r="BP31" s="26">
        <v>87055</v>
      </c>
      <c r="BQ31" s="183">
        <v>67876</v>
      </c>
      <c r="BR31" s="183">
        <v>103440</v>
      </c>
      <c r="BS31" s="180">
        <v>89591</v>
      </c>
    </row>
    <row r="32" spans="1:72" ht="15" customHeight="1">
      <c r="A32" s="21"/>
      <c r="B32" s="7" t="s">
        <v>27</v>
      </c>
      <c r="C32" s="7" t="s">
        <v>426</v>
      </c>
      <c r="D32" s="13">
        <v>1243</v>
      </c>
      <c r="E32" s="13">
        <v>405</v>
      </c>
      <c r="F32" s="13">
        <v>341</v>
      </c>
      <c r="G32" s="13">
        <v>135</v>
      </c>
      <c r="H32" s="13">
        <v>140</v>
      </c>
      <c r="I32" s="13">
        <v>137</v>
      </c>
      <c r="J32" s="13">
        <v>151</v>
      </c>
      <c r="K32" s="13">
        <v>147</v>
      </c>
      <c r="L32" s="13">
        <v>150</v>
      </c>
      <c r="M32" s="13">
        <v>232</v>
      </c>
      <c r="N32" s="13">
        <v>252</v>
      </c>
      <c r="O32" s="13">
        <v>4932</v>
      </c>
      <c r="P32" s="13">
        <v>3051</v>
      </c>
      <c r="Q32" s="13">
        <v>2663</v>
      </c>
      <c r="R32" s="13">
        <v>2642</v>
      </c>
      <c r="S32" s="13"/>
      <c r="T32" s="13"/>
      <c r="U32" s="13"/>
      <c r="V32" s="13">
        <v>2536</v>
      </c>
      <c r="W32" s="13">
        <v>3192</v>
      </c>
      <c r="X32" s="13">
        <v>3137</v>
      </c>
      <c r="Y32" s="13">
        <v>3345</v>
      </c>
      <c r="Z32" s="12">
        <v>2455</v>
      </c>
      <c r="AA32" s="12">
        <v>2836</v>
      </c>
      <c r="AB32" s="12">
        <v>2080</v>
      </c>
      <c r="AC32" s="12">
        <v>2439</v>
      </c>
      <c r="AD32" s="12">
        <v>2063</v>
      </c>
      <c r="AE32" s="12">
        <v>2613</v>
      </c>
      <c r="AF32" s="12">
        <v>4332</v>
      </c>
      <c r="AG32" s="12">
        <v>4815</v>
      </c>
      <c r="AH32" s="12">
        <v>5501</v>
      </c>
      <c r="AI32" s="12">
        <v>5315</v>
      </c>
      <c r="AJ32" s="12">
        <v>10056</v>
      </c>
      <c r="AK32" s="12">
        <v>15302</v>
      </c>
      <c r="AL32" s="12">
        <v>38427</v>
      </c>
      <c r="AM32" s="12">
        <v>38582</v>
      </c>
      <c r="AN32" s="12">
        <v>43969</v>
      </c>
      <c r="AO32" s="26">
        <v>44275</v>
      </c>
      <c r="AP32" s="26">
        <v>2749</v>
      </c>
      <c r="AQ32" s="26">
        <v>2450</v>
      </c>
      <c r="AR32" s="26">
        <v>2949</v>
      </c>
      <c r="AS32" s="26">
        <v>4739</v>
      </c>
      <c r="AT32" s="26">
        <v>2616</v>
      </c>
      <c r="AU32" s="26">
        <v>3413</v>
      </c>
      <c r="AV32" s="26">
        <v>3636</v>
      </c>
      <c r="AW32" s="26">
        <v>3221</v>
      </c>
      <c r="AX32" s="26">
        <v>3932</v>
      </c>
      <c r="AY32" s="26">
        <v>2888</v>
      </c>
      <c r="AZ32" s="26">
        <v>3053</v>
      </c>
      <c r="BA32" s="8">
        <v>2847</v>
      </c>
      <c r="BB32" s="8">
        <v>4477</v>
      </c>
      <c r="BC32" s="8">
        <v>3369</v>
      </c>
      <c r="BD32" s="8">
        <v>2244</v>
      </c>
      <c r="BE32" s="8">
        <v>2075</v>
      </c>
      <c r="BF32" s="8">
        <v>7271</v>
      </c>
      <c r="BG32" s="8">
        <v>11546</v>
      </c>
      <c r="BH32" s="8">
        <v>9810</v>
      </c>
      <c r="BI32" s="8">
        <v>10804</v>
      </c>
      <c r="BJ32" s="8">
        <v>13525</v>
      </c>
      <c r="BK32" s="8">
        <v>17530</v>
      </c>
      <c r="BL32" s="8">
        <v>16211</v>
      </c>
      <c r="BM32" s="8">
        <v>13339</v>
      </c>
      <c r="BN32" s="26">
        <v>19829</v>
      </c>
      <c r="BO32" s="26">
        <v>13975</v>
      </c>
      <c r="BP32" s="26">
        <v>13251</v>
      </c>
      <c r="BQ32" s="183">
        <v>17129</v>
      </c>
      <c r="BR32" s="183">
        <v>17848</v>
      </c>
      <c r="BS32" s="180">
        <v>17523</v>
      </c>
    </row>
    <row r="33" spans="1:71" ht="15" customHeight="1">
      <c r="A33" s="21"/>
      <c r="B33" s="7" t="s">
        <v>61</v>
      </c>
      <c r="C33" s="7" t="s">
        <v>420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2">
        <v>469</v>
      </c>
      <c r="AG33" s="12">
        <v>400</v>
      </c>
      <c r="AH33" s="12">
        <v>323</v>
      </c>
      <c r="AI33" s="13">
        <v>241</v>
      </c>
      <c r="AJ33" s="13">
        <v>158</v>
      </c>
      <c r="AK33" s="13">
        <v>0</v>
      </c>
      <c r="AL33" s="12">
        <v>739</v>
      </c>
      <c r="AM33" s="12">
        <v>909</v>
      </c>
      <c r="AN33" s="12">
        <v>1116</v>
      </c>
      <c r="AO33" s="26">
        <v>1492</v>
      </c>
      <c r="AP33" s="26">
        <v>1830</v>
      </c>
      <c r="AQ33" s="26">
        <v>2294</v>
      </c>
      <c r="AR33" s="26">
        <v>2377</v>
      </c>
      <c r="AS33" s="26">
        <v>2665</v>
      </c>
      <c r="AT33" s="26">
        <v>3115</v>
      </c>
      <c r="AU33" s="26">
        <v>3598</v>
      </c>
      <c r="AV33" s="26">
        <v>3743</v>
      </c>
      <c r="AW33" s="26">
        <v>4669</v>
      </c>
      <c r="AX33" s="26">
        <v>5622</v>
      </c>
      <c r="AY33" s="26">
        <v>7301</v>
      </c>
      <c r="AZ33" s="26">
        <v>7763</v>
      </c>
      <c r="BA33" s="8">
        <v>8329</v>
      </c>
      <c r="BB33" s="8">
        <v>8573</v>
      </c>
      <c r="BC33" s="8">
        <v>9882</v>
      </c>
      <c r="BD33" s="8">
        <v>10206</v>
      </c>
      <c r="BE33" s="8">
        <v>11089</v>
      </c>
      <c r="BF33" s="8">
        <v>11940</v>
      </c>
      <c r="BG33" s="8">
        <v>13668</v>
      </c>
      <c r="BH33" s="8">
        <v>13632</v>
      </c>
      <c r="BI33" s="8">
        <v>13677</v>
      </c>
      <c r="BJ33" s="8">
        <v>13538</v>
      </c>
      <c r="BK33" s="8">
        <v>13403</v>
      </c>
      <c r="BL33" s="8">
        <v>13519</v>
      </c>
      <c r="BM33" s="8">
        <v>13350</v>
      </c>
      <c r="BN33" s="26">
        <v>13303</v>
      </c>
      <c r="BO33" s="26">
        <v>11029</v>
      </c>
      <c r="BP33" s="26">
        <v>11182</v>
      </c>
      <c r="BQ33" s="183">
        <v>11037</v>
      </c>
      <c r="BR33" s="183">
        <v>10979</v>
      </c>
      <c r="BS33" s="180">
        <v>11544</v>
      </c>
    </row>
    <row r="34" spans="1:71" ht="15" customHeight="1">
      <c r="A34" s="21"/>
      <c r="B34" s="7" t="s">
        <v>76</v>
      </c>
      <c r="C34" s="7" t="s">
        <v>436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23178</v>
      </c>
      <c r="AK34" s="13">
        <v>22437</v>
      </c>
      <c r="AL34" s="13">
        <v>0</v>
      </c>
      <c r="AM34" s="13">
        <v>0</v>
      </c>
      <c r="AN34" s="13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1972</v>
      </c>
      <c r="AU34" s="26">
        <v>2589</v>
      </c>
      <c r="AV34" s="26">
        <v>3712</v>
      </c>
      <c r="AW34" s="26">
        <v>3840</v>
      </c>
      <c r="AX34" s="26">
        <v>3656</v>
      </c>
      <c r="AY34" s="26">
        <v>3947</v>
      </c>
      <c r="AZ34" s="26">
        <v>3442.1499999999996</v>
      </c>
      <c r="BA34" s="8">
        <v>3009</v>
      </c>
      <c r="BB34" s="8">
        <v>1722</v>
      </c>
      <c r="BC34" s="8">
        <v>3296</v>
      </c>
      <c r="BD34" s="8">
        <v>3575</v>
      </c>
      <c r="BE34" s="8">
        <v>3606</v>
      </c>
      <c r="BF34" s="8">
        <v>2138</v>
      </c>
      <c r="BG34" s="8">
        <v>2133</v>
      </c>
      <c r="BH34" s="8">
        <v>1945</v>
      </c>
      <c r="BI34" s="8">
        <v>2057</v>
      </c>
      <c r="BJ34" s="8">
        <v>2038</v>
      </c>
      <c r="BK34" s="8">
        <v>2121</v>
      </c>
      <c r="BL34" s="8">
        <v>2374</v>
      </c>
      <c r="BM34" s="8">
        <v>2392</v>
      </c>
      <c r="BN34" s="26">
        <v>2678</v>
      </c>
      <c r="BO34" s="26">
        <v>2511</v>
      </c>
      <c r="BP34" s="26">
        <v>2417</v>
      </c>
      <c r="BQ34" s="183">
        <v>2398</v>
      </c>
      <c r="BR34" s="183">
        <v>1826</v>
      </c>
      <c r="BS34" s="180">
        <v>1776</v>
      </c>
    </row>
    <row r="35" spans="1:71" ht="15" customHeight="1">
      <c r="A35" s="21"/>
      <c r="B35" s="7" t="s">
        <v>351</v>
      </c>
      <c r="C35" s="7" t="s">
        <v>437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/>
      <c r="T35" s="13"/>
      <c r="U35" s="13"/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8">
        <v>83449</v>
      </c>
      <c r="BL35" s="8">
        <v>92057</v>
      </c>
      <c r="BM35" s="8">
        <v>93869</v>
      </c>
      <c r="BN35" s="26">
        <v>99502</v>
      </c>
      <c r="BO35" s="26">
        <v>113465</v>
      </c>
      <c r="BP35" s="26">
        <v>117560</v>
      </c>
      <c r="BQ35" s="183">
        <v>117987</v>
      </c>
      <c r="BR35" s="183">
        <v>133172</v>
      </c>
      <c r="BS35" s="180">
        <v>122901</v>
      </c>
    </row>
    <row r="36" spans="1:71" ht="15" customHeight="1">
      <c r="A36" s="21"/>
      <c r="B36" s="7" t="s">
        <v>48</v>
      </c>
      <c r="C36" s="7" t="s">
        <v>430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100263</v>
      </c>
      <c r="P36" s="13">
        <v>101882</v>
      </c>
      <c r="Q36" s="13">
        <v>101801</v>
      </c>
      <c r="R36" s="13">
        <v>0</v>
      </c>
      <c r="S36" s="13"/>
      <c r="T36" s="13"/>
      <c r="U36" s="13"/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8">
        <v>139016</v>
      </c>
      <c r="BB36" s="8">
        <v>123891</v>
      </c>
      <c r="BC36" s="8">
        <v>127262</v>
      </c>
      <c r="BD36" s="8">
        <v>235943</v>
      </c>
      <c r="BE36" s="8">
        <v>191320</v>
      </c>
      <c r="BF36" s="8">
        <v>128423</v>
      </c>
      <c r="BG36" s="8">
        <v>128417</v>
      </c>
      <c r="BH36" s="8">
        <v>134297</v>
      </c>
      <c r="BI36" s="8">
        <v>134313</v>
      </c>
      <c r="BJ36" s="8">
        <v>180780</v>
      </c>
      <c r="BK36" s="8">
        <v>176455</v>
      </c>
      <c r="BL36" s="8">
        <v>186611</v>
      </c>
      <c r="BM36" s="8">
        <v>190705</v>
      </c>
      <c r="BN36" s="26">
        <v>154726</v>
      </c>
      <c r="BO36" s="26">
        <v>112376</v>
      </c>
      <c r="BP36" s="26">
        <v>109741</v>
      </c>
      <c r="BQ36" s="183">
        <v>106061</v>
      </c>
      <c r="BR36" s="183">
        <v>86958</v>
      </c>
      <c r="BS36" s="180">
        <v>81367</v>
      </c>
    </row>
    <row r="37" spans="1:71" ht="15" customHeight="1">
      <c r="B37" s="7"/>
      <c r="C37" s="7"/>
      <c r="D37" s="50">
        <f t="shared" ref="D37:BO37" si="2">SUM(D28:D36)</f>
        <v>25780</v>
      </c>
      <c r="E37" s="50">
        <f t="shared" si="2"/>
        <v>15075</v>
      </c>
      <c r="F37" s="50">
        <f t="shared" si="2"/>
        <v>20053</v>
      </c>
      <c r="G37" s="50">
        <f t="shared" si="2"/>
        <v>15453</v>
      </c>
      <c r="H37" s="50">
        <f t="shared" si="2"/>
        <v>21513</v>
      </c>
      <c r="I37" s="50">
        <f t="shared" si="2"/>
        <v>25735</v>
      </c>
      <c r="J37" s="50">
        <f t="shared" si="2"/>
        <v>26629</v>
      </c>
      <c r="K37" s="50">
        <f t="shared" si="2"/>
        <v>29166</v>
      </c>
      <c r="L37" s="50">
        <f t="shared" si="2"/>
        <v>31834</v>
      </c>
      <c r="M37" s="50">
        <f t="shared" si="2"/>
        <v>39923</v>
      </c>
      <c r="N37" s="50">
        <f t="shared" si="2"/>
        <v>39594</v>
      </c>
      <c r="O37" s="50">
        <f t="shared" si="2"/>
        <v>144923</v>
      </c>
      <c r="P37" s="50">
        <f t="shared" si="2"/>
        <v>155934</v>
      </c>
      <c r="Q37" s="50">
        <f t="shared" si="2"/>
        <v>156365</v>
      </c>
      <c r="R37" s="50">
        <f t="shared" si="2"/>
        <v>57923</v>
      </c>
      <c r="S37" s="50">
        <f t="shared" si="2"/>
        <v>0</v>
      </c>
      <c r="T37" s="50">
        <f t="shared" si="2"/>
        <v>0</v>
      </c>
      <c r="U37" s="50">
        <f t="shared" si="2"/>
        <v>0</v>
      </c>
      <c r="V37" s="50">
        <f t="shared" si="2"/>
        <v>62743</v>
      </c>
      <c r="W37" s="50">
        <f t="shared" si="2"/>
        <v>63373</v>
      </c>
      <c r="X37" s="50">
        <f t="shared" si="2"/>
        <v>68778</v>
      </c>
      <c r="Y37" s="50">
        <f t="shared" si="2"/>
        <v>67865</v>
      </c>
      <c r="Z37" s="50">
        <f t="shared" si="2"/>
        <v>74140</v>
      </c>
      <c r="AA37" s="50">
        <f t="shared" si="2"/>
        <v>77735</v>
      </c>
      <c r="AB37" s="50">
        <f t="shared" si="2"/>
        <v>84329</v>
      </c>
      <c r="AC37" s="50">
        <f t="shared" si="2"/>
        <v>94361</v>
      </c>
      <c r="AD37" s="50">
        <f t="shared" si="2"/>
        <v>99932</v>
      </c>
      <c r="AE37" s="50">
        <f t="shared" si="2"/>
        <v>105327</v>
      </c>
      <c r="AF37" s="50">
        <f t="shared" si="2"/>
        <v>121194</v>
      </c>
      <c r="AG37" s="50">
        <f t="shared" si="2"/>
        <v>129326</v>
      </c>
      <c r="AH37" s="50">
        <f t="shared" si="2"/>
        <v>143693</v>
      </c>
      <c r="AI37" s="50">
        <f t="shared" si="2"/>
        <v>157578</v>
      </c>
      <c r="AJ37" s="50">
        <f t="shared" si="2"/>
        <v>191664</v>
      </c>
      <c r="AK37" s="50">
        <f t="shared" si="2"/>
        <v>193105</v>
      </c>
      <c r="AL37" s="50">
        <f t="shared" si="2"/>
        <v>179337</v>
      </c>
      <c r="AM37" s="50">
        <f t="shared" si="2"/>
        <v>175337</v>
      </c>
      <c r="AN37" s="50">
        <f t="shared" si="2"/>
        <v>189244</v>
      </c>
      <c r="AO37" s="50">
        <f t="shared" si="2"/>
        <v>189279</v>
      </c>
      <c r="AP37" s="50">
        <f t="shared" si="2"/>
        <v>148614</v>
      </c>
      <c r="AQ37" s="50">
        <f t="shared" si="2"/>
        <v>148645</v>
      </c>
      <c r="AR37" s="50">
        <f t="shared" si="2"/>
        <v>149310</v>
      </c>
      <c r="AS37" s="50">
        <f t="shared" si="2"/>
        <v>160093</v>
      </c>
      <c r="AT37" s="50">
        <f t="shared" si="2"/>
        <v>165685</v>
      </c>
      <c r="AU37" s="50">
        <f t="shared" si="2"/>
        <v>178943</v>
      </c>
      <c r="AV37" s="50">
        <f t="shared" si="2"/>
        <v>188985</v>
      </c>
      <c r="AW37" s="50">
        <f t="shared" si="2"/>
        <v>179495</v>
      </c>
      <c r="AX37" s="50">
        <f t="shared" si="2"/>
        <v>184387</v>
      </c>
      <c r="AY37" s="50">
        <f t="shared" si="2"/>
        <v>187134</v>
      </c>
      <c r="AZ37" s="50">
        <f t="shared" si="2"/>
        <v>223318.15</v>
      </c>
      <c r="BA37" s="50">
        <f t="shared" si="2"/>
        <v>363958</v>
      </c>
      <c r="BB37" s="50">
        <f t="shared" si="2"/>
        <v>382627</v>
      </c>
      <c r="BC37" s="50">
        <f t="shared" si="2"/>
        <v>372483</v>
      </c>
      <c r="BD37" s="50">
        <f t="shared" si="2"/>
        <v>468526</v>
      </c>
      <c r="BE37" s="50">
        <f t="shared" si="2"/>
        <v>446696</v>
      </c>
      <c r="BF37" s="50">
        <f t="shared" si="2"/>
        <v>360702</v>
      </c>
      <c r="BG37" s="50">
        <f t="shared" si="2"/>
        <v>366177</v>
      </c>
      <c r="BH37" s="50">
        <f t="shared" si="2"/>
        <v>364953</v>
      </c>
      <c r="BI37" s="50">
        <f t="shared" si="2"/>
        <v>339116</v>
      </c>
      <c r="BJ37" s="50">
        <f t="shared" si="2"/>
        <v>395183</v>
      </c>
      <c r="BK37" s="50">
        <f t="shared" si="2"/>
        <v>451446</v>
      </c>
      <c r="BL37" s="50">
        <f t="shared" si="2"/>
        <v>457481</v>
      </c>
      <c r="BM37" s="50">
        <f t="shared" si="2"/>
        <v>469504</v>
      </c>
      <c r="BN37" s="50">
        <f t="shared" si="2"/>
        <v>448980</v>
      </c>
      <c r="BO37" s="50">
        <f t="shared" si="2"/>
        <v>397784</v>
      </c>
      <c r="BP37" s="50">
        <f>SUM(BP28:BP36)</f>
        <v>419145</v>
      </c>
      <c r="BQ37" s="185">
        <f>SUM(BQ28:BQ36)</f>
        <v>395954</v>
      </c>
      <c r="BR37" s="185">
        <f>SUM(BR28:BR36)</f>
        <v>513656</v>
      </c>
      <c r="BS37" s="185">
        <f>SUM(BS28:BS36)</f>
        <v>557812</v>
      </c>
    </row>
    <row r="38" spans="1:71" ht="15" customHeight="1">
      <c r="A38" s="21"/>
      <c r="B38" s="7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7"/>
      <c r="T38" s="7"/>
      <c r="U38" s="7"/>
      <c r="V38" s="10"/>
      <c r="W38" s="10"/>
      <c r="X38" s="10"/>
      <c r="Y38" s="10"/>
      <c r="Z38" s="10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BA38" s="8"/>
      <c r="BB38" s="8"/>
      <c r="BC38" s="8"/>
      <c r="BQ38" s="182"/>
      <c r="BR38" s="182"/>
      <c r="BS38" s="182"/>
    </row>
    <row r="39" spans="1:71" ht="15" customHeight="1">
      <c r="A39" s="21"/>
      <c r="B39" s="7" t="s">
        <v>4</v>
      </c>
      <c r="C39" s="7" t="s">
        <v>438</v>
      </c>
      <c r="D39" s="13">
        <v>0</v>
      </c>
      <c r="E39" s="13">
        <v>148655</v>
      </c>
      <c r="F39" s="13">
        <v>1734</v>
      </c>
      <c r="G39" s="13">
        <v>2282</v>
      </c>
      <c r="H39" s="13">
        <v>3000</v>
      </c>
      <c r="I39" s="13">
        <v>2945</v>
      </c>
      <c r="J39" s="13">
        <v>3757</v>
      </c>
      <c r="K39" s="13">
        <v>3429</v>
      </c>
      <c r="L39" s="13">
        <v>3401</v>
      </c>
      <c r="M39" s="13">
        <v>3764</v>
      </c>
      <c r="N39" s="13">
        <v>4756</v>
      </c>
      <c r="O39" s="13">
        <v>24199</v>
      </c>
      <c r="P39" s="13">
        <v>23747</v>
      </c>
      <c r="Q39" s="13">
        <v>23929</v>
      </c>
      <c r="R39" s="13">
        <v>26207</v>
      </c>
      <c r="S39" s="13"/>
      <c r="T39" s="13"/>
      <c r="U39" s="13"/>
      <c r="V39" s="13">
        <v>24048</v>
      </c>
      <c r="W39" s="13">
        <v>25381</v>
      </c>
      <c r="X39" s="13">
        <v>22406</v>
      </c>
      <c r="Y39" s="13">
        <v>16289</v>
      </c>
      <c r="Z39" s="13">
        <v>22502</v>
      </c>
      <c r="AA39" s="13">
        <v>21683</v>
      </c>
      <c r="AB39" s="13">
        <v>22414</v>
      </c>
      <c r="AC39" s="13">
        <v>21672</v>
      </c>
      <c r="AD39" s="13">
        <v>26284</v>
      </c>
      <c r="AE39" s="12">
        <v>26102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2">
        <v>5807</v>
      </c>
      <c r="AL39" s="12">
        <v>39006</v>
      </c>
      <c r="AM39" s="12">
        <v>38776</v>
      </c>
      <c r="AN39" s="12">
        <v>41721</v>
      </c>
      <c r="AO39" s="26">
        <v>42321</v>
      </c>
      <c r="AP39" s="26">
        <v>42809</v>
      </c>
      <c r="AQ39" s="26">
        <v>42015</v>
      </c>
      <c r="AR39" s="26">
        <v>39898</v>
      </c>
      <c r="AS39" s="26">
        <v>41772</v>
      </c>
      <c r="AT39" s="26">
        <v>44595</v>
      </c>
      <c r="AU39" s="26">
        <v>56223</v>
      </c>
      <c r="AV39" s="26">
        <v>59188</v>
      </c>
      <c r="AW39" s="26">
        <v>63748</v>
      </c>
      <c r="AX39" s="26">
        <v>62871</v>
      </c>
      <c r="AY39" s="26">
        <v>66112</v>
      </c>
      <c r="AZ39" s="26">
        <v>58077</v>
      </c>
      <c r="BA39" s="8">
        <v>61065</v>
      </c>
      <c r="BB39" s="8">
        <v>62369</v>
      </c>
      <c r="BC39" s="8">
        <v>53671</v>
      </c>
      <c r="BD39" s="8">
        <v>53299</v>
      </c>
      <c r="BE39" s="8">
        <v>51162</v>
      </c>
      <c r="BF39" s="8">
        <v>62122</v>
      </c>
      <c r="BG39" s="8">
        <v>55617</v>
      </c>
      <c r="BH39" s="8">
        <v>52401</v>
      </c>
      <c r="BI39" s="8">
        <v>53318</v>
      </c>
      <c r="BJ39" s="8">
        <v>18886</v>
      </c>
      <c r="BK39" s="8">
        <v>2430</v>
      </c>
      <c r="BL39" s="8">
        <v>2478</v>
      </c>
      <c r="BM39" s="8">
        <v>2285</v>
      </c>
      <c r="BN39" s="26">
        <v>2074</v>
      </c>
      <c r="BO39" s="26" t="s">
        <v>350</v>
      </c>
      <c r="BP39" s="26" t="s">
        <v>350</v>
      </c>
      <c r="BQ39" s="183" t="s">
        <v>350</v>
      </c>
      <c r="BR39" s="183" t="s">
        <v>350</v>
      </c>
      <c r="BS39" s="183" t="s">
        <v>350</v>
      </c>
    </row>
    <row r="40" spans="1:71" ht="15" customHeight="1">
      <c r="A40" s="21"/>
      <c r="B40" s="7" t="s">
        <v>29</v>
      </c>
      <c r="C40" s="7" t="s">
        <v>439</v>
      </c>
      <c r="D40" s="13">
        <v>243162</v>
      </c>
      <c r="E40" s="13">
        <v>241574</v>
      </c>
      <c r="F40" s="13">
        <v>233520</v>
      </c>
      <c r="G40" s="13">
        <v>232029</v>
      </c>
      <c r="H40" s="13">
        <v>231396</v>
      </c>
      <c r="I40" s="13">
        <v>230707</v>
      </c>
      <c r="J40" s="13">
        <v>239147</v>
      </c>
      <c r="K40" s="13">
        <v>246750</v>
      </c>
      <c r="L40" s="13">
        <v>252389</v>
      </c>
      <c r="M40" s="13">
        <v>254937</v>
      </c>
      <c r="N40" s="13">
        <v>248641</v>
      </c>
      <c r="O40" s="13">
        <v>335576</v>
      </c>
      <c r="P40" s="13">
        <v>334385</v>
      </c>
      <c r="Q40" s="13">
        <v>338148</v>
      </c>
      <c r="R40" s="13">
        <v>334394</v>
      </c>
      <c r="S40" s="13"/>
      <c r="T40" s="13"/>
      <c r="U40" s="13"/>
      <c r="V40" s="13">
        <v>337013</v>
      </c>
      <c r="W40" s="13">
        <v>360199</v>
      </c>
      <c r="X40" s="13">
        <v>364955</v>
      </c>
      <c r="Y40" s="13">
        <v>384261</v>
      </c>
      <c r="Z40" s="13">
        <v>367129</v>
      </c>
      <c r="AA40" s="13">
        <v>403006</v>
      </c>
      <c r="AB40" s="13">
        <v>401541</v>
      </c>
      <c r="AC40" s="13">
        <v>435281</v>
      </c>
      <c r="AD40" s="13">
        <v>428564</v>
      </c>
      <c r="AE40" s="12">
        <v>418557</v>
      </c>
      <c r="AF40" s="12">
        <v>407916</v>
      </c>
      <c r="AG40" s="12">
        <v>411067</v>
      </c>
      <c r="AH40" s="12">
        <v>400460</v>
      </c>
      <c r="AI40" s="12">
        <v>384002</v>
      </c>
      <c r="AJ40" s="12">
        <v>379637</v>
      </c>
      <c r="AK40" s="12">
        <v>360759</v>
      </c>
      <c r="AL40" s="12">
        <v>364250</v>
      </c>
      <c r="AM40" s="12">
        <v>357408</v>
      </c>
      <c r="AN40" s="12">
        <v>367120</v>
      </c>
      <c r="AO40" s="26">
        <v>367778</v>
      </c>
      <c r="AP40" s="26">
        <v>365507</v>
      </c>
      <c r="AQ40" s="26">
        <v>473382</v>
      </c>
      <c r="AR40" s="26">
        <v>470828</v>
      </c>
      <c r="AS40" s="26">
        <v>488935</v>
      </c>
      <c r="AT40" s="26">
        <v>453837</v>
      </c>
      <c r="AU40" s="26">
        <v>503042</v>
      </c>
      <c r="AV40" s="26">
        <v>507731</v>
      </c>
      <c r="AW40" s="26">
        <v>485768</v>
      </c>
      <c r="AX40" s="26">
        <v>446945</v>
      </c>
      <c r="AY40" s="26">
        <v>462539</v>
      </c>
      <c r="AZ40" s="26">
        <v>405483</v>
      </c>
      <c r="BA40" s="8">
        <v>424994</v>
      </c>
      <c r="BB40" s="8">
        <v>431254</v>
      </c>
      <c r="BC40" s="8">
        <v>402841</v>
      </c>
      <c r="BD40" s="8">
        <v>265581</v>
      </c>
      <c r="BE40" s="8">
        <v>265828</v>
      </c>
      <c r="BF40" s="8">
        <v>262562</v>
      </c>
      <c r="BG40" s="8">
        <v>255152</v>
      </c>
      <c r="BH40" s="8">
        <v>246196</v>
      </c>
      <c r="BI40" s="8">
        <v>243602</v>
      </c>
      <c r="BJ40" s="8">
        <v>207775</v>
      </c>
      <c r="BK40" s="8">
        <v>204714</v>
      </c>
      <c r="BL40" s="8">
        <v>201744</v>
      </c>
      <c r="BM40" s="8">
        <v>216727</v>
      </c>
      <c r="BN40" s="26">
        <v>233969</v>
      </c>
      <c r="BO40" s="26">
        <v>225089.357346926</v>
      </c>
      <c r="BP40" s="26">
        <v>218930</v>
      </c>
      <c r="BQ40" s="183">
        <v>225653</v>
      </c>
      <c r="BR40" s="183">
        <v>240326</v>
      </c>
      <c r="BS40" s="180">
        <v>250654</v>
      </c>
    </row>
    <row r="41" spans="1:71" ht="15" customHeight="1">
      <c r="A41" s="21"/>
      <c r="B41" s="7" t="s">
        <v>30</v>
      </c>
      <c r="C41" s="7" t="s">
        <v>440</v>
      </c>
      <c r="D41" s="13">
        <v>157487</v>
      </c>
      <c r="E41" s="13">
        <v>8292</v>
      </c>
      <c r="F41" s="13">
        <v>170537</v>
      </c>
      <c r="G41" s="13">
        <v>169953</v>
      </c>
      <c r="H41" s="13">
        <v>169161</v>
      </c>
      <c r="I41" s="13">
        <v>168425</v>
      </c>
      <c r="J41" s="13">
        <v>169535</v>
      </c>
      <c r="K41" s="13">
        <v>168963</v>
      </c>
      <c r="L41" s="13">
        <v>169786</v>
      </c>
      <c r="M41" s="13">
        <v>170335</v>
      </c>
      <c r="N41" s="13">
        <v>171150</v>
      </c>
      <c r="O41" s="13">
        <v>172034</v>
      </c>
      <c r="P41" s="13">
        <v>170953</v>
      </c>
      <c r="Q41" s="13">
        <v>176640</v>
      </c>
      <c r="R41" s="13">
        <v>191919</v>
      </c>
      <c r="S41" s="13"/>
      <c r="T41" s="13"/>
      <c r="U41" s="13"/>
      <c r="V41" s="13">
        <v>195150</v>
      </c>
      <c r="W41" s="13">
        <v>192860</v>
      </c>
      <c r="X41" s="13">
        <v>193060</v>
      </c>
      <c r="Y41" s="13">
        <v>195968</v>
      </c>
      <c r="Z41" s="13">
        <v>217709</v>
      </c>
      <c r="AA41" s="13">
        <v>235712</v>
      </c>
      <c r="AB41" s="13">
        <v>358468.8052</v>
      </c>
      <c r="AC41" s="13">
        <v>428093</v>
      </c>
      <c r="AD41" s="13">
        <v>729499</v>
      </c>
      <c r="AE41" s="12">
        <v>676308</v>
      </c>
      <c r="AF41" s="12">
        <v>619637</v>
      </c>
      <c r="AG41" s="12">
        <v>626021</v>
      </c>
      <c r="AH41" s="12">
        <v>627978</v>
      </c>
      <c r="AI41" s="12">
        <v>609247</v>
      </c>
      <c r="AJ41" s="12">
        <v>626341</v>
      </c>
      <c r="AK41" s="12">
        <v>631464</v>
      </c>
      <c r="AL41" s="12">
        <v>617654</v>
      </c>
      <c r="AM41" s="12">
        <v>615815</v>
      </c>
      <c r="AN41" s="12">
        <v>682744</v>
      </c>
      <c r="AO41" s="26">
        <v>701893</v>
      </c>
      <c r="AP41" s="26">
        <v>727924</v>
      </c>
      <c r="AQ41" s="26">
        <v>723953</v>
      </c>
      <c r="AR41" s="26">
        <v>715095</v>
      </c>
      <c r="AS41" s="26">
        <v>758969</v>
      </c>
      <c r="AT41" s="26">
        <v>772189</v>
      </c>
      <c r="AU41" s="26">
        <v>914839</v>
      </c>
      <c r="AV41" s="26">
        <v>868109</v>
      </c>
      <c r="AW41" s="26">
        <v>911361</v>
      </c>
      <c r="AX41" s="26">
        <v>870110</v>
      </c>
      <c r="AY41" s="26">
        <v>935162</v>
      </c>
      <c r="AZ41" s="26">
        <v>848831.85</v>
      </c>
      <c r="BA41" s="8">
        <v>891261</v>
      </c>
      <c r="BB41" s="8">
        <v>894848</v>
      </c>
      <c r="BC41" s="8">
        <v>787752</v>
      </c>
      <c r="BD41" s="8">
        <v>778744</v>
      </c>
      <c r="BE41" s="8">
        <v>717579</v>
      </c>
      <c r="BF41" s="8">
        <v>666246</v>
      </c>
      <c r="BG41" s="8">
        <v>647489</v>
      </c>
      <c r="BH41" s="8">
        <v>694069</v>
      </c>
      <c r="BI41" s="8">
        <v>695279</v>
      </c>
      <c r="BJ41" s="8">
        <v>656347</v>
      </c>
      <c r="BK41" s="8">
        <v>618672</v>
      </c>
      <c r="BL41" s="8">
        <v>652806</v>
      </c>
      <c r="BM41" s="8">
        <v>642367</v>
      </c>
      <c r="BN41" s="26">
        <v>706257</v>
      </c>
      <c r="BO41" s="26">
        <v>809250</v>
      </c>
      <c r="BP41" s="26">
        <v>836686</v>
      </c>
      <c r="BQ41" s="183">
        <v>800668</v>
      </c>
      <c r="BR41" s="183">
        <v>793231</v>
      </c>
      <c r="BS41" s="180">
        <v>801775</v>
      </c>
    </row>
    <row r="42" spans="1:71" s="14" customFormat="1" ht="15" customHeight="1">
      <c r="D42" s="14">
        <f>SUM(D39:D41)</f>
        <v>400649</v>
      </c>
      <c r="E42" s="14">
        <f>SUM(E39:E41)</f>
        <v>398521</v>
      </c>
      <c r="F42" s="14">
        <f>SUM(F39:F41)</f>
        <v>405791</v>
      </c>
      <c r="G42" s="14">
        <f>SUM(G39:G41)</f>
        <v>404264</v>
      </c>
      <c r="H42" s="14">
        <f t="shared" ref="H42:Q42" si="3">SUM(H39:H41)</f>
        <v>403557</v>
      </c>
      <c r="I42" s="14">
        <f t="shared" si="3"/>
        <v>402077</v>
      </c>
      <c r="J42" s="14">
        <f t="shared" si="3"/>
        <v>412439</v>
      </c>
      <c r="K42" s="14">
        <f t="shared" si="3"/>
        <v>419142</v>
      </c>
      <c r="L42" s="14">
        <f t="shared" si="3"/>
        <v>425576</v>
      </c>
      <c r="M42" s="14">
        <f t="shared" si="3"/>
        <v>429036</v>
      </c>
      <c r="N42" s="14">
        <f>SUM(N39:N41)</f>
        <v>424547</v>
      </c>
      <c r="O42" s="14">
        <f t="shared" si="3"/>
        <v>531809</v>
      </c>
      <c r="P42" s="14">
        <f t="shared" si="3"/>
        <v>529085</v>
      </c>
      <c r="Q42" s="14">
        <f t="shared" si="3"/>
        <v>538717</v>
      </c>
      <c r="R42" s="14">
        <f>SUM(R39:R41)</f>
        <v>552520</v>
      </c>
      <c r="U42" s="50">
        <f t="shared" ref="U42:BO42" si="4">SUM(U39:U41)</f>
        <v>0</v>
      </c>
      <c r="V42" s="50">
        <f t="shared" si="4"/>
        <v>556211</v>
      </c>
      <c r="W42" s="50">
        <f t="shared" si="4"/>
        <v>578440</v>
      </c>
      <c r="X42" s="50">
        <f t="shared" si="4"/>
        <v>580421</v>
      </c>
      <c r="Y42" s="50">
        <f t="shared" si="4"/>
        <v>596518</v>
      </c>
      <c r="Z42" s="50">
        <f t="shared" si="4"/>
        <v>607340</v>
      </c>
      <c r="AA42" s="50">
        <f t="shared" si="4"/>
        <v>660401</v>
      </c>
      <c r="AB42" s="50">
        <f t="shared" si="4"/>
        <v>782423.80520000006</v>
      </c>
      <c r="AC42" s="50">
        <f t="shared" si="4"/>
        <v>885046</v>
      </c>
      <c r="AD42" s="50">
        <f t="shared" si="4"/>
        <v>1184347</v>
      </c>
      <c r="AE42" s="50">
        <f t="shared" si="4"/>
        <v>1120967</v>
      </c>
      <c r="AF42" s="50">
        <f t="shared" si="4"/>
        <v>1027553</v>
      </c>
      <c r="AG42" s="50">
        <f t="shared" si="4"/>
        <v>1037088</v>
      </c>
      <c r="AH42" s="50">
        <f t="shared" si="4"/>
        <v>1028438</v>
      </c>
      <c r="AI42" s="50">
        <f t="shared" si="4"/>
        <v>993249</v>
      </c>
      <c r="AJ42" s="50">
        <f t="shared" si="4"/>
        <v>1005978</v>
      </c>
      <c r="AK42" s="50">
        <f t="shared" si="4"/>
        <v>998030</v>
      </c>
      <c r="AL42" s="50">
        <f t="shared" si="4"/>
        <v>1020910</v>
      </c>
      <c r="AM42" s="50">
        <f t="shared" si="4"/>
        <v>1011999</v>
      </c>
      <c r="AN42" s="50">
        <f t="shared" si="4"/>
        <v>1091585</v>
      </c>
      <c r="AO42" s="50">
        <f t="shared" si="4"/>
        <v>1111992</v>
      </c>
      <c r="AP42" s="50">
        <f t="shared" si="4"/>
        <v>1136240</v>
      </c>
      <c r="AQ42" s="50">
        <f t="shared" si="4"/>
        <v>1239350</v>
      </c>
      <c r="AR42" s="50">
        <f t="shared" si="4"/>
        <v>1225821</v>
      </c>
      <c r="AS42" s="50">
        <f t="shared" si="4"/>
        <v>1289676</v>
      </c>
      <c r="AT42" s="50">
        <f t="shared" si="4"/>
        <v>1270621</v>
      </c>
      <c r="AU42" s="50">
        <f t="shared" si="4"/>
        <v>1474104</v>
      </c>
      <c r="AV42" s="50">
        <f t="shared" si="4"/>
        <v>1435028</v>
      </c>
      <c r="AW42" s="50">
        <f t="shared" si="4"/>
        <v>1460877</v>
      </c>
      <c r="AX42" s="50">
        <f t="shared" si="4"/>
        <v>1379926</v>
      </c>
      <c r="AY42" s="50">
        <f t="shared" si="4"/>
        <v>1463813</v>
      </c>
      <c r="AZ42" s="50">
        <f t="shared" si="4"/>
        <v>1312391.8500000001</v>
      </c>
      <c r="BA42" s="50">
        <f t="shared" si="4"/>
        <v>1377320</v>
      </c>
      <c r="BB42" s="50">
        <f t="shared" si="4"/>
        <v>1388471</v>
      </c>
      <c r="BC42" s="50">
        <f t="shared" si="4"/>
        <v>1244264</v>
      </c>
      <c r="BD42" s="50">
        <f t="shared" si="4"/>
        <v>1097624</v>
      </c>
      <c r="BE42" s="50">
        <f t="shared" si="4"/>
        <v>1034569</v>
      </c>
      <c r="BF42" s="50">
        <f t="shared" si="4"/>
        <v>990930</v>
      </c>
      <c r="BG42" s="50">
        <f t="shared" si="4"/>
        <v>958258</v>
      </c>
      <c r="BH42" s="50">
        <f t="shared" si="4"/>
        <v>992666</v>
      </c>
      <c r="BI42" s="50">
        <f t="shared" si="4"/>
        <v>992199</v>
      </c>
      <c r="BJ42" s="50">
        <f t="shared" si="4"/>
        <v>883008</v>
      </c>
      <c r="BK42" s="50">
        <f t="shared" si="4"/>
        <v>825816</v>
      </c>
      <c r="BL42" s="50">
        <f t="shared" si="4"/>
        <v>857028</v>
      </c>
      <c r="BM42" s="50">
        <f t="shared" si="4"/>
        <v>861379</v>
      </c>
      <c r="BN42" s="50">
        <f t="shared" si="4"/>
        <v>942300</v>
      </c>
      <c r="BO42" s="50">
        <f t="shared" si="4"/>
        <v>1034339.357346926</v>
      </c>
      <c r="BP42" s="50">
        <f>SUM(BP39:BP41)</f>
        <v>1055616</v>
      </c>
      <c r="BQ42" s="185">
        <f>SUM(BQ39:BQ41)</f>
        <v>1026321</v>
      </c>
      <c r="BR42" s="185">
        <f>SUM(BR39:BR41)</f>
        <v>1033557</v>
      </c>
      <c r="BS42" s="185">
        <f>SUM(BS39:BS41)</f>
        <v>1052429</v>
      </c>
    </row>
    <row r="43" spans="1:71" ht="15" customHeight="1">
      <c r="A43" s="21"/>
      <c r="B43" s="7"/>
      <c r="C43" s="7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7"/>
      <c r="T43" s="7"/>
      <c r="U43" s="7"/>
      <c r="V43" s="12"/>
      <c r="W43" s="12"/>
      <c r="X43" s="12"/>
      <c r="Y43" s="12"/>
      <c r="Z43" s="12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BA43" s="8"/>
      <c r="BB43" s="8"/>
      <c r="BC43" s="8"/>
      <c r="BQ43" s="182"/>
      <c r="BR43" s="182"/>
      <c r="BS43" s="182"/>
    </row>
    <row r="44" spans="1:71" ht="18" customHeight="1">
      <c r="A44" s="21"/>
      <c r="B44" s="15" t="s">
        <v>5</v>
      </c>
      <c r="C44" s="15" t="s">
        <v>441</v>
      </c>
      <c r="D44" s="135">
        <f t="shared" ref="D44:AI44" si="5">D42+D37+D22+D25+D26</f>
        <v>745543</v>
      </c>
      <c r="E44" s="135">
        <f t="shared" si="5"/>
        <v>735997</v>
      </c>
      <c r="F44" s="135">
        <f t="shared" si="5"/>
        <v>771491</v>
      </c>
      <c r="G44" s="135">
        <f t="shared" si="5"/>
        <v>801104</v>
      </c>
      <c r="H44" s="135">
        <f t="shared" si="5"/>
        <v>825937</v>
      </c>
      <c r="I44" s="135">
        <f t="shared" si="5"/>
        <v>807020</v>
      </c>
      <c r="J44" s="135">
        <f t="shared" si="5"/>
        <v>832998</v>
      </c>
      <c r="K44" s="135">
        <f t="shared" si="5"/>
        <v>915601</v>
      </c>
      <c r="L44" s="135">
        <f t="shared" si="5"/>
        <v>937133</v>
      </c>
      <c r="M44" s="135">
        <f t="shared" si="5"/>
        <v>883708</v>
      </c>
      <c r="N44" s="135">
        <f t="shared" si="5"/>
        <v>883966</v>
      </c>
      <c r="O44" s="135">
        <f t="shared" si="5"/>
        <v>1095868</v>
      </c>
      <c r="P44" s="135">
        <f t="shared" si="5"/>
        <v>1123303</v>
      </c>
      <c r="Q44" s="135">
        <f t="shared" si="5"/>
        <v>1225029</v>
      </c>
      <c r="R44" s="135">
        <f t="shared" si="5"/>
        <v>1263552</v>
      </c>
      <c r="S44" s="135">
        <f t="shared" si="5"/>
        <v>0</v>
      </c>
      <c r="T44" s="135">
        <f t="shared" si="5"/>
        <v>0</v>
      </c>
      <c r="U44" s="135">
        <f t="shared" si="5"/>
        <v>0</v>
      </c>
      <c r="V44" s="135">
        <f t="shared" si="5"/>
        <v>1172956</v>
      </c>
      <c r="W44" s="135">
        <f t="shared" si="5"/>
        <v>1193613</v>
      </c>
      <c r="X44" s="135">
        <f t="shared" si="5"/>
        <v>1213631</v>
      </c>
      <c r="Y44" s="135">
        <f t="shared" si="5"/>
        <v>1284565</v>
      </c>
      <c r="Z44" s="135">
        <f t="shared" si="5"/>
        <v>1296214</v>
      </c>
      <c r="AA44" s="135">
        <f t="shared" si="5"/>
        <v>1432230</v>
      </c>
      <c r="AB44" s="135">
        <f t="shared" si="5"/>
        <v>1584048.8052000001</v>
      </c>
      <c r="AC44" s="135">
        <f t="shared" si="5"/>
        <v>2190423</v>
      </c>
      <c r="AD44" s="135">
        <f t="shared" si="5"/>
        <v>2156239</v>
      </c>
      <c r="AE44" s="135">
        <f t="shared" si="5"/>
        <v>2053616</v>
      </c>
      <c r="AF44" s="135">
        <f t="shared" si="5"/>
        <v>1878155</v>
      </c>
      <c r="AG44" s="135">
        <f t="shared" si="5"/>
        <v>2161365</v>
      </c>
      <c r="AH44" s="135">
        <f t="shared" si="5"/>
        <v>2074697</v>
      </c>
      <c r="AI44" s="135">
        <f t="shared" si="5"/>
        <v>2018552</v>
      </c>
      <c r="AJ44" s="135">
        <f t="shared" ref="AJ44:BJ44" si="6">AJ42+AJ37+AJ22+AJ25+AJ26</f>
        <v>2091920</v>
      </c>
      <c r="AK44" s="135">
        <f t="shared" si="6"/>
        <v>2075912</v>
      </c>
      <c r="AL44" s="135">
        <f t="shared" si="6"/>
        <v>2059765</v>
      </c>
      <c r="AM44" s="135">
        <f t="shared" si="6"/>
        <v>2053485</v>
      </c>
      <c r="AN44" s="135">
        <f t="shared" si="6"/>
        <v>2422281</v>
      </c>
      <c r="AO44" s="135">
        <f t="shared" si="6"/>
        <v>2301208</v>
      </c>
      <c r="AP44" s="135">
        <f t="shared" si="6"/>
        <v>2247239</v>
      </c>
      <c r="AQ44" s="135">
        <f t="shared" si="6"/>
        <v>2368989</v>
      </c>
      <c r="AR44" s="135">
        <f t="shared" si="6"/>
        <v>2425497</v>
      </c>
      <c r="AS44" s="135">
        <f t="shared" si="6"/>
        <v>2610684</v>
      </c>
      <c r="AT44" s="135">
        <f t="shared" si="6"/>
        <v>2518442</v>
      </c>
      <c r="AU44" s="135">
        <f t="shared" si="6"/>
        <v>2834472</v>
      </c>
      <c r="AV44" s="135">
        <f t="shared" si="6"/>
        <v>3021778</v>
      </c>
      <c r="AW44" s="135">
        <f t="shared" si="6"/>
        <v>3096698</v>
      </c>
      <c r="AX44" s="135">
        <f t="shared" si="6"/>
        <v>2869132</v>
      </c>
      <c r="AY44" s="135">
        <f t="shared" si="6"/>
        <v>3168877</v>
      </c>
      <c r="AZ44" s="135">
        <f t="shared" si="6"/>
        <v>2895945</v>
      </c>
      <c r="BA44" s="135">
        <f t="shared" si="6"/>
        <v>3048767</v>
      </c>
      <c r="BB44" s="135">
        <f t="shared" si="6"/>
        <v>3097783</v>
      </c>
      <c r="BC44" s="135">
        <f t="shared" si="6"/>
        <v>2959343</v>
      </c>
      <c r="BD44" s="135">
        <f t="shared" si="6"/>
        <v>2984995</v>
      </c>
      <c r="BE44" s="135">
        <f t="shared" si="6"/>
        <v>3111942</v>
      </c>
      <c r="BF44" s="135">
        <f t="shared" si="6"/>
        <v>2663351</v>
      </c>
      <c r="BG44" s="135">
        <f t="shared" si="6"/>
        <v>2718049</v>
      </c>
      <c r="BH44" s="135">
        <f t="shared" si="6"/>
        <v>2611023</v>
      </c>
      <c r="BI44" s="135">
        <f t="shared" si="6"/>
        <v>2679664</v>
      </c>
      <c r="BJ44" s="135">
        <f t="shared" si="6"/>
        <v>2545626</v>
      </c>
      <c r="BK44" s="135">
        <f>BK42+BK37+BK22+BK25</f>
        <v>2733303</v>
      </c>
      <c r="BL44" s="135">
        <f>BL42+BL37+BL22+BL25</f>
        <v>2733819</v>
      </c>
      <c r="BM44" s="135">
        <f t="shared" ref="BM44:BR44" si="7">BM42+BM37+BM22+BM25+BM26</f>
        <v>2823301</v>
      </c>
      <c r="BN44" s="135">
        <f t="shared" si="7"/>
        <v>2943849</v>
      </c>
      <c r="BO44" s="135">
        <f t="shared" si="7"/>
        <v>2949028.3573469259</v>
      </c>
      <c r="BP44" s="135">
        <f t="shared" si="7"/>
        <v>2863658</v>
      </c>
      <c r="BQ44" s="186">
        <f t="shared" si="7"/>
        <v>2874061</v>
      </c>
      <c r="BR44" s="186">
        <f t="shared" si="7"/>
        <v>3147366</v>
      </c>
      <c r="BS44" s="186">
        <f t="shared" ref="BS44" si="8">BS42+BS37+BS22+BS25+BS26</f>
        <v>3041825</v>
      </c>
    </row>
    <row r="45" spans="1:71" ht="15" customHeight="1">
      <c r="A45" s="21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182"/>
      <c r="BR45" s="182"/>
      <c r="BS45" s="182"/>
    </row>
    <row r="46" spans="1:71" ht="15" customHeight="1">
      <c r="A46" s="21"/>
      <c r="BA46" s="8"/>
      <c r="BB46" s="8"/>
      <c r="BC46" s="8"/>
      <c r="BQ46" s="182"/>
      <c r="BR46" s="182"/>
      <c r="BS46" s="182"/>
    </row>
    <row r="47" spans="1:71" ht="20.25" customHeight="1">
      <c r="A47" s="21"/>
      <c r="B47" s="23" t="s">
        <v>54</v>
      </c>
      <c r="C47" s="23" t="s">
        <v>442</v>
      </c>
      <c r="D47" s="24" t="s">
        <v>22</v>
      </c>
      <c r="E47" s="24" t="s">
        <v>21</v>
      </c>
      <c r="F47" s="24" t="s">
        <v>20</v>
      </c>
      <c r="G47" s="24" t="s">
        <v>17</v>
      </c>
      <c r="H47" s="24" t="s">
        <v>19</v>
      </c>
      <c r="I47" s="24" t="s">
        <v>18</v>
      </c>
      <c r="J47" s="24" t="s">
        <v>16</v>
      </c>
      <c r="K47" s="24" t="s">
        <v>15</v>
      </c>
      <c r="L47" s="24" t="s">
        <v>14</v>
      </c>
      <c r="M47" s="24" t="s">
        <v>12</v>
      </c>
      <c r="N47" s="24" t="s">
        <v>10</v>
      </c>
      <c r="O47" s="24" t="s">
        <v>9</v>
      </c>
      <c r="P47" s="24" t="s">
        <v>13</v>
      </c>
      <c r="Q47" s="24" t="s">
        <v>11</v>
      </c>
      <c r="R47" s="24" t="s">
        <v>8</v>
      </c>
      <c r="S47" s="24"/>
      <c r="T47" s="24"/>
      <c r="U47" s="24"/>
      <c r="V47" s="24" t="s">
        <v>25</v>
      </c>
      <c r="W47" s="24" t="s">
        <v>26</v>
      </c>
      <c r="X47" s="24" t="s">
        <v>55</v>
      </c>
      <c r="Y47" s="24" t="s">
        <v>56</v>
      </c>
      <c r="Z47" s="24" t="s">
        <v>57</v>
      </c>
      <c r="AA47" s="24" t="s">
        <v>58</v>
      </c>
      <c r="AB47" s="24" t="s">
        <v>59</v>
      </c>
      <c r="AC47" s="24" t="s">
        <v>60</v>
      </c>
      <c r="AD47" s="24" t="s">
        <v>62</v>
      </c>
      <c r="AE47" s="24" t="s">
        <v>69</v>
      </c>
      <c r="AF47" s="24" t="s">
        <v>70</v>
      </c>
      <c r="AG47" s="24" t="s">
        <v>72</v>
      </c>
      <c r="AH47" s="24" t="s">
        <v>73</v>
      </c>
      <c r="AI47" s="24" t="s">
        <v>74</v>
      </c>
      <c r="AJ47" s="24" t="s">
        <v>75</v>
      </c>
      <c r="AK47" s="24" t="s">
        <v>77</v>
      </c>
      <c r="AL47" s="24" t="s">
        <v>79</v>
      </c>
      <c r="AM47" s="24" t="s">
        <v>80</v>
      </c>
      <c r="AN47" s="24" t="str">
        <f>AN7</f>
        <v>2T18</v>
      </c>
      <c r="AO47" s="24" t="str">
        <f>AO7</f>
        <v>3T18</v>
      </c>
      <c r="AP47" s="24" t="str">
        <f>AP7</f>
        <v>4T18</v>
      </c>
      <c r="AQ47" s="24" t="s">
        <v>86</v>
      </c>
      <c r="AR47" s="24" t="s">
        <v>87</v>
      </c>
      <c r="AS47" s="24" t="s">
        <v>88</v>
      </c>
      <c r="AT47" s="24" t="s">
        <v>89</v>
      </c>
      <c r="AU47" s="24" t="s">
        <v>90</v>
      </c>
      <c r="AV47" s="24" t="s">
        <v>91</v>
      </c>
      <c r="AW47" s="24" t="s">
        <v>92</v>
      </c>
      <c r="AX47" s="24" t="s">
        <v>93</v>
      </c>
      <c r="AY47" s="24" t="s">
        <v>94</v>
      </c>
      <c r="AZ47" s="24" t="s">
        <v>95</v>
      </c>
      <c r="BA47" s="24" t="s">
        <v>96</v>
      </c>
      <c r="BB47" s="24" t="s">
        <v>97</v>
      </c>
      <c r="BC47" s="24" t="s">
        <v>98</v>
      </c>
      <c r="BD47" s="24" t="s">
        <v>99</v>
      </c>
      <c r="BE47" s="24" t="s">
        <v>302</v>
      </c>
      <c r="BF47" s="24" t="s">
        <v>305</v>
      </c>
      <c r="BG47" s="24" t="s">
        <v>313</v>
      </c>
      <c r="BH47" s="24" t="s">
        <v>314</v>
      </c>
      <c r="BI47" s="24" t="s">
        <v>317</v>
      </c>
      <c r="BJ47" s="24" t="s">
        <v>320</v>
      </c>
      <c r="BK47" s="24" t="s">
        <v>349</v>
      </c>
      <c r="BL47" s="24" t="s">
        <v>355</v>
      </c>
      <c r="BM47" s="24" t="s">
        <v>356</v>
      </c>
      <c r="BN47" s="102" t="s">
        <v>365</v>
      </c>
      <c r="BO47" s="24" t="s">
        <v>358</v>
      </c>
      <c r="BP47" s="24" t="s">
        <v>359</v>
      </c>
      <c r="BQ47" s="24" t="s">
        <v>375</v>
      </c>
      <c r="BR47" s="24" t="s">
        <v>388</v>
      </c>
      <c r="BS47" s="24" t="s">
        <v>778</v>
      </c>
    </row>
    <row r="48" spans="1:71" ht="19.5" customHeight="1">
      <c r="A48" s="21"/>
      <c r="B48" s="5" t="s">
        <v>6</v>
      </c>
      <c r="C48" s="5" t="s">
        <v>418</v>
      </c>
      <c r="BA48" s="8"/>
      <c r="BB48" s="8"/>
      <c r="BC48" s="8"/>
      <c r="BQ48" s="182"/>
      <c r="BR48" s="182"/>
      <c r="BS48" s="182"/>
    </row>
    <row r="49" spans="1:71" ht="15" customHeight="1">
      <c r="A49" s="21"/>
      <c r="B49" s="6" t="s">
        <v>31</v>
      </c>
      <c r="C49" s="6" t="s">
        <v>443</v>
      </c>
      <c r="D49" s="3">
        <v>34404</v>
      </c>
      <c r="E49" s="3">
        <v>40457</v>
      </c>
      <c r="F49" s="3">
        <v>39558</v>
      </c>
      <c r="G49" s="3">
        <v>39296</v>
      </c>
      <c r="H49" s="3">
        <v>43405</v>
      </c>
      <c r="I49" s="3">
        <v>40229</v>
      </c>
      <c r="J49" s="3">
        <v>50288</v>
      </c>
      <c r="K49" s="3">
        <v>62951</v>
      </c>
      <c r="L49" s="3">
        <v>60613</v>
      </c>
      <c r="M49" s="3">
        <v>67601</v>
      </c>
      <c r="N49" s="3">
        <v>63914</v>
      </c>
      <c r="O49" s="3">
        <v>55681</v>
      </c>
      <c r="P49" s="3">
        <v>53406</v>
      </c>
      <c r="Q49" s="3">
        <v>54237</v>
      </c>
      <c r="R49" s="3">
        <v>59832</v>
      </c>
      <c r="S49" s="3"/>
      <c r="T49" s="3"/>
      <c r="U49" s="3"/>
      <c r="V49" s="3">
        <v>64028</v>
      </c>
      <c r="W49" s="3">
        <v>68719</v>
      </c>
      <c r="X49" s="3">
        <v>62446</v>
      </c>
      <c r="Y49" s="3">
        <v>76022</v>
      </c>
      <c r="Z49" s="3">
        <v>61992</v>
      </c>
      <c r="AA49" s="3">
        <v>83014</v>
      </c>
      <c r="AB49" s="3">
        <v>80547</v>
      </c>
      <c r="AC49" s="3">
        <v>92353</v>
      </c>
      <c r="AD49" s="3">
        <v>132174</v>
      </c>
      <c r="AE49" s="3">
        <v>99721</v>
      </c>
      <c r="AF49" s="3">
        <v>119290</v>
      </c>
      <c r="AG49" s="3">
        <v>116479</v>
      </c>
      <c r="AH49" s="3">
        <v>106027</v>
      </c>
      <c r="AI49" s="3">
        <v>87143</v>
      </c>
      <c r="AJ49" s="3">
        <v>95427</v>
      </c>
      <c r="AK49" s="3">
        <v>103345</v>
      </c>
      <c r="AL49" s="3">
        <v>99705</v>
      </c>
      <c r="AM49" s="3">
        <v>85043</v>
      </c>
      <c r="AN49" s="3">
        <v>115559</v>
      </c>
      <c r="AO49" s="3">
        <v>115287</v>
      </c>
      <c r="AP49" s="3">
        <v>108852</v>
      </c>
      <c r="AQ49" s="3">
        <v>135396</v>
      </c>
      <c r="AR49" s="3">
        <v>161054</v>
      </c>
      <c r="AS49" s="3">
        <v>185761</v>
      </c>
      <c r="AT49" s="3">
        <v>181080</v>
      </c>
      <c r="AU49" s="3">
        <v>170057</v>
      </c>
      <c r="AV49" s="3">
        <v>177546</v>
      </c>
      <c r="AW49" s="3">
        <v>180772</v>
      </c>
      <c r="AX49" s="8">
        <v>188062</v>
      </c>
      <c r="AY49" s="3">
        <v>177209</v>
      </c>
      <c r="AZ49" s="3">
        <v>190791</v>
      </c>
      <c r="BA49" s="8">
        <v>170778</v>
      </c>
      <c r="BB49" s="8">
        <v>203061</v>
      </c>
      <c r="BC49" s="8">
        <v>186234</v>
      </c>
      <c r="BD49" s="8">
        <v>161658</v>
      </c>
      <c r="BE49" s="8">
        <v>156516</v>
      </c>
      <c r="BF49" s="8">
        <v>180597</v>
      </c>
      <c r="BG49" s="8">
        <v>172922</v>
      </c>
      <c r="BH49" s="8">
        <v>152688</v>
      </c>
      <c r="BI49" s="8">
        <v>181308</v>
      </c>
      <c r="BJ49" s="8">
        <v>165338</v>
      </c>
      <c r="BK49" s="8">
        <v>152521</v>
      </c>
      <c r="BL49" s="8">
        <v>138234</v>
      </c>
      <c r="BM49" s="8">
        <v>158210</v>
      </c>
      <c r="BN49" s="26">
        <v>176424</v>
      </c>
      <c r="BO49" s="26">
        <v>180193</v>
      </c>
      <c r="BP49" s="26">
        <v>176117</v>
      </c>
      <c r="BQ49" s="183">
        <v>176210</v>
      </c>
      <c r="BR49" s="183">
        <v>172376</v>
      </c>
      <c r="BS49" s="183">
        <v>171308</v>
      </c>
    </row>
    <row r="50" spans="1:71" ht="15" customHeight="1">
      <c r="A50" s="21"/>
      <c r="B50" s="17" t="s">
        <v>40</v>
      </c>
      <c r="C50" s="17" t="s">
        <v>444</v>
      </c>
      <c r="D50" s="3">
        <v>8620</v>
      </c>
      <c r="E50" s="3">
        <v>41072</v>
      </c>
      <c r="F50" s="3">
        <v>46521</v>
      </c>
      <c r="G50" s="3">
        <v>76686</v>
      </c>
      <c r="H50" s="3">
        <v>82261</v>
      </c>
      <c r="I50" s="3">
        <v>75517</v>
      </c>
      <c r="J50" s="3">
        <v>80973</v>
      </c>
      <c r="K50" s="3">
        <v>77674</v>
      </c>
      <c r="L50" s="3">
        <v>83496</v>
      </c>
      <c r="M50" s="3">
        <v>76872</v>
      </c>
      <c r="N50" s="3">
        <v>79297</v>
      </c>
      <c r="O50" s="3">
        <v>138967</v>
      </c>
      <c r="P50" s="3">
        <v>143897</v>
      </c>
      <c r="Q50" s="3">
        <v>105188</v>
      </c>
      <c r="R50" s="3">
        <v>114374</v>
      </c>
      <c r="S50" s="3"/>
      <c r="T50" s="3"/>
      <c r="U50" s="3"/>
      <c r="V50" s="3">
        <v>18928</v>
      </c>
      <c r="W50" s="3">
        <v>32689</v>
      </c>
      <c r="X50" s="3">
        <v>87732</v>
      </c>
      <c r="Y50" s="3">
        <v>124309</v>
      </c>
      <c r="Z50" s="3">
        <v>121565</v>
      </c>
      <c r="AA50" s="3">
        <v>139394</v>
      </c>
      <c r="AB50" s="3">
        <v>137934</v>
      </c>
      <c r="AC50" s="3">
        <v>168818</v>
      </c>
      <c r="AD50" s="3">
        <v>168175</v>
      </c>
      <c r="AE50" s="3">
        <v>172663</v>
      </c>
      <c r="AF50" s="3">
        <v>318608</v>
      </c>
      <c r="AG50" s="3">
        <v>344108</v>
      </c>
      <c r="AH50" s="3">
        <v>326049</v>
      </c>
      <c r="AI50" s="3">
        <v>320301</v>
      </c>
      <c r="AJ50" s="3">
        <v>198963</v>
      </c>
      <c r="AK50" s="3">
        <v>212564</v>
      </c>
      <c r="AL50" s="3">
        <v>255885</v>
      </c>
      <c r="AM50" s="3">
        <v>262633</v>
      </c>
      <c r="AN50" s="3">
        <v>378390</v>
      </c>
      <c r="AO50" s="3">
        <v>194462</v>
      </c>
      <c r="AP50" s="3">
        <v>213403</v>
      </c>
      <c r="AQ50" s="3">
        <v>244164</v>
      </c>
      <c r="AR50" s="3">
        <v>253290</v>
      </c>
      <c r="AS50" s="3">
        <v>273693</v>
      </c>
      <c r="AT50" s="3">
        <v>275552</v>
      </c>
      <c r="AU50" s="3">
        <v>366253</v>
      </c>
      <c r="AV50" s="3">
        <v>625722</v>
      </c>
      <c r="AW50" s="3">
        <v>663112</v>
      </c>
      <c r="AX50" s="8">
        <v>756600</v>
      </c>
      <c r="AY50" s="3">
        <v>833230</v>
      </c>
      <c r="AZ50" s="3">
        <v>394519</v>
      </c>
      <c r="BA50" s="8">
        <v>491444</v>
      </c>
      <c r="BB50" s="8">
        <v>446267</v>
      </c>
      <c r="BC50" s="8">
        <v>513570</v>
      </c>
      <c r="BD50" s="8">
        <v>312601</v>
      </c>
      <c r="BE50" s="8">
        <v>354148</v>
      </c>
      <c r="BF50" s="8">
        <v>281801</v>
      </c>
      <c r="BG50" s="8">
        <v>344013</v>
      </c>
      <c r="BH50" s="8">
        <v>244123</v>
      </c>
      <c r="BI50" s="8">
        <v>264227</v>
      </c>
      <c r="BJ50" s="8">
        <v>172061</v>
      </c>
      <c r="BK50" s="8">
        <v>183017</v>
      </c>
      <c r="BL50" s="8">
        <v>104185</v>
      </c>
      <c r="BM50" s="8">
        <v>117450</v>
      </c>
      <c r="BN50" s="26">
        <v>116131</v>
      </c>
      <c r="BO50" s="26">
        <v>125374</v>
      </c>
      <c r="BP50" s="26">
        <v>96668</v>
      </c>
      <c r="BQ50" s="183">
        <v>78208</v>
      </c>
      <c r="BR50" s="183">
        <v>167070</v>
      </c>
      <c r="BS50" s="183">
        <v>180382</v>
      </c>
    </row>
    <row r="51" spans="1:71" ht="15" customHeight="1">
      <c r="A51" s="21"/>
      <c r="B51" s="6" t="s">
        <v>32</v>
      </c>
      <c r="C51" s="6" t="s">
        <v>445</v>
      </c>
      <c r="D51" s="3">
        <v>23089</v>
      </c>
      <c r="E51" s="3">
        <v>27253</v>
      </c>
      <c r="F51" s="3">
        <v>33893</v>
      </c>
      <c r="G51" s="3">
        <v>32076</v>
      </c>
      <c r="H51" s="3">
        <v>27002</v>
      </c>
      <c r="I51" s="3">
        <v>33281</v>
      </c>
      <c r="J51" s="3">
        <v>41369</v>
      </c>
      <c r="K51" s="3">
        <v>38949</v>
      </c>
      <c r="L51" s="3">
        <v>31557</v>
      </c>
      <c r="M51" s="3">
        <v>41202</v>
      </c>
      <c r="N51" s="3">
        <v>49652</v>
      </c>
      <c r="O51" s="3">
        <v>47260</v>
      </c>
      <c r="P51" s="3">
        <v>47523</v>
      </c>
      <c r="Q51" s="3">
        <v>49488</v>
      </c>
      <c r="R51" s="3">
        <v>53763</v>
      </c>
      <c r="S51" s="3"/>
      <c r="T51" s="3"/>
      <c r="U51" s="3"/>
      <c r="V51" s="3">
        <v>48179</v>
      </c>
      <c r="W51" s="3">
        <v>46280</v>
      </c>
      <c r="X51" s="3">
        <v>53704</v>
      </c>
      <c r="Y51" s="3">
        <v>63386</v>
      </c>
      <c r="Z51" s="3">
        <v>62786</v>
      </c>
      <c r="AA51" s="3">
        <v>63380</v>
      </c>
      <c r="AB51" s="3">
        <v>71239</v>
      </c>
      <c r="AC51" s="3">
        <v>92351</v>
      </c>
      <c r="AD51" s="3">
        <v>78070</v>
      </c>
      <c r="AE51" s="3">
        <v>87301</v>
      </c>
      <c r="AF51" s="3">
        <v>75468</v>
      </c>
      <c r="AG51" s="3">
        <v>84119</v>
      </c>
      <c r="AH51" s="3">
        <v>68002</v>
      </c>
      <c r="AI51" s="3">
        <v>65340</v>
      </c>
      <c r="AJ51" s="3">
        <v>66036</v>
      </c>
      <c r="AK51" s="3">
        <v>72715</v>
      </c>
      <c r="AL51" s="3">
        <v>63915</v>
      </c>
      <c r="AM51" s="3">
        <v>64551</v>
      </c>
      <c r="AN51" s="3">
        <v>61959</v>
      </c>
      <c r="AO51" s="3">
        <v>69537</v>
      </c>
      <c r="AP51" s="3">
        <v>61396</v>
      </c>
      <c r="AQ51" s="3">
        <v>53125</v>
      </c>
      <c r="AR51" s="3">
        <v>57699</v>
      </c>
      <c r="AS51" s="3">
        <v>70792</v>
      </c>
      <c r="AT51" s="3">
        <v>67015</v>
      </c>
      <c r="AU51" s="3">
        <v>70563</v>
      </c>
      <c r="AV51" s="3">
        <v>73404</v>
      </c>
      <c r="AW51" s="3">
        <v>78622</v>
      </c>
      <c r="AX51" s="8">
        <v>52448</v>
      </c>
      <c r="AY51" s="3">
        <v>61182</v>
      </c>
      <c r="AZ51" s="3">
        <v>72600</v>
      </c>
      <c r="BA51" s="8">
        <v>86002</v>
      </c>
      <c r="BB51" s="8">
        <v>92804</v>
      </c>
      <c r="BC51" s="8">
        <v>78708</v>
      </c>
      <c r="BD51" s="8">
        <v>75771</v>
      </c>
      <c r="BE51" s="8">
        <v>102541</v>
      </c>
      <c r="BF51" s="8">
        <v>96814</v>
      </c>
      <c r="BG51" s="8">
        <v>90635</v>
      </c>
      <c r="BH51" s="8">
        <v>86928</v>
      </c>
      <c r="BI51" s="8">
        <v>112746</v>
      </c>
      <c r="BJ51" s="8">
        <v>103227</v>
      </c>
      <c r="BK51" s="8">
        <v>84090</v>
      </c>
      <c r="BL51" s="8">
        <v>99620</v>
      </c>
      <c r="BM51" s="8">
        <v>121143</v>
      </c>
      <c r="BN51" s="26">
        <v>126995</v>
      </c>
      <c r="BO51" s="26">
        <v>117106</v>
      </c>
      <c r="BP51" s="26">
        <v>115348</v>
      </c>
      <c r="BQ51" s="183">
        <v>130910</v>
      </c>
      <c r="BR51" s="183">
        <v>118515</v>
      </c>
      <c r="BS51" s="183">
        <v>97712</v>
      </c>
    </row>
    <row r="52" spans="1:71" ht="15" customHeight="1">
      <c r="B52" s="6" t="s">
        <v>41</v>
      </c>
      <c r="C52" s="6" t="s">
        <v>446</v>
      </c>
      <c r="D52" s="3">
        <v>32991</v>
      </c>
      <c r="E52" s="3">
        <v>12823</v>
      </c>
      <c r="F52" s="3">
        <v>13674</v>
      </c>
      <c r="G52" s="3">
        <v>27878</v>
      </c>
      <c r="H52" s="3">
        <v>31546</v>
      </c>
      <c r="I52" s="3">
        <v>37788</v>
      </c>
      <c r="J52" s="3">
        <v>30758</v>
      </c>
      <c r="K52" s="3">
        <v>28235</v>
      </c>
      <c r="L52" s="3">
        <v>33897</v>
      </c>
      <c r="M52" s="3">
        <v>32519</v>
      </c>
      <c r="N52" s="3">
        <v>16671</v>
      </c>
      <c r="O52" s="3">
        <v>12556</v>
      </c>
      <c r="P52" s="3">
        <v>14720</v>
      </c>
      <c r="Q52" s="3">
        <v>14400</v>
      </c>
      <c r="R52" s="3">
        <v>17040</v>
      </c>
      <c r="S52" s="3"/>
      <c r="T52" s="3"/>
      <c r="U52" s="3"/>
      <c r="V52" s="3">
        <v>17073</v>
      </c>
      <c r="W52" s="3">
        <v>21688</v>
      </c>
      <c r="X52" s="3">
        <v>18349</v>
      </c>
      <c r="Y52" s="3">
        <v>23825</v>
      </c>
      <c r="Z52" s="3">
        <v>21242</v>
      </c>
      <c r="AA52" s="3">
        <v>24422</v>
      </c>
      <c r="AB52" s="3">
        <v>18835</v>
      </c>
      <c r="AC52" s="3">
        <v>24805</v>
      </c>
      <c r="AD52" s="3">
        <v>18811</v>
      </c>
      <c r="AE52" s="3">
        <v>19123</v>
      </c>
      <c r="AF52" s="3">
        <v>24480</v>
      </c>
      <c r="AG52" s="3">
        <v>19859</v>
      </c>
      <c r="AH52" s="3">
        <v>11694</v>
      </c>
      <c r="AI52" s="3">
        <v>15568</v>
      </c>
      <c r="AJ52" s="3">
        <v>17410</v>
      </c>
      <c r="AK52" s="3">
        <v>14212</v>
      </c>
      <c r="AL52" s="3">
        <v>11252</v>
      </c>
      <c r="AM52" s="3">
        <v>14425</v>
      </c>
      <c r="AN52" s="3">
        <v>12948</v>
      </c>
      <c r="AO52" s="3">
        <v>17832</v>
      </c>
      <c r="AP52" s="3">
        <v>18661</v>
      </c>
      <c r="AQ52" s="3">
        <v>17831</v>
      </c>
      <c r="AR52" s="3">
        <v>19040</v>
      </c>
      <c r="AS52" s="3">
        <v>22232</v>
      </c>
      <c r="AT52" s="3">
        <v>22255</v>
      </c>
      <c r="AU52" s="3">
        <v>27410</v>
      </c>
      <c r="AV52" s="3">
        <v>36838</v>
      </c>
      <c r="AW52" s="3">
        <v>44991</v>
      </c>
      <c r="AX52" s="8">
        <v>39936</v>
      </c>
      <c r="AY52" s="3">
        <v>38992</v>
      </c>
      <c r="AZ52" s="3">
        <v>30455</v>
      </c>
      <c r="BA52" s="8">
        <v>37965</v>
      </c>
      <c r="BB52" s="8">
        <v>29335</v>
      </c>
      <c r="BC52" s="8">
        <v>35975</v>
      </c>
      <c r="BD52" s="8">
        <v>41356</v>
      </c>
      <c r="BE52" s="8">
        <v>45743</v>
      </c>
      <c r="BF52" s="8">
        <v>55749</v>
      </c>
      <c r="BG52" s="8">
        <v>54989</v>
      </c>
      <c r="BH52" s="8">
        <v>66548</v>
      </c>
      <c r="BI52" s="8">
        <v>55845</v>
      </c>
      <c r="BJ52" s="8">
        <v>65579</v>
      </c>
      <c r="BK52" s="8">
        <v>54281</v>
      </c>
      <c r="BL52" s="8">
        <v>64314</v>
      </c>
      <c r="BM52" s="8">
        <v>90205</v>
      </c>
      <c r="BN52" s="26">
        <v>75748</v>
      </c>
      <c r="BO52" s="26">
        <v>62252</v>
      </c>
      <c r="BP52" s="26">
        <v>54083</v>
      </c>
      <c r="BQ52" s="183">
        <v>57206</v>
      </c>
      <c r="BR52" s="183">
        <v>62163</v>
      </c>
      <c r="BS52" s="183">
        <v>60363</v>
      </c>
    </row>
    <row r="53" spans="1:71" ht="15" customHeight="1">
      <c r="A53" s="21"/>
      <c r="B53" s="6" t="s">
        <v>33</v>
      </c>
      <c r="C53" s="6" t="s">
        <v>447</v>
      </c>
      <c r="D53" s="3">
        <v>7535</v>
      </c>
      <c r="E53" s="3">
        <v>7215</v>
      </c>
      <c r="F53" s="3">
        <v>7000</v>
      </c>
      <c r="G53" s="3">
        <v>9230</v>
      </c>
      <c r="H53" s="3">
        <v>2261</v>
      </c>
      <c r="I53" s="3">
        <v>11912</v>
      </c>
      <c r="J53" s="3">
        <v>11452</v>
      </c>
      <c r="K53" s="3">
        <v>10798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/>
      <c r="T53" s="3"/>
      <c r="U53" s="3"/>
      <c r="V53" s="3">
        <v>10563</v>
      </c>
      <c r="W53" s="3">
        <v>0</v>
      </c>
      <c r="X53" s="3">
        <v>9465</v>
      </c>
      <c r="Y53" s="3">
        <v>0</v>
      </c>
      <c r="Z53" s="3">
        <v>15731</v>
      </c>
      <c r="AA53" s="3">
        <v>1</v>
      </c>
      <c r="AB53" s="3">
        <v>12998</v>
      </c>
      <c r="AC53" s="3">
        <v>0</v>
      </c>
      <c r="AD53" s="3">
        <v>13021</v>
      </c>
      <c r="AE53" s="3">
        <v>6</v>
      </c>
      <c r="AF53" s="3">
        <v>8</v>
      </c>
      <c r="AG53" s="3">
        <v>10</v>
      </c>
      <c r="AH53" s="3">
        <v>13188</v>
      </c>
      <c r="AI53" s="3">
        <v>7</v>
      </c>
      <c r="AJ53" s="3">
        <v>8</v>
      </c>
      <c r="AK53" s="3">
        <v>8</v>
      </c>
      <c r="AL53" s="3">
        <v>8</v>
      </c>
      <c r="AM53" s="3">
        <v>8</v>
      </c>
      <c r="AN53" s="3">
        <v>9</v>
      </c>
      <c r="AO53" s="3">
        <v>16575</v>
      </c>
      <c r="AP53" s="3">
        <v>37448</v>
      </c>
      <c r="AQ53" s="3">
        <v>10</v>
      </c>
      <c r="AR53" s="3">
        <v>10</v>
      </c>
      <c r="AS53" s="3">
        <v>10</v>
      </c>
      <c r="AT53" s="3">
        <v>44351</v>
      </c>
      <c r="AU53" s="3">
        <v>22181</v>
      </c>
      <c r="AV53" s="3">
        <v>22181</v>
      </c>
      <c r="AW53" s="3">
        <v>22181</v>
      </c>
      <c r="AX53" s="8">
        <v>0</v>
      </c>
      <c r="AY53" s="3">
        <v>0</v>
      </c>
      <c r="AZ53" s="3">
        <v>0</v>
      </c>
      <c r="BA53" s="8" t="s">
        <v>350</v>
      </c>
      <c r="BB53" s="8">
        <v>23156</v>
      </c>
      <c r="BC53" s="8">
        <v>12</v>
      </c>
      <c r="BD53" s="8">
        <v>12</v>
      </c>
      <c r="BE53" s="8">
        <v>12</v>
      </c>
      <c r="BF53" s="8">
        <v>21012</v>
      </c>
      <c r="BG53" s="8">
        <v>12</v>
      </c>
      <c r="BH53" s="8">
        <v>5</v>
      </c>
      <c r="BI53" s="8">
        <v>5</v>
      </c>
      <c r="BJ53" s="8">
        <v>8</v>
      </c>
      <c r="BK53" s="8">
        <v>8</v>
      </c>
      <c r="BL53" s="8">
        <v>877</v>
      </c>
      <c r="BM53" s="8">
        <v>56</v>
      </c>
      <c r="BN53" s="26">
        <v>12830</v>
      </c>
      <c r="BO53" s="26" t="s">
        <v>350</v>
      </c>
      <c r="BP53" s="26">
        <v>1350</v>
      </c>
      <c r="BQ53" s="183">
        <v>164</v>
      </c>
      <c r="BR53" s="183">
        <v>118459</v>
      </c>
      <c r="BS53" s="183">
        <v>86243</v>
      </c>
    </row>
    <row r="54" spans="1:71" ht="15" customHeight="1">
      <c r="A54" s="21"/>
      <c r="B54" s="6" t="s">
        <v>42</v>
      </c>
      <c r="C54" s="6" t="s">
        <v>448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/>
      <c r="T54" s="3"/>
      <c r="U54" s="3"/>
      <c r="V54" s="3">
        <v>6826</v>
      </c>
      <c r="W54" s="3">
        <v>6594</v>
      </c>
      <c r="X54" s="3">
        <v>6419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8">
        <v>0</v>
      </c>
      <c r="AY54" s="3">
        <v>0</v>
      </c>
      <c r="AZ54" s="3">
        <v>0</v>
      </c>
      <c r="BA54" s="126" t="s">
        <v>350</v>
      </c>
      <c r="BB54" s="126" t="s">
        <v>350</v>
      </c>
      <c r="BC54" s="126" t="s">
        <v>350</v>
      </c>
      <c r="BD54" s="126" t="s">
        <v>350</v>
      </c>
      <c r="BE54" s="126" t="s">
        <v>350</v>
      </c>
      <c r="BF54" s="126" t="s">
        <v>350</v>
      </c>
      <c r="BG54" s="126" t="s">
        <v>350</v>
      </c>
      <c r="BH54" s="126" t="s">
        <v>350</v>
      </c>
      <c r="BI54" s="126" t="s">
        <v>350</v>
      </c>
      <c r="BJ54" s="126" t="s">
        <v>350</v>
      </c>
      <c r="BK54" s="126" t="s">
        <v>350</v>
      </c>
      <c r="BL54" s="126" t="s">
        <v>350</v>
      </c>
      <c r="BM54" s="126" t="s">
        <v>350</v>
      </c>
      <c r="BN54" s="126" t="s">
        <v>350</v>
      </c>
      <c r="BO54" s="26">
        <v>68722</v>
      </c>
      <c r="BP54" s="26" t="s">
        <v>350</v>
      </c>
      <c r="BQ54" s="183" t="s">
        <v>350</v>
      </c>
      <c r="BR54" s="183">
        <v>1500</v>
      </c>
      <c r="BS54" s="183">
        <v>1513</v>
      </c>
    </row>
    <row r="55" spans="1:71" ht="15" customHeight="1">
      <c r="A55" s="21"/>
      <c r="B55" s="6" t="s">
        <v>49</v>
      </c>
      <c r="C55" s="6" t="s">
        <v>449</v>
      </c>
      <c r="D55" s="3">
        <v>1615</v>
      </c>
      <c r="E55" s="3">
        <v>1570</v>
      </c>
      <c r="F55" s="3">
        <v>1524</v>
      </c>
      <c r="G55" s="3">
        <v>699</v>
      </c>
      <c r="H55" s="3">
        <v>674</v>
      </c>
      <c r="I55" s="3">
        <v>646</v>
      </c>
      <c r="J55" s="3">
        <v>636</v>
      </c>
      <c r="K55" s="3">
        <v>579</v>
      </c>
      <c r="L55" s="3">
        <v>467</v>
      </c>
      <c r="M55" s="3">
        <v>347</v>
      </c>
      <c r="N55" s="3">
        <v>220</v>
      </c>
      <c r="O55" s="3">
        <v>467</v>
      </c>
      <c r="P55" s="3">
        <v>82</v>
      </c>
      <c r="Q55" s="3">
        <v>0</v>
      </c>
      <c r="R55" s="3">
        <v>0</v>
      </c>
      <c r="S55" s="3"/>
      <c r="T55" s="3"/>
      <c r="U55" s="3"/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8">
        <v>0</v>
      </c>
      <c r="AY55" s="3">
        <v>0</v>
      </c>
      <c r="AZ55" s="3">
        <v>0</v>
      </c>
      <c r="BA55" s="126" t="s">
        <v>350</v>
      </c>
      <c r="BB55" s="126" t="s">
        <v>350</v>
      </c>
      <c r="BC55" s="126" t="s">
        <v>350</v>
      </c>
      <c r="BD55" s="126" t="s">
        <v>350</v>
      </c>
      <c r="BE55" s="126" t="s">
        <v>350</v>
      </c>
      <c r="BF55" s="126" t="s">
        <v>350</v>
      </c>
      <c r="BG55" s="126" t="s">
        <v>350</v>
      </c>
      <c r="BH55" s="126" t="s">
        <v>350</v>
      </c>
      <c r="BI55" s="126" t="s">
        <v>350</v>
      </c>
      <c r="BJ55" s="126" t="s">
        <v>350</v>
      </c>
      <c r="BK55" s="126" t="s">
        <v>350</v>
      </c>
      <c r="BL55" s="126" t="s">
        <v>350</v>
      </c>
      <c r="BM55" s="126" t="s">
        <v>350</v>
      </c>
      <c r="BN55" s="126" t="s">
        <v>350</v>
      </c>
      <c r="BO55" s="126" t="s">
        <v>350</v>
      </c>
      <c r="BP55" s="126" t="s">
        <v>350</v>
      </c>
      <c r="BQ55" s="187" t="s">
        <v>350</v>
      </c>
      <c r="BR55" s="187" t="s">
        <v>350</v>
      </c>
      <c r="BS55" s="187" t="s">
        <v>350</v>
      </c>
    </row>
    <row r="56" spans="1:71" ht="15" customHeight="1">
      <c r="A56" s="21"/>
      <c r="B56" s="6" t="s">
        <v>50</v>
      </c>
      <c r="C56" s="6" t="s">
        <v>450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3</v>
      </c>
      <c r="P56" s="3">
        <v>73</v>
      </c>
      <c r="Q56" s="3">
        <v>0</v>
      </c>
      <c r="R56" s="3">
        <v>0</v>
      </c>
      <c r="S56" s="3"/>
      <c r="T56" s="3"/>
      <c r="U56" s="3"/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8">
        <v>0</v>
      </c>
      <c r="AY56" s="3">
        <v>0</v>
      </c>
      <c r="AZ56" s="3">
        <v>0</v>
      </c>
      <c r="BA56" s="126" t="s">
        <v>350</v>
      </c>
      <c r="BB56" s="126" t="s">
        <v>350</v>
      </c>
      <c r="BC56" s="126" t="s">
        <v>350</v>
      </c>
      <c r="BD56" s="126" t="s">
        <v>350</v>
      </c>
      <c r="BE56" s="126" t="s">
        <v>350</v>
      </c>
      <c r="BF56" s="126" t="s">
        <v>350</v>
      </c>
      <c r="BG56" s="126" t="s">
        <v>350</v>
      </c>
      <c r="BH56" s="126" t="s">
        <v>350</v>
      </c>
      <c r="BI56" s="126" t="s">
        <v>350</v>
      </c>
      <c r="BJ56">
        <v>373</v>
      </c>
      <c r="BK56" s="8">
        <v>234</v>
      </c>
      <c r="BL56" s="8">
        <v>314</v>
      </c>
      <c r="BM56" s="8">
        <v>239</v>
      </c>
      <c r="BN56" s="26" t="s">
        <v>350</v>
      </c>
      <c r="BO56" s="26">
        <v>518</v>
      </c>
      <c r="BP56" s="26">
        <v>6421</v>
      </c>
      <c r="BQ56" s="183">
        <v>9097</v>
      </c>
      <c r="BR56" s="183">
        <v>0</v>
      </c>
      <c r="BS56" s="183">
        <v>0</v>
      </c>
    </row>
    <row r="57" spans="1:71" ht="15" customHeight="1">
      <c r="A57" s="21"/>
      <c r="B57" s="6" t="s">
        <v>34</v>
      </c>
      <c r="C57" s="6" t="s">
        <v>451</v>
      </c>
      <c r="D57" s="3">
        <v>3309</v>
      </c>
      <c r="E57" s="3">
        <v>4458</v>
      </c>
      <c r="F57" s="3">
        <v>6244</v>
      </c>
      <c r="G57" s="3">
        <v>2412</v>
      </c>
      <c r="H57" s="3">
        <v>2847</v>
      </c>
      <c r="I57" s="3">
        <v>3029</v>
      </c>
      <c r="J57" s="3">
        <v>5575</v>
      </c>
      <c r="K57" s="3">
        <v>3758</v>
      </c>
      <c r="L57" s="3">
        <v>4309</v>
      </c>
      <c r="M57" s="3">
        <v>7563</v>
      </c>
      <c r="N57" s="3">
        <v>6524</v>
      </c>
      <c r="O57" s="3">
        <v>16403</v>
      </c>
      <c r="P57" s="3">
        <v>16006</v>
      </c>
      <c r="Q57" s="3">
        <v>18977</v>
      </c>
      <c r="R57" s="3">
        <v>22373</v>
      </c>
      <c r="S57" s="3"/>
      <c r="T57" s="3"/>
      <c r="U57" s="3"/>
      <c r="V57" s="3">
        <v>25628</v>
      </c>
      <c r="W57" s="3">
        <v>23052</v>
      </c>
      <c r="X57" s="3">
        <v>18796</v>
      </c>
      <c r="Y57" s="3">
        <v>18108</v>
      </c>
      <c r="Z57" s="3">
        <v>16522</v>
      </c>
      <c r="AA57" s="3">
        <v>14546</v>
      </c>
      <c r="AB57" s="3">
        <v>23283.805200000003</v>
      </c>
      <c r="AC57" s="3">
        <v>18787</v>
      </c>
      <c r="AD57" s="3">
        <v>27213</v>
      </c>
      <c r="AE57" s="3">
        <v>29837</v>
      </c>
      <c r="AF57" s="3">
        <v>17403</v>
      </c>
      <c r="AG57" s="3">
        <v>14349</v>
      </c>
      <c r="AH57" s="3">
        <v>19123</v>
      </c>
      <c r="AI57" s="3">
        <v>17935</v>
      </c>
      <c r="AJ57" s="3">
        <v>18022</v>
      </c>
      <c r="AK57" s="3">
        <v>14973</v>
      </c>
      <c r="AL57" s="3">
        <v>17353</v>
      </c>
      <c r="AM57" s="3">
        <v>16857</v>
      </c>
      <c r="AN57" s="3">
        <v>30575</v>
      </c>
      <c r="AO57" s="3">
        <v>31570</v>
      </c>
      <c r="AP57" s="3">
        <v>26006</v>
      </c>
      <c r="AQ57" s="3">
        <v>33772</v>
      </c>
      <c r="AR57" s="3">
        <v>29481</v>
      </c>
      <c r="AS57" s="3">
        <v>22888</v>
      </c>
      <c r="AT57" s="3">
        <v>41583</v>
      </c>
      <c r="AU57" s="3">
        <v>50984</v>
      </c>
      <c r="AV57" s="3">
        <v>50060</v>
      </c>
      <c r="AW57" s="3">
        <v>55506</v>
      </c>
      <c r="AX57" s="8">
        <v>53900.000000000007</v>
      </c>
      <c r="AY57" s="3">
        <v>52504</v>
      </c>
      <c r="AZ57" s="3">
        <v>55013</v>
      </c>
      <c r="BA57" s="8">
        <v>46459.999999999993</v>
      </c>
      <c r="BB57" s="8">
        <v>59685</v>
      </c>
      <c r="BC57" s="8">
        <v>90151</v>
      </c>
      <c r="BD57" s="8">
        <v>73323</v>
      </c>
      <c r="BE57" s="8">
        <v>70570</v>
      </c>
      <c r="BF57" s="8">
        <v>66243</v>
      </c>
      <c r="BG57" s="8">
        <v>73940</v>
      </c>
      <c r="BH57" s="8">
        <v>68095</v>
      </c>
      <c r="BI57" s="8">
        <v>60089</v>
      </c>
      <c r="BJ57" s="8">
        <v>44584</v>
      </c>
      <c r="BK57" s="8">
        <v>41505</v>
      </c>
      <c r="BL57" s="8">
        <v>47406</v>
      </c>
      <c r="BM57" s="8">
        <v>32454</v>
      </c>
      <c r="BN57" s="26">
        <v>31242</v>
      </c>
      <c r="BO57" s="26">
        <v>16242</v>
      </c>
      <c r="BP57" s="26">
        <v>14894</v>
      </c>
      <c r="BQ57" s="183">
        <v>10714</v>
      </c>
      <c r="BR57" s="183">
        <v>20314</v>
      </c>
      <c r="BS57" s="183">
        <v>19263</v>
      </c>
    </row>
    <row r="58" spans="1:71" ht="15" customHeight="1">
      <c r="A58" s="21"/>
      <c r="B58" s="6" t="s">
        <v>101</v>
      </c>
      <c r="C58" s="6" t="s">
        <v>452</v>
      </c>
      <c r="D58" s="26" t="s">
        <v>350</v>
      </c>
      <c r="E58" s="26" t="s">
        <v>350</v>
      </c>
      <c r="F58" s="26" t="s">
        <v>350</v>
      </c>
      <c r="G58" s="26" t="s">
        <v>350</v>
      </c>
      <c r="H58" s="26" t="s">
        <v>350</v>
      </c>
      <c r="I58" s="26" t="s">
        <v>350</v>
      </c>
      <c r="J58" s="26" t="s">
        <v>350</v>
      </c>
      <c r="K58" s="26" t="s">
        <v>350</v>
      </c>
      <c r="L58" s="26" t="s">
        <v>350</v>
      </c>
      <c r="M58" s="26" t="s">
        <v>350</v>
      </c>
      <c r="N58" s="26" t="s">
        <v>350</v>
      </c>
      <c r="O58" s="26" t="s">
        <v>350</v>
      </c>
      <c r="P58" s="26" t="s">
        <v>350</v>
      </c>
      <c r="Q58" s="26" t="s">
        <v>350</v>
      </c>
      <c r="R58" s="26" t="s">
        <v>350</v>
      </c>
      <c r="S58" s="26" t="s">
        <v>350</v>
      </c>
      <c r="T58" s="26" t="s">
        <v>350</v>
      </c>
      <c r="U58" s="26" t="s">
        <v>350</v>
      </c>
      <c r="V58" s="26" t="s">
        <v>350</v>
      </c>
      <c r="W58" s="26" t="s">
        <v>350</v>
      </c>
      <c r="X58" s="26" t="s">
        <v>350</v>
      </c>
      <c r="Y58" s="26" t="s">
        <v>350</v>
      </c>
      <c r="Z58" s="26" t="s">
        <v>350</v>
      </c>
      <c r="AA58" s="26" t="s">
        <v>350</v>
      </c>
      <c r="AB58" s="26" t="s">
        <v>350</v>
      </c>
      <c r="AC58" s="26" t="s">
        <v>350</v>
      </c>
      <c r="AD58" s="26" t="s">
        <v>350</v>
      </c>
      <c r="AE58" s="26" t="s">
        <v>350</v>
      </c>
      <c r="AF58" s="26" t="s">
        <v>350</v>
      </c>
      <c r="AG58" s="26" t="s">
        <v>350</v>
      </c>
      <c r="AH58" s="26" t="s">
        <v>350</v>
      </c>
      <c r="AI58" s="26" t="s">
        <v>350</v>
      </c>
      <c r="AJ58" s="26" t="s">
        <v>350</v>
      </c>
      <c r="AK58" s="26" t="s">
        <v>350</v>
      </c>
      <c r="AL58" s="26" t="s">
        <v>350</v>
      </c>
      <c r="AM58" s="26" t="s">
        <v>350</v>
      </c>
      <c r="AN58" s="26" t="s">
        <v>350</v>
      </c>
      <c r="AO58" s="26" t="s">
        <v>350</v>
      </c>
      <c r="AP58" s="26" t="s">
        <v>350</v>
      </c>
      <c r="AQ58" s="26" t="s">
        <v>350</v>
      </c>
      <c r="AR58" s="26" t="s">
        <v>350</v>
      </c>
      <c r="AS58" s="26" t="s">
        <v>350</v>
      </c>
      <c r="AT58" s="26" t="s">
        <v>350</v>
      </c>
      <c r="AU58" s="26" t="s">
        <v>350</v>
      </c>
      <c r="AV58" s="26" t="s">
        <v>350</v>
      </c>
      <c r="AW58" s="26" t="s">
        <v>350</v>
      </c>
      <c r="AX58" s="26" t="s">
        <v>350</v>
      </c>
      <c r="AY58" s="26" t="s">
        <v>350</v>
      </c>
      <c r="AZ58" s="26" t="s">
        <v>350</v>
      </c>
      <c r="BA58" s="26" t="s">
        <v>350</v>
      </c>
      <c r="BB58" s="26" t="s">
        <v>350</v>
      </c>
      <c r="BC58" s="26" t="s">
        <v>350</v>
      </c>
      <c r="BD58" s="8">
        <v>162233</v>
      </c>
      <c r="BE58" s="8">
        <v>161999</v>
      </c>
      <c r="BF58" s="26" t="s">
        <v>350</v>
      </c>
      <c r="BG58" s="26" t="s">
        <v>350</v>
      </c>
      <c r="BH58" s="26" t="s">
        <v>350</v>
      </c>
      <c r="BI58" s="26" t="s">
        <v>350</v>
      </c>
      <c r="BJ58" s="26" t="s">
        <v>350</v>
      </c>
      <c r="BK58" s="26" t="s">
        <v>350</v>
      </c>
      <c r="BL58" s="26" t="s">
        <v>350</v>
      </c>
      <c r="BM58" s="26" t="s">
        <v>350</v>
      </c>
      <c r="BN58" s="26" t="s">
        <v>350</v>
      </c>
      <c r="BO58" s="26" t="s">
        <v>350</v>
      </c>
      <c r="BP58" s="26" t="s">
        <v>350</v>
      </c>
      <c r="BQ58" s="183" t="s">
        <v>350</v>
      </c>
      <c r="BR58" s="183" t="s">
        <v>350</v>
      </c>
      <c r="BS58" s="183" t="s">
        <v>350</v>
      </c>
    </row>
    <row r="59" spans="1:71" ht="15" customHeight="1">
      <c r="A59" s="21"/>
      <c r="B59" s="7" t="s">
        <v>35</v>
      </c>
      <c r="C59" s="7" t="s">
        <v>453</v>
      </c>
      <c r="D59" s="50">
        <f t="shared" ref="D59" si="9">SUM(D49:D58)</f>
        <v>111563</v>
      </c>
      <c r="E59" s="50">
        <f t="shared" ref="E59" si="10">SUM(E49:E58)</f>
        <v>134848</v>
      </c>
      <c r="F59" s="50">
        <f t="shared" ref="F59" si="11">SUM(F49:F58)</f>
        <v>148414</v>
      </c>
      <c r="G59" s="50">
        <f t="shared" ref="G59" si="12">SUM(G49:G58)</f>
        <v>188277</v>
      </c>
      <c r="H59" s="50">
        <f t="shared" ref="H59" si="13">SUM(H49:H58)</f>
        <v>189996</v>
      </c>
      <c r="I59" s="50">
        <f t="shared" ref="I59" si="14">SUM(I49:I58)</f>
        <v>202402</v>
      </c>
      <c r="J59" s="50">
        <f t="shared" ref="J59" si="15">SUM(J49:J58)</f>
        <v>221051</v>
      </c>
      <c r="K59" s="50">
        <f t="shared" ref="K59" si="16">SUM(K49:K58)</f>
        <v>222944</v>
      </c>
      <c r="L59" s="50">
        <f t="shared" ref="L59" si="17">SUM(L49:L58)</f>
        <v>214339</v>
      </c>
      <c r="M59" s="50">
        <f t="shared" ref="M59" si="18">SUM(M49:M58)</f>
        <v>226104</v>
      </c>
      <c r="N59" s="50">
        <f t="shared" ref="N59" si="19">SUM(N49:N58)</f>
        <v>216278</v>
      </c>
      <c r="O59" s="50">
        <f t="shared" ref="O59" si="20">SUM(O49:O58)</f>
        <v>271337</v>
      </c>
      <c r="P59" s="50">
        <f t="shared" ref="P59" si="21">SUM(P49:P58)</f>
        <v>275707</v>
      </c>
      <c r="Q59" s="50">
        <f t="shared" ref="Q59" si="22">SUM(Q49:Q58)</f>
        <v>242290</v>
      </c>
      <c r="R59" s="50">
        <f t="shared" ref="R59" si="23">SUM(R49:R58)</f>
        <v>267382</v>
      </c>
      <c r="S59" s="50">
        <f t="shared" ref="S59" si="24">SUM(S49:S58)</f>
        <v>0</v>
      </c>
      <c r="T59" s="50">
        <f t="shared" ref="T59" si="25">SUM(T49:T58)</f>
        <v>0</v>
      </c>
      <c r="U59" s="50">
        <f t="shared" ref="U59" si="26">SUM(U49:U58)</f>
        <v>0</v>
      </c>
      <c r="V59" s="50">
        <f t="shared" ref="V59" si="27">SUM(V49:V58)</f>
        <v>191225</v>
      </c>
      <c r="W59" s="50">
        <f t="shared" ref="W59" si="28">SUM(W49:W58)</f>
        <v>199022</v>
      </c>
      <c r="X59" s="50">
        <f t="shared" ref="X59" si="29">SUM(X49:X58)</f>
        <v>256911</v>
      </c>
      <c r="Y59" s="50">
        <f t="shared" ref="Y59" si="30">SUM(Y49:Y58)</f>
        <v>305650</v>
      </c>
      <c r="Z59" s="50">
        <f t="shared" ref="Z59" si="31">SUM(Z49:Z58)</f>
        <v>299838</v>
      </c>
      <c r="AA59" s="50">
        <f t="shared" ref="AA59" si="32">SUM(AA49:AA58)</f>
        <v>324757</v>
      </c>
      <c r="AB59" s="50">
        <f t="shared" ref="AB59" si="33">SUM(AB49:AB58)</f>
        <v>344836.8052</v>
      </c>
      <c r="AC59" s="50">
        <f t="shared" ref="AC59" si="34">SUM(AC49:AC58)</f>
        <v>397114</v>
      </c>
      <c r="AD59" s="50">
        <f t="shared" ref="AD59" si="35">SUM(AD49:AD58)</f>
        <v>437464</v>
      </c>
      <c r="AE59" s="50">
        <f t="shared" ref="AE59" si="36">SUM(AE49:AE58)</f>
        <v>408651</v>
      </c>
      <c r="AF59" s="50">
        <f t="shared" ref="AF59" si="37">SUM(AF49:AF58)</f>
        <v>555257</v>
      </c>
      <c r="AG59" s="50">
        <f t="shared" ref="AG59" si="38">SUM(AG49:AG58)</f>
        <v>578924</v>
      </c>
      <c r="AH59" s="50">
        <f t="shared" ref="AH59" si="39">SUM(AH49:AH58)</f>
        <v>544083</v>
      </c>
      <c r="AI59" s="50">
        <f t="shared" ref="AI59" si="40">SUM(AI49:AI58)</f>
        <v>506294</v>
      </c>
      <c r="AJ59" s="50">
        <f t="shared" ref="AJ59" si="41">SUM(AJ49:AJ58)</f>
        <v>395866</v>
      </c>
      <c r="AK59" s="50">
        <f t="shared" ref="AK59" si="42">SUM(AK49:AK58)</f>
        <v>417817</v>
      </c>
      <c r="AL59" s="50">
        <f t="shared" ref="AL59" si="43">SUM(AL49:AL58)</f>
        <v>448118</v>
      </c>
      <c r="AM59" s="50">
        <f t="shared" ref="AM59" si="44">SUM(AM49:AM58)</f>
        <v>443517</v>
      </c>
      <c r="AN59" s="50">
        <f t="shared" ref="AN59" si="45">SUM(AN49:AN58)</f>
        <v>599440</v>
      </c>
      <c r="AO59" s="50">
        <f t="shared" ref="AO59" si="46">SUM(AO49:AO58)</f>
        <v>445263</v>
      </c>
      <c r="AP59" s="50">
        <f t="shared" ref="AP59" si="47">SUM(AP49:AP58)</f>
        <v>465766</v>
      </c>
      <c r="AQ59" s="50">
        <f t="shared" ref="AQ59" si="48">SUM(AQ49:AQ58)</f>
        <v>484298</v>
      </c>
      <c r="AR59" s="50">
        <f t="shared" ref="AR59" si="49">SUM(AR49:AR58)</f>
        <v>520574</v>
      </c>
      <c r="AS59" s="50">
        <f t="shared" ref="AS59" si="50">SUM(AS49:AS58)</f>
        <v>575376</v>
      </c>
      <c r="AT59" s="50">
        <f t="shared" ref="AT59" si="51">SUM(AT49:AT58)</f>
        <v>631836</v>
      </c>
      <c r="AU59" s="50">
        <f t="shared" ref="AU59" si="52">SUM(AU49:AU58)</f>
        <v>707448</v>
      </c>
      <c r="AV59" s="50">
        <f t="shared" ref="AV59" si="53">SUM(AV49:AV58)</f>
        <v>985751</v>
      </c>
      <c r="AW59" s="50">
        <f t="shared" ref="AW59" si="54">SUM(AW49:AW58)</f>
        <v>1045184</v>
      </c>
      <c r="AX59" s="50">
        <f t="shared" ref="AX59" si="55">SUM(AX49:AX58)</f>
        <v>1090946</v>
      </c>
      <c r="AY59" s="50">
        <f t="shared" ref="AY59" si="56">SUM(AY49:AY58)</f>
        <v>1163117</v>
      </c>
      <c r="AZ59" s="50">
        <f t="shared" ref="AZ59" si="57">SUM(AZ49:AZ58)</f>
        <v>743378</v>
      </c>
      <c r="BA59" s="50">
        <f t="shared" ref="BA59" si="58">SUM(BA49:BA58)</f>
        <v>832649</v>
      </c>
      <c r="BB59" s="50">
        <f t="shared" ref="BB59" si="59">SUM(BB49:BB58)</f>
        <v>854308</v>
      </c>
      <c r="BC59" s="50">
        <f t="shared" ref="BC59" si="60">SUM(BC49:BC58)</f>
        <v>904650</v>
      </c>
      <c r="BD59" s="50">
        <f t="shared" ref="BD59" si="61">SUM(BD49:BD58)</f>
        <v>826954</v>
      </c>
      <c r="BE59" s="50">
        <f t="shared" ref="BE59" si="62">SUM(BE49:BE58)</f>
        <v>891529</v>
      </c>
      <c r="BF59" s="50">
        <f t="shared" ref="BF59" si="63">SUM(BF49:BF58)</f>
        <v>702216</v>
      </c>
      <c r="BG59" s="50">
        <f t="shared" ref="BG59" si="64">SUM(BG49:BG58)</f>
        <v>736511</v>
      </c>
      <c r="BH59" s="50">
        <f t="shared" ref="BH59" si="65">SUM(BH49:BH58)</f>
        <v>618387</v>
      </c>
      <c r="BI59" s="50">
        <f t="shared" ref="BI59" si="66">SUM(BI49:BI58)</f>
        <v>674220</v>
      </c>
      <c r="BJ59" s="50">
        <f t="shared" ref="BJ59" si="67">SUM(BJ49:BJ58)</f>
        <v>551170</v>
      </c>
      <c r="BK59" s="50">
        <f t="shared" ref="BK59" si="68">SUM(BK49:BK58)</f>
        <v>515656</v>
      </c>
      <c r="BL59" s="50">
        <f t="shared" ref="BL59" si="69">SUM(BL49:BL58)</f>
        <v>454950</v>
      </c>
      <c r="BM59" s="50">
        <f t="shared" ref="BM59" si="70">SUM(BM49:BM58)</f>
        <v>519757</v>
      </c>
      <c r="BN59" s="50">
        <f t="shared" ref="BN59:BS59" si="71">SUM(BN49:BN58)</f>
        <v>539370</v>
      </c>
      <c r="BO59" s="50">
        <f t="shared" si="71"/>
        <v>570407</v>
      </c>
      <c r="BP59" s="50">
        <f t="shared" si="71"/>
        <v>464881</v>
      </c>
      <c r="BQ59" s="185">
        <f t="shared" si="71"/>
        <v>462509</v>
      </c>
      <c r="BR59" s="185">
        <f t="shared" si="71"/>
        <v>660397</v>
      </c>
      <c r="BS59" s="185">
        <f t="shared" si="71"/>
        <v>616784</v>
      </c>
    </row>
    <row r="60" spans="1:71" ht="15" customHeight="1">
      <c r="A60" s="21"/>
      <c r="BA60" s="8"/>
      <c r="BB60" s="8"/>
      <c r="BC60" s="8"/>
      <c r="BQ60" s="182"/>
      <c r="BR60" s="182"/>
      <c r="BS60" s="182"/>
    </row>
    <row r="61" spans="1:71" ht="15" customHeight="1">
      <c r="A61" s="21"/>
      <c r="B61" s="146" t="s">
        <v>7</v>
      </c>
      <c r="C61" s="146" t="s">
        <v>433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50"/>
      <c r="BB61" s="150"/>
      <c r="BC61" s="150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84"/>
      <c r="BR61" s="184"/>
      <c r="BS61" s="184"/>
    </row>
    <row r="62" spans="1:71" ht="15" customHeight="1">
      <c r="A62" s="21"/>
      <c r="B62" s="6" t="s">
        <v>31</v>
      </c>
      <c r="C62" s="6" t="s">
        <v>443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2453</v>
      </c>
      <c r="L62" s="3">
        <v>1152</v>
      </c>
      <c r="M62" s="3">
        <v>416</v>
      </c>
      <c r="N62" s="3">
        <v>571</v>
      </c>
      <c r="O62" s="3">
        <v>147</v>
      </c>
      <c r="P62" s="3">
        <v>142</v>
      </c>
      <c r="Q62" s="3">
        <v>158</v>
      </c>
      <c r="R62" s="3">
        <v>1708</v>
      </c>
      <c r="S62" s="3"/>
      <c r="T62" s="3"/>
      <c r="U62" s="3"/>
      <c r="V62" s="3">
        <v>1621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8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188">
        <v>0</v>
      </c>
      <c r="BR62" s="188">
        <v>0</v>
      </c>
      <c r="BS62" s="188">
        <v>0</v>
      </c>
    </row>
    <row r="63" spans="1:71" ht="15" customHeight="1">
      <c r="A63" s="21"/>
      <c r="B63" s="17" t="s">
        <v>40</v>
      </c>
      <c r="C63" s="17" t="s">
        <v>444</v>
      </c>
      <c r="D63" s="3">
        <v>180111</v>
      </c>
      <c r="E63" s="3">
        <v>144111</v>
      </c>
      <c r="F63" s="3">
        <v>144000</v>
      </c>
      <c r="G63" s="3">
        <v>108000</v>
      </c>
      <c r="H63" s="3">
        <v>108000</v>
      </c>
      <c r="I63" s="3">
        <v>72000</v>
      </c>
      <c r="J63" s="3">
        <v>72000</v>
      </c>
      <c r="K63" s="3">
        <v>136000</v>
      </c>
      <c r="L63" s="3">
        <v>136000</v>
      </c>
      <c r="M63" s="3">
        <v>100000</v>
      </c>
      <c r="N63" s="3">
        <v>100000</v>
      </c>
      <c r="O63" s="3">
        <v>263799</v>
      </c>
      <c r="P63" s="3">
        <v>272320</v>
      </c>
      <c r="Q63" s="3">
        <v>401029</v>
      </c>
      <c r="R63" s="3">
        <v>401529</v>
      </c>
      <c r="S63" s="3"/>
      <c r="T63" s="3"/>
      <c r="U63" s="3"/>
      <c r="V63" s="3">
        <v>393164</v>
      </c>
      <c r="W63" s="3">
        <v>397997</v>
      </c>
      <c r="X63" s="3">
        <v>356791</v>
      </c>
      <c r="Y63" s="3">
        <v>343883</v>
      </c>
      <c r="Z63" s="3">
        <v>357584</v>
      </c>
      <c r="AA63" s="18">
        <v>414856</v>
      </c>
      <c r="AB63" s="18">
        <v>544863</v>
      </c>
      <c r="AC63" s="3">
        <v>630684</v>
      </c>
      <c r="AD63" s="3">
        <v>583248</v>
      </c>
      <c r="AE63" s="3">
        <v>545430</v>
      </c>
      <c r="AF63" s="3">
        <v>301662</v>
      </c>
      <c r="AG63" s="3">
        <v>512259</v>
      </c>
      <c r="AH63" s="3">
        <v>475421</v>
      </c>
      <c r="AI63" s="3">
        <v>455084</v>
      </c>
      <c r="AJ63" s="3">
        <v>627791</v>
      </c>
      <c r="AK63" s="3">
        <v>603300</v>
      </c>
      <c r="AL63" s="3">
        <v>549599</v>
      </c>
      <c r="AM63" s="3">
        <v>542592</v>
      </c>
      <c r="AN63" s="3">
        <v>680106</v>
      </c>
      <c r="AO63" s="3">
        <v>680034</v>
      </c>
      <c r="AP63" s="3">
        <v>617438</v>
      </c>
      <c r="AQ63" s="3">
        <v>709707</v>
      </c>
      <c r="AR63" s="3">
        <v>720911</v>
      </c>
      <c r="AS63" s="3">
        <v>750433</v>
      </c>
      <c r="AT63" s="3">
        <v>669698</v>
      </c>
      <c r="AU63" s="3">
        <v>756509</v>
      </c>
      <c r="AV63" s="3">
        <v>746477</v>
      </c>
      <c r="AW63" s="3">
        <v>719037</v>
      </c>
      <c r="AX63" s="8">
        <v>551485</v>
      </c>
      <c r="AY63" s="3">
        <v>621746</v>
      </c>
      <c r="AZ63" s="3">
        <v>851992</v>
      </c>
      <c r="BA63" s="8">
        <v>801761</v>
      </c>
      <c r="BB63" s="8">
        <v>820355</v>
      </c>
      <c r="BC63" s="8">
        <v>733746</v>
      </c>
      <c r="BD63" s="8">
        <v>763086</v>
      </c>
      <c r="BE63" s="8">
        <v>751932</v>
      </c>
      <c r="BF63" s="8">
        <v>585354</v>
      </c>
      <c r="BG63" s="8">
        <v>558369</v>
      </c>
      <c r="BH63" s="8">
        <v>518131</v>
      </c>
      <c r="BI63" s="8">
        <v>472189</v>
      </c>
      <c r="BJ63" s="8">
        <v>537893</v>
      </c>
      <c r="BK63" s="8">
        <v>517878</v>
      </c>
      <c r="BL63" s="8">
        <v>493485</v>
      </c>
      <c r="BM63" s="8">
        <v>489612</v>
      </c>
      <c r="BN63" s="26">
        <v>483085</v>
      </c>
      <c r="BO63" s="26">
        <v>472338</v>
      </c>
      <c r="BP63" s="26">
        <v>476717</v>
      </c>
      <c r="BQ63" s="183">
        <v>526823</v>
      </c>
      <c r="BR63" s="183">
        <v>617524</v>
      </c>
      <c r="BS63" s="183">
        <v>560570</v>
      </c>
    </row>
    <row r="64" spans="1:71" ht="15" customHeight="1">
      <c r="A64" s="21"/>
      <c r="B64" s="17" t="s">
        <v>49</v>
      </c>
      <c r="C64" s="17" t="s">
        <v>449</v>
      </c>
      <c r="D64" s="3">
        <v>7885</v>
      </c>
      <c r="E64" s="3">
        <v>7607</v>
      </c>
      <c r="F64" s="3">
        <v>7323</v>
      </c>
      <c r="G64" s="3">
        <v>3247</v>
      </c>
      <c r="H64" s="3">
        <v>2873</v>
      </c>
      <c r="I64" s="3">
        <v>2494</v>
      </c>
      <c r="J64" s="3">
        <v>2109</v>
      </c>
      <c r="K64" s="3">
        <v>1643</v>
      </c>
      <c r="L64" s="3">
        <v>1330</v>
      </c>
      <c r="M64" s="3">
        <v>1015</v>
      </c>
      <c r="N64" s="3">
        <v>699</v>
      </c>
      <c r="O64" s="3">
        <v>0</v>
      </c>
      <c r="P64" s="3">
        <v>0</v>
      </c>
      <c r="Q64" s="3">
        <v>0</v>
      </c>
      <c r="R64" s="3">
        <v>0</v>
      </c>
      <c r="S64" s="3"/>
      <c r="T64" s="3"/>
      <c r="U64" s="3"/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8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8">
        <v>1492</v>
      </c>
      <c r="BE64" s="8">
        <v>1492</v>
      </c>
      <c r="BF64" s="8">
        <v>1491</v>
      </c>
      <c r="BG64" s="8">
        <v>1491</v>
      </c>
      <c r="BH64" s="8">
        <v>1491</v>
      </c>
      <c r="BI64" s="8">
        <v>1491</v>
      </c>
      <c r="BJ64" s="8">
        <v>1491</v>
      </c>
      <c r="BK64" s="8">
        <v>666</v>
      </c>
      <c r="BL64" s="8">
        <v>666</v>
      </c>
      <c r="BM64" s="8">
        <v>666</v>
      </c>
      <c r="BN64" s="26">
        <v>809</v>
      </c>
      <c r="BO64" s="26">
        <v>731</v>
      </c>
      <c r="BP64" s="26" t="s">
        <v>350</v>
      </c>
      <c r="BQ64" s="183">
        <v>684</v>
      </c>
      <c r="BR64" s="183">
        <v>672</v>
      </c>
      <c r="BS64" s="183">
        <v>660</v>
      </c>
    </row>
    <row r="65" spans="1:71" ht="15" customHeight="1">
      <c r="A65" s="21"/>
      <c r="B65" s="6" t="s">
        <v>43</v>
      </c>
      <c r="C65" s="6" t="s">
        <v>454</v>
      </c>
      <c r="D65" s="3">
        <v>27445</v>
      </c>
      <c r="E65" s="3">
        <v>21884</v>
      </c>
      <c r="F65" s="3">
        <v>26950</v>
      </c>
      <c r="G65" s="3">
        <v>26275</v>
      </c>
      <c r="H65" s="3">
        <v>24118</v>
      </c>
      <c r="I65" s="3">
        <v>23562</v>
      </c>
      <c r="J65" s="3">
        <v>23613</v>
      </c>
      <c r="K65" s="3">
        <v>22293</v>
      </c>
      <c r="L65" s="3">
        <v>20901</v>
      </c>
      <c r="M65" s="3">
        <v>21587</v>
      </c>
      <c r="N65" s="3">
        <v>20315</v>
      </c>
      <c r="O65" s="3">
        <v>12628</v>
      </c>
      <c r="P65" s="3">
        <v>12091</v>
      </c>
      <c r="Q65" s="3">
        <v>14300</v>
      </c>
      <c r="R65" s="3">
        <v>14708</v>
      </c>
      <c r="S65" s="3"/>
      <c r="T65" s="3"/>
      <c r="U65" s="3"/>
      <c r="V65" s="3">
        <v>12682</v>
      </c>
      <c r="W65" s="3">
        <v>12825</v>
      </c>
      <c r="X65" s="3">
        <v>12273</v>
      </c>
      <c r="Y65" s="3">
        <v>12702</v>
      </c>
      <c r="Z65" s="3">
        <v>19272</v>
      </c>
      <c r="AA65" s="3">
        <v>20382</v>
      </c>
      <c r="AB65" s="3">
        <v>18582</v>
      </c>
      <c r="AC65" s="3">
        <v>23426</v>
      </c>
      <c r="AD65" s="3">
        <v>22955</v>
      </c>
      <c r="AE65" s="3">
        <v>18537</v>
      </c>
      <c r="AF65" s="3">
        <v>19419</v>
      </c>
      <c r="AG65" s="3">
        <v>20451</v>
      </c>
      <c r="AH65" s="3">
        <v>19789</v>
      </c>
      <c r="AI65" s="3">
        <v>19350</v>
      </c>
      <c r="AJ65" s="3">
        <v>17764</v>
      </c>
      <c r="AK65" s="3">
        <v>19899</v>
      </c>
      <c r="AL65" s="3">
        <v>17407</v>
      </c>
      <c r="AM65" s="3">
        <v>15368</v>
      </c>
      <c r="AN65" s="3">
        <v>15206</v>
      </c>
      <c r="AO65" s="3">
        <v>13873</v>
      </c>
      <c r="AP65" s="3">
        <v>15016</v>
      </c>
      <c r="AQ65" s="3">
        <v>14365</v>
      </c>
      <c r="AR65" s="3">
        <v>19047</v>
      </c>
      <c r="AS65" s="3">
        <v>15063</v>
      </c>
      <c r="AT65" s="3">
        <v>15243</v>
      </c>
      <c r="AU65" s="3">
        <v>16085</v>
      </c>
      <c r="AV65" s="3">
        <v>16011</v>
      </c>
      <c r="AW65" s="3">
        <v>17142</v>
      </c>
      <c r="AX65" s="8">
        <v>18625</v>
      </c>
      <c r="AY65" s="3">
        <v>18688</v>
      </c>
      <c r="AZ65" s="3">
        <v>42206</v>
      </c>
      <c r="BA65" s="8">
        <v>45589</v>
      </c>
      <c r="BB65" s="8">
        <v>45548</v>
      </c>
      <c r="BC65" s="8">
        <v>46458</v>
      </c>
      <c r="BD65" s="8">
        <v>51952</v>
      </c>
      <c r="BE65" s="8">
        <v>54355</v>
      </c>
      <c r="BF65" s="8">
        <v>66130</v>
      </c>
      <c r="BG65" s="8">
        <v>72093</v>
      </c>
      <c r="BH65" s="8">
        <v>54332</v>
      </c>
      <c r="BI65" s="8">
        <v>54873</v>
      </c>
      <c r="BJ65" s="8">
        <v>57261</v>
      </c>
      <c r="BK65" s="8">
        <v>62802</v>
      </c>
      <c r="BL65" s="8">
        <v>40038</v>
      </c>
      <c r="BM65" s="8">
        <v>40023</v>
      </c>
      <c r="BN65" s="26">
        <v>45608</v>
      </c>
      <c r="BO65" s="26">
        <v>44900</v>
      </c>
      <c r="BP65" s="26">
        <v>49436</v>
      </c>
      <c r="BQ65" s="183">
        <v>62957</v>
      </c>
      <c r="BR65" s="183">
        <v>47268</v>
      </c>
      <c r="BS65" s="183">
        <v>38992</v>
      </c>
    </row>
    <row r="66" spans="1:71" ht="15" customHeight="1">
      <c r="A66" s="21"/>
      <c r="B66" s="6" t="s">
        <v>2</v>
      </c>
      <c r="C66" s="6" t="s">
        <v>435</v>
      </c>
      <c r="D66" s="3">
        <v>9775</v>
      </c>
      <c r="E66" s="3">
        <v>11731</v>
      </c>
      <c r="F66" s="3">
        <v>13686</v>
      </c>
      <c r="G66" s="3">
        <v>9820</v>
      </c>
      <c r="H66" s="3">
        <v>17596</v>
      </c>
      <c r="I66" s="3">
        <v>19551</v>
      </c>
      <c r="J66" s="3">
        <v>21506</v>
      </c>
      <c r="K66" s="3">
        <v>19963</v>
      </c>
      <c r="L66" s="3">
        <v>26815</v>
      </c>
      <c r="M66" s="3">
        <v>24150</v>
      </c>
      <c r="N66" s="3">
        <v>26204</v>
      </c>
      <c r="O66" s="3">
        <v>29823</v>
      </c>
      <c r="P66" s="3">
        <v>31829</v>
      </c>
      <c r="Q66" s="3">
        <v>32617</v>
      </c>
      <c r="R66" s="3">
        <v>25982</v>
      </c>
      <c r="S66" s="3"/>
      <c r="T66" s="3"/>
      <c r="U66" s="3"/>
      <c r="V66" s="3">
        <v>26757</v>
      </c>
      <c r="W66" s="3">
        <v>26861</v>
      </c>
      <c r="X66" s="3">
        <v>27479</v>
      </c>
      <c r="Y66" s="3">
        <v>27877</v>
      </c>
      <c r="Z66" s="3">
        <v>24897</v>
      </c>
      <c r="AA66" s="3">
        <v>27049</v>
      </c>
      <c r="AB66" s="3">
        <v>27731</v>
      </c>
      <c r="AC66" s="3">
        <v>27279</v>
      </c>
      <c r="AD66" s="3">
        <v>26490</v>
      </c>
      <c r="AE66" s="3">
        <v>27404</v>
      </c>
      <c r="AF66" s="3">
        <v>27541</v>
      </c>
      <c r="AG66" s="3">
        <v>33996</v>
      </c>
      <c r="AH66" s="3">
        <v>32980</v>
      </c>
      <c r="AI66" s="3">
        <v>32883</v>
      </c>
      <c r="AJ66" s="3">
        <v>32905</v>
      </c>
      <c r="AK66" s="3">
        <v>36133</v>
      </c>
      <c r="AL66" s="3">
        <v>36805</v>
      </c>
      <c r="AM66" s="3">
        <v>36552</v>
      </c>
      <c r="AN66" s="3">
        <v>36189</v>
      </c>
      <c r="AO66" s="3">
        <v>37096</v>
      </c>
      <c r="AP66" s="3">
        <v>36279</v>
      </c>
      <c r="AQ66" s="3">
        <v>38742</v>
      </c>
      <c r="AR66" s="3">
        <v>37896</v>
      </c>
      <c r="AS66" s="3">
        <v>37672</v>
      </c>
      <c r="AT66" s="3">
        <v>38080</v>
      </c>
      <c r="AU66" s="3">
        <v>38696</v>
      </c>
      <c r="AV66" s="3">
        <v>39025</v>
      </c>
      <c r="AW66" s="3">
        <v>38726</v>
      </c>
      <c r="AX66" s="8">
        <v>44847</v>
      </c>
      <c r="AY66" s="3">
        <v>45135</v>
      </c>
      <c r="AZ66" s="3">
        <v>48149</v>
      </c>
      <c r="BA66" s="8">
        <v>42555</v>
      </c>
      <c r="BB66" s="8">
        <v>38337</v>
      </c>
      <c r="BC66" s="8">
        <v>38896</v>
      </c>
      <c r="BD66" s="8">
        <v>42725</v>
      </c>
      <c r="BE66" s="8">
        <v>45493</v>
      </c>
      <c r="BF66" s="8">
        <v>9585</v>
      </c>
      <c r="BG66" s="8">
        <v>8587</v>
      </c>
      <c r="BH66" s="8">
        <v>10437</v>
      </c>
      <c r="BI66" s="8">
        <v>14643</v>
      </c>
      <c r="BJ66" s="8">
        <v>9940</v>
      </c>
      <c r="BK66" s="8">
        <v>16237</v>
      </c>
      <c r="BL66" s="8">
        <v>16013</v>
      </c>
      <c r="BM66" s="8">
        <v>14502</v>
      </c>
      <c r="BN66" s="26">
        <v>13434</v>
      </c>
      <c r="BO66" s="26">
        <v>28318</v>
      </c>
      <c r="BP66" s="26">
        <v>33133</v>
      </c>
      <c r="BQ66" s="183">
        <v>27900</v>
      </c>
      <c r="BR66" s="183">
        <v>28425</v>
      </c>
      <c r="BS66" s="183">
        <v>30987</v>
      </c>
    </row>
    <row r="67" spans="1:71" ht="15" customHeight="1">
      <c r="A67" s="21"/>
      <c r="B67" s="6" t="s">
        <v>42</v>
      </c>
      <c r="C67" s="6" t="s">
        <v>448</v>
      </c>
      <c r="D67" s="3">
        <v>4000</v>
      </c>
      <c r="E67" s="3">
        <v>1524</v>
      </c>
      <c r="F67" s="3">
        <v>1406</v>
      </c>
      <c r="G67" s="3">
        <v>4000</v>
      </c>
      <c r="H67" s="3">
        <v>4000</v>
      </c>
      <c r="I67" s="3">
        <v>4000</v>
      </c>
      <c r="J67" s="3">
        <v>4000</v>
      </c>
      <c r="K67" s="3">
        <v>4000</v>
      </c>
      <c r="L67" s="3">
        <v>4000</v>
      </c>
      <c r="M67" s="3">
        <v>4000</v>
      </c>
      <c r="N67" s="3">
        <v>4000</v>
      </c>
      <c r="O67" s="3">
        <v>4000</v>
      </c>
      <c r="P67" s="3">
        <v>4000</v>
      </c>
      <c r="Q67" s="3">
        <v>4000</v>
      </c>
      <c r="R67" s="3">
        <v>8652</v>
      </c>
      <c r="S67" s="3"/>
      <c r="T67" s="3"/>
      <c r="U67" s="3"/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8">
        <v>0</v>
      </c>
      <c r="AY67" s="3">
        <v>0</v>
      </c>
      <c r="AZ67" s="3">
        <v>0</v>
      </c>
      <c r="BA67" s="26" t="s">
        <v>350</v>
      </c>
      <c r="BB67" s="26" t="s">
        <v>350</v>
      </c>
      <c r="BC67" s="26" t="s">
        <v>350</v>
      </c>
      <c r="BD67" s="26" t="s">
        <v>350</v>
      </c>
      <c r="BE67" s="26" t="s">
        <v>350</v>
      </c>
      <c r="BF67" s="26" t="s">
        <v>350</v>
      </c>
      <c r="BG67" s="26" t="s">
        <v>350</v>
      </c>
      <c r="BH67" s="26" t="s">
        <v>350</v>
      </c>
      <c r="BI67" s="26" t="s">
        <v>350</v>
      </c>
      <c r="BJ67" s="26" t="s">
        <v>350</v>
      </c>
      <c r="BK67" s="26" t="s">
        <v>350</v>
      </c>
      <c r="BL67" s="26" t="s">
        <v>350</v>
      </c>
      <c r="BM67" s="26" t="s">
        <v>350</v>
      </c>
      <c r="BN67" s="26" t="s">
        <v>350</v>
      </c>
      <c r="BO67" s="26" t="s">
        <v>350</v>
      </c>
      <c r="BP67" s="26" t="s">
        <v>350</v>
      </c>
      <c r="BQ67" s="183">
        <v>52388</v>
      </c>
      <c r="BR67" s="183">
        <v>61089</v>
      </c>
      <c r="BS67" s="183">
        <v>57265</v>
      </c>
    </row>
    <row r="68" spans="1:71" ht="15" customHeight="1">
      <c r="A68" s="21"/>
      <c r="B68" s="6" t="s">
        <v>50</v>
      </c>
      <c r="C68" s="6" t="s">
        <v>450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593</v>
      </c>
      <c r="P68" s="3">
        <v>3840</v>
      </c>
      <c r="Q68" s="3">
        <v>0</v>
      </c>
      <c r="R68" s="3">
        <v>0</v>
      </c>
      <c r="S68" s="3"/>
      <c r="T68" s="3"/>
      <c r="U68" s="3"/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8">
        <v>0</v>
      </c>
      <c r="AY68" s="3">
        <v>0</v>
      </c>
      <c r="AZ68" s="3">
        <v>0</v>
      </c>
      <c r="BA68" s="26" t="s">
        <v>350</v>
      </c>
      <c r="BB68" s="26" t="s">
        <v>350</v>
      </c>
      <c r="BC68" s="26" t="s">
        <v>350</v>
      </c>
      <c r="BD68" s="26" t="s">
        <v>350</v>
      </c>
      <c r="BE68" s="26" t="s">
        <v>350</v>
      </c>
      <c r="BF68" s="26" t="s">
        <v>350</v>
      </c>
      <c r="BG68" s="26" t="s">
        <v>350</v>
      </c>
      <c r="BH68" s="26" t="s">
        <v>350</v>
      </c>
      <c r="BI68" s="26" t="s">
        <v>350</v>
      </c>
      <c r="BJ68" s="26" t="s">
        <v>350</v>
      </c>
      <c r="BK68" s="26" t="s">
        <v>350</v>
      </c>
      <c r="BL68" s="26" t="s">
        <v>350</v>
      </c>
      <c r="BM68" s="26" t="s">
        <v>350</v>
      </c>
      <c r="BN68" s="26" t="s">
        <v>350</v>
      </c>
      <c r="BO68" s="26" t="s">
        <v>350</v>
      </c>
      <c r="BP68" s="26" t="s">
        <v>350</v>
      </c>
      <c r="BQ68" s="183" t="s">
        <v>350</v>
      </c>
      <c r="BR68" s="183" t="s">
        <v>350</v>
      </c>
      <c r="BS68" s="183" t="s">
        <v>350</v>
      </c>
    </row>
    <row r="69" spans="1:71" ht="15" customHeight="1">
      <c r="A69" s="21"/>
      <c r="B69" s="6" t="s">
        <v>34</v>
      </c>
      <c r="C69" s="6" t="s">
        <v>451</v>
      </c>
      <c r="D69" s="3">
        <v>3692</v>
      </c>
      <c r="E69" s="3">
        <v>4000</v>
      </c>
      <c r="F69" s="3">
        <v>4000</v>
      </c>
      <c r="G69" s="3">
        <v>6435</v>
      </c>
      <c r="H69" s="3">
        <v>5839</v>
      </c>
      <c r="I69" s="3">
        <v>3763</v>
      </c>
      <c r="J69" s="3">
        <v>2970</v>
      </c>
      <c r="K69" s="3">
        <v>2995</v>
      </c>
      <c r="L69" s="3">
        <v>2693</v>
      </c>
      <c r="M69" s="3">
        <v>2545</v>
      </c>
      <c r="N69" s="3">
        <v>1394</v>
      </c>
      <c r="O69" s="3">
        <v>1092</v>
      </c>
      <c r="P69" s="3">
        <v>91</v>
      </c>
      <c r="Q69" s="3">
        <v>59</v>
      </c>
      <c r="R69" s="3">
        <v>921</v>
      </c>
      <c r="S69" s="3"/>
      <c r="T69" s="3"/>
      <c r="U69" s="3"/>
      <c r="V69" s="3">
        <v>4037</v>
      </c>
      <c r="W69" s="3">
        <v>2673</v>
      </c>
      <c r="X69" s="3">
        <v>3462</v>
      </c>
      <c r="Y69" s="3">
        <v>3906</v>
      </c>
      <c r="Z69" s="3">
        <v>4062</v>
      </c>
      <c r="AA69" s="3">
        <v>4406</v>
      </c>
      <c r="AB69" s="3">
        <v>4528</v>
      </c>
      <c r="AC69" s="3">
        <v>5243</v>
      </c>
      <c r="AD69" s="3">
        <v>7856</v>
      </c>
      <c r="AE69" s="3">
        <v>8214</v>
      </c>
      <c r="AF69" s="3">
        <v>11644</v>
      </c>
      <c r="AG69" s="3">
        <v>9771</v>
      </c>
      <c r="AH69" s="3">
        <v>10274</v>
      </c>
      <c r="AI69" s="3">
        <v>20690</v>
      </c>
      <c r="AJ69" s="3">
        <v>20155</v>
      </c>
      <c r="AK69" s="3">
        <v>14587</v>
      </c>
      <c r="AL69" s="3">
        <v>17141</v>
      </c>
      <c r="AM69" s="3">
        <v>17498</v>
      </c>
      <c r="AN69" s="3">
        <v>18860</v>
      </c>
      <c r="AO69" s="3">
        <v>24224</v>
      </c>
      <c r="AP69" s="3">
        <v>24297</v>
      </c>
      <c r="AQ69" s="3">
        <v>20075</v>
      </c>
      <c r="AR69" s="3">
        <v>23141</v>
      </c>
      <c r="AS69" s="3">
        <v>51577</v>
      </c>
      <c r="AT69" s="3">
        <v>46478</v>
      </c>
      <c r="AU69" s="3">
        <v>56740</v>
      </c>
      <c r="AV69" s="3">
        <v>63122</v>
      </c>
      <c r="AW69" s="3">
        <v>80864</v>
      </c>
      <c r="AX69" s="8">
        <v>50600</v>
      </c>
      <c r="AY69" s="3">
        <v>59665</v>
      </c>
      <c r="AZ69" s="3">
        <v>38434.000000000007</v>
      </c>
      <c r="BA69" s="8">
        <v>41865.999999999993</v>
      </c>
      <c r="BB69" s="8">
        <v>32709</v>
      </c>
      <c r="BC69" s="8">
        <v>43995</v>
      </c>
      <c r="BD69" s="8">
        <v>45643</v>
      </c>
      <c r="BE69" s="8">
        <v>45434</v>
      </c>
      <c r="BF69" s="8">
        <v>25900</v>
      </c>
      <c r="BG69" s="8">
        <v>24907</v>
      </c>
      <c r="BH69" s="8">
        <v>82721</v>
      </c>
      <c r="BI69" s="8">
        <v>69113</v>
      </c>
      <c r="BJ69" s="8">
        <v>56602</v>
      </c>
      <c r="BK69" s="8">
        <v>54441</v>
      </c>
      <c r="BL69" s="8">
        <v>48388</v>
      </c>
      <c r="BM69" s="8">
        <v>41877</v>
      </c>
      <c r="BN69" s="26">
        <v>39446</v>
      </c>
      <c r="BO69" s="26">
        <v>74112</v>
      </c>
      <c r="BP69" s="26">
        <v>88978</v>
      </c>
      <c r="BQ69" s="183">
        <v>8706</v>
      </c>
      <c r="BR69" s="183">
        <v>11097</v>
      </c>
      <c r="BS69" s="183">
        <v>12203</v>
      </c>
    </row>
    <row r="70" spans="1:71" ht="15" customHeight="1">
      <c r="A70" s="21"/>
      <c r="B70" s="6" t="s">
        <v>101</v>
      </c>
      <c r="C70" s="6" t="s">
        <v>452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188">
        <v>0</v>
      </c>
      <c r="BR70" s="188">
        <v>0</v>
      </c>
      <c r="BS70" s="188">
        <v>0</v>
      </c>
    </row>
    <row r="71" spans="1:71" ht="15" customHeight="1">
      <c r="A71" s="21"/>
      <c r="B71" s="7"/>
      <c r="C71" s="7"/>
      <c r="D71" s="14">
        <f t="shared" ref="D71:AN71" si="72">SUM(D62:D70)</f>
        <v>232908</v>
      </c>
      <c r="E71" s="14">
        <f t="shared" si="72"/>
        <v>190857</v>
      </c>
      <c r="F71" s="14">
        <f t="shared" si="72"/>
        <v>197365</v>
      </c>
      <c r="G71" s="14">
        <f t="shared" si="72"/>
        <v>157777</v>
      </c>
      <c r="H71" s="14">
        <f t="shared" si="72"/>
        <v>162426</v>
      </c>
      <c r="I71" s="14">
        <f t="shared" si="72"/>
        <v>125370</v>
      </c>
      <c r="J71" s="14">
        <f t="shared" si="72"/>
        <v>126198</v>
      </c>
      <c r="K71" s="14">
        <f t="shared" si="72"/>
        <v>189347</v>
      </c>
      <c r="L71" s="14">
        <f t="shared" si="72"/>
        <v>192891</v>
      </c>
      <c r="M71" s="14">
        <f t="shared" si="72"/>
        <v>153713</v>
      </c>
      <c r="N71" s="14">
        <f t="shared" si="72"/>
        <v>153183</v>
      </c>
      <c r="O71" s="14">
        <f t="shared" si="72"/>
        <v>312082</v>
      </c>
      <c r="P71" s="14">
        <f t="shared" si="72"/>
        <v>324313</v>
      </c>
      <c r="Q71" s="14">
        <f t="shared" si="72"/>
        <v>452163</v>
      </c>
      <c r="R71" s="14">
        <f t="shared" si="72"/>
        <v>453500</v>
      </c>
      <c r="S71" s="14">
        <f t="shared" si="72"/>
        <v>0</v>
      </c>
      <c r="T71" s="14">
        <f t="shared" si="72"/>
        <v>0</v>
      </c>
      <c r="U71" s="14">
        <f t="shared" si="72"/>
        <v>0</v>
      </c>
      <c r="V71" s="14">
        <f t="shared" si="72"/>
        <v>438261</v>
      </c>
      <c r="W71" s="14">
        <f t="shared" si="72"/>
        <v>440356</v>
      </c>
      <c r="X71" s="14">
        <f t="shared" si="72"/>
        <v>400005</v>
      </c>
      <c r="Y71" s="14">
        <f t="shared" si="72"/>
        <v>388368</v>
      </c>
      <c r="Z71" s="14">
        <f t="shared" si="72"/>
        <v>405815</v>
      </c>
      <c r="AA71" s="14">
        <f t="shared" si="72"/>
        <v>466693</v>
      </c>
      <c r="AB71" s="14">
        <f t="shared" si="72"/>
        <v>595704</v>
      </c>
      <c r="AC71" s="14">
        <f t="shared" si="72"/>
        <v>686632</v>
      </c>
      <c r="AD71" s="14">
        <f t="shared" si="72"/>
        <v>640549</v>
      </c>
      <c r="AE71" s="14">
        <f t="shared" si="72"/>
        <v>599585</v>
      </c>
      <c r="AF71" s="14">
        <f t="shared" si="72"/>
        <v>360266</v>
      </c>
      <c r="AG71" s="14">
        <f t="shared" si="72"/>
        <v>576477</v>
      </c>
      <c r="AH71" s="14">
        <f t="shared" si="72"/>
        <v>538464</v>
      </c>
      <c r="AI71" s="14">
        <f t="shared" si="72"/>
        <v>528007</v>
      </c>
      <c r="AJ71" s="14">
        <f t="shared" si="72"/>
        <v>698615</v>
      </c>
      <c r="AK71" s="14">
        <f t="shared" si="72"/>
        <v>673919</v>
      </c>
      <c r="AL71" s="14">
        <f t="shared" si="72"/>
        <v>620952</v>
      </c>
      <c r="AM71" s="14">
        <f t="shared" si="72"/>
        <v>612010</v>
      </c>
      <c r="AN71" s="14">
        <f t="shared" si="72"/>
        <v>750361</v>
      </c>
      <c r="AO71" s="14">
        <f>SUM(AO62:AO70)</f>
        <v>755227</v>
      </c>
      <c r="AP71" s="14">
        <f t="shared" ref="AP71:BP71" si="73">SUM(AP62:AP70)</f>
        <v>693030</v>
      </c>
      <c r="AQ71" s="14">
        <f t="shared" si="73"/>
        <v>782889</v>
      </c>
      <c r="AR71" s="14">
        <f t="shared" si="73"/>
        <v>800995</v>
      </c>
      <c r="AS71" s="14">
        <f t="shared" si="73"/>
        <v>854745</v>
      </c>
      <c r="AT71" s="14">
        <f t="shared" si="73"/>
        <v>769499</v>
      </c>
      <c r="AU71" s="14">
        <f t="shared" si="73"/>
        <v>868030</v>
      </c>
      <c r="AV71" s="14">
        <f t="shared" si="73"/>
        <v>864635</v>
      </c>
      <c r="AW71" s="14">
        <f t="shared" si="73"/>
        <v>855769</v>
      </c>
      <c r="AX71" s="14">
        <f t="shared" si="73"/>
        <v>665557</v>
      </c>
      <c r="AY71" s="14">
        <f t="shared" si="73"/>
        <v>745234</v>
      </c>
      <c r="AZ71" s="14">
        <f t="shared" si="73"/>
        <v>980781</v>
      </c>
      <c r="BA71" s="14">
        <f t="shared" si="73"/>
        <v>931771</v>
      </c>
      <c r="BB71" s="14">
        <f t="shared" si="73"/>
        <v>936949</v>
      </c>
      <c r="BC71" s="14">
        <f t="shared" si="73"/>
        <v>863095</v>
      </c>
      <c r="BD71" s="14">
        <f t="shared" si="73"/>
        <v>904898</v>
      </c>
      <c r="BE71" s="14">
        <f t="shared" si="73"/>
        <v>898706</v>
      </c>
      <c r="BF71" s="14">
        <f t="shared" si="73"/>
        <v>688460</v>
      </c>
      <c r="BG71" s="14">
        <f t="shared" si="73"/>
        <v>665447</v>
      </c>
      <c r="BH71" s="14">
        <f t="shared" si="73"/>
        <v>667112</v>
      </c>
      <c r="BI71" s="14">
        <f t="shared" si="73"/>
        <v>612309</v>
      </c>
      <c r="BJ71" s="14">
        <f t="shared" si="73"/>
        <v>663187</v>
      </c>
      <c r="BK71" s="14">
        <f t="shared" si="73"/>
        <v>652024</v>
      </c>
      <c r="BL71" s="14">
        <f t="shared" si="73"/>
        <v>598590</v>
      </c>
      <c r="BM71" s="14">
        <f t="shared" si="73"/>
        <v>586680</v>
      </c>
      <c r="BN71" s="14">
        <f t="shared" si="73"/>
        <v>582382</v>
      </c>
      <c r="BO71" s="14">
        <f t="shared" si="73"/>
        <v>620399</v>
      </c>
      <c r="BP71" s="14">
        <f t="shared" si="73"/>
        <v>648264</v>
      </c>
      <c r="BQ71" s="185">
        <f>SUM(BQ62:BQ70)</f>
        <v>679458</v>
      </c>
      <c r="BR71" s="185">
        <f>SUM(BR62:BR70)</f>
        <v>766075</v>
      </c>
      <c r="BS71" s="185">
        <f>SUM(BS62:BS70)</f>
        <v>700677</v>
      </c>
    </row>
    <row r="72" spans="1:71" ht="15" customHeight="1">
      <c r="A72" s="21"/>
      <c r="BA72" s="8"/>
      <c r="BB72" s="8"/>
      <c r="BC72" s="8"/>
      <c r="BQ72" s="182"/>
      <c r="BR72" s="182"/>
      <c r="BS72" s="182"/>
    </row>
    <row r="73" spans="1:71" ht="15" customHeight="1">
      <c r="A73" s="21"/>
      <c r="B73" s="146" t="s">
        <v>23</v>
      </c>
      <c r="C73" s="146" t="s">
        <v>455</v>
      </c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51"/>
      <c r="P73" s="151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50"/>
      <c r="BB73" s="150"/>
      <c r="BC73" s="150"/>
      <c r="BD73" s="149"/>
      <c r="BE73" s="150"/>
      <c r="BF73" s="150"/>
      <c r="BG73" s="150"/>
      <c r="BH73" s="150"/>
      <c r="BI73" s="150"/>
      <c r="BJ73" s="150"/>
      <c r="BK73" s="150"/>
      <c r="BL73" s="150"/>
      <c r="BM73" s="150"/>
      <c r="BN73" s="149"/>
      <c r="BO73" s="149"/>
      <c r="BP73" s="149"/>
      <c r="BQ73" s="184"/>
      <c r="BR73" s="184"/>
      <c r="BS73" s="184"/>
    </row>
    <row r="74" spans="1:71" ht="15" customHeight="1">
      <c r="A74" s="21"/>
      <c r="B74" s="6" t="s">
        <v>24</v>
      </c>
      <c r="C74" s="6" t="s">
        <v>456</v>
      </c>
      <c r="D74" s="3">
        <v>260000</v>
      </c>
      <c r="E74" s="3">
        <v>260000</v>
      </c>
      <c r="F74" s="3">
        <v>260000</v>
      </c>
      <c r="G74" s="3">
        <v>260000</v>
      </c>
      <c r="H74" s="3">
        <v>260000</v>
      </c>
      <c r="I74" s="3">
        <v>360000</v>
      </c>
      <c r="J74" s="3">
        <v>360000</v>
      </c>
      <c r="K74" s="3">
        <v>360000</v>
      </c>
      <c r="L74" s="3">
        <v>360000</v>
      </c>
      <c r="M74" s="3">
        <v>360000</v>
      </c>
      <c r="N74" s="3">
        <v>360000</v>
      </c>
      <c r="O74" s="3">
        <v>360000</v>
      </c>
      <c r="P74" s="3">
        <v>360000</v>
      </c>
      <c r="Q74" s="3">
        <v>360000</v>
      </c>
      <c r="R74" s="3">
        <v>360000</v>
      </c>
      <c r="S74" s="3"/>
      <c r="T74" s="3"/>
      <c r="U74" s="3"/>
      <c r="V74" s="3">
        <v>360000</v>
      </c>
      <c r="W74" s="3">
        <v>360000</v>
      </c>
      <c r="X74" s="3">
        <v>360000</v>
      </c>
      <c r="Y74" s="3">
        <v>360000</v>
      </c>
      <c r="Z74" s="3">
        <v>360000</v>
      </c>
      <c r="AA74" s="3">
        <v>360000</v>
      </c>
      <c r="AB74" s="3">
        <v>360000</v>
      </c>
      <c r="AC74" s="3">
        <v>740820</v>
      </c>
      <c r="AD74" s="3">
        <v>740820</v>
      </c>
      <c r="AE74" s="3">
        <v>740820</v>
      </c>
      <c r="AF74" s="3">
        <v>740820</v>
      </c>
      <c r="AG74" s="3">
        <v>740820</v>
      </c>
      <c r="AH74" s="3">
        <v>740820</v>
      </c>
      <c r="AI74" s="3">
        <v>740820</v>
      </c>
      <c r="AJ74" s="3">
        <v>904508</v>
      </c>
      <c r="AK74" s="3">
        <v>904508</v>
      </c>
      <c r="AL74" s="3">
        <v>904508</v>
      </c>
      <c r="AM74" s="3">
        <v>904508</v>
      </c>
      <c r="AN74" s="3">
        <v>904508</v>
      </c>
      <c r="AO74" s="3">
        <v>904508</v>
      </c>
      <c r="AP74" s="3">
        <v>904508</v>
      </c>
      <c r="AQ74" s="3">
        <v>904508</v>
      </c>
      <c r="AR74" s="3">
        <v>904508</v>
      </c>
      <c r="AS74" s="3">
        <v>904508</v>
      </c>
      <c r="AT74" s="3">
        <v>904508</v>
      </c>
      <c r="AU74" s="3">
        <v>904508</v>
      </c>
      <c r="AV74" s="3">
        <v>904508</v>
      </c>
      <c r="AW74" s="3">
        <v>904508</v>
      </c>
      <c r="AX74" s="8">
        <v>904508</v>
      </c>
      <c r="AY74" s="3">
        <v>1003513</v>
      </c>
      <c r="AZ74" s="3">
        <v>1003513</v>
      </c>
      <c r="BA74" s="8">
        <v>1003527</v>
      </c>
      <c r="BB74" s="8">
        <v>1003527</v>
      </c>
      <c r="BC74" s="8">
        <v>1007849</v>
      </c>
      <c r="BD74" s="8">
        <v>1007849</v>
      </c>
      <c r="BE74" s="8">
        <v>1022370</v>
      </c>
      <c r="BF74" s="8">
        <v>1022370</v>
      </c>
      <c r="BG74" s="8">
        <v>1022370</v>
      </c>
      <c r="BH74" s="8">
        <v>1022370</v>
      </c>
      <c r="BI74" s="8">
        <v>1022370</v>
      </c>
      <c r="BJ74" s="8">
        <v>1022370</v>
      </c>
      <c r="BK74" s="8">
        <v>1022370</v>
      </c>
      <c r="BL74" s="8">
        <v>1022370</v>
      </c>
      <c r="BM74" s="8">
        <v>1022370</v>
      </c>
      <c r="BN74" s="26">
        <v>1022370</v>
      </c>
      <c r="BO74" s="26">
        <v>1022370</v>
      </c>
      <c r="BP74" s="26">
        <v>1022370</v>
      </c>
      <c r="BQ74" s="183">
        <v>1022370</v>
      </c>
      <c r="BR74" s="183">
        <v>1022370</v>
      </c>
      <c r="BS74" s="183">
        <v>1022370</v>
      </c>
    </row>
    <row r="75" spans="1:71" ht="15" customHeight="1">
      <c r="A75" s="21"/>
      <c r="B75" s="6" t="s">
        <v>63</v>
      </c>
      <c r="C75" s="6" t="s">
        <v>457</v>
      </c>
      <c r="D75" s="3">
        <v>-3301</v>
      </c>
      <c r="E75" s="3">
        <v>-7031</v>
      </c>
      <c r="F75" s="3">
        <v>-8365</v>
      </c>
      <c r="G75" s="3">
        <v>-1199</v>
      </c>
      <c r="H75" s="3">
        <v>-4543</v>
      </c>
      <c r="I75" s="3">
        <v>-8036</v>
      </c>
      <c r="J75" s="3">
        <v>-25092</v>
      </c>
      <c r="K75" s="3">
        <v>-7485</v>
      </c>
      <c r="L75" s="3">
        <v>-3968</v>
      </c>
      <c r="M75" s="3">
        <v>-3787</v>
      </c>
      <c r="N75" s="3">
        <v>-4346</v>
      </c>
      <c r="O75" s="3">
        <v>-4346</v>
      </c>
      <c r="P75" s="3">
        <v>-4346</v>
      </c>
      <c r="Q75" s="3">
        <v>-2991</v>
      </c>
      <c r="R75" s="3">
        <v>-2991</v>
      </c>
      <c r="S75" s="3"/>
      <c r="T75" s="3"/>
      <c r="U75" s="3"/>
      <c r="V75" s="3">
        <v>-2991</v>
      </c>
      <c r="W75" s="3">
        <f>-2991+1791</f>
        <v>-1200</v>
      </c>
      <c r="X75" s="3">
        <f>-2682+2053</f>
        <v>-629</v>
      </c>
      <c r="Y75" s="3">
        <v>-629</v>
      </c>
      <c r="Z75" s="3">
        <v>-629</v>
      </c>
      <c r="AA75" s="3">
        <f>-2057+2821</f>
        <v>764</v>
      </c>
      <c r="AB75" s="3">
        <f>-2057+2821</f>
        <v>764</v>
      </c>
      <c r="AC75" s="19">
        <f>-1831+3121</f>
        <v>1290</v>
      </c>
      <c r="AD75" s="19">
        <f>-1718+3083</f>
        <v>1365</v>
      </c>
      <c r="AE75" s="19">
        <v>1365</v>
      </c>
      <c r="AF75" s="19">
        <v>1987</v>
      </c>
      <c r="AG75" s="19">
        <f>8098-AG76</f>
        <v>1987</v>
      </c>
      <c r="AH75" s="20">
        <v>-1345</v>
      </c>
      <c r="AI75" s="20">
        <v>0</v>
      </c>
      <c r="AJ75" s="20">
        <v>-11746</v>
      </c>
      <c r="AK75" s="20">
        <v>-13073</v>
      </c>
      <c r="AL75" s="20">
        <v>-13073</v>
      </c>
      <c r="AM75" s="20">
        <v>-14949</v>
      </c>
      <c r="AN75" s="20">
        <v>-14949</v>
      </c>
      <c r="AO75" s="20">
        <v>-15061</v>
      </c>
      <c r="AP75" s="20">
        <v>-14889</v>
      </c>
      <c r="AQ75" s="20">
        <v>-14889</v>
      </c>
      <c r="AR75" s="20">
        <v>-14889</v>
      </c>
      <c r="AS75" s="20">
        <v>-16076</v>
      </c>
      <c r="AT75" s="20">
        <v>-16076</v>
      </c>
      <c r="AU75" s="20">
        <v>-19689</v>
      </c>
      <c r="AV75" s="20">
        <v>-19591</v>
      </c>
      <c r="AW75" s="20">
        <v>-19591</v>
      </c>
      <c r="AX75" s="8">
        <v>-24906</v>
      </c>
      <c r="AY75" s="8">
        <v>-24906</v>
      </c>
      <c r="AZ75" s="20">
        <v>0</v>
      </c>
      <c r="BA75" s="8"/>
      <c r="BB75" s="8"/>
      <c r="BC75" s="8"/>
      <c r="BD75" s="8">
        <v>-42309</v>
      </c>
      <c r="BE75" s="8">
        <v>-42282</v>
      </c>
      <c r="BF75" s="8">
        <v>-25666</v>
      </c>
      <c r="BG75" s="8">
        <v>-25579</v>
      </c>
      <c r="BH75" s="8">
        <v>-25620</v>
      </c>
      <c r="BI75" s="8">
        <v>-25324</v>
      </c>
      <c r="BJ75" s="8">
        <v>-25324</v>
      </c>
      <c r="BK75" s="8">
        <v>-24466</v>
      </c>
      <c r="BL75" s="8">
        <v>-24023</v>
      </c>
      <c r="BM75" s="8">
        <v>-32242</v>
      </c>
      <c r="BN75" s="26">
        <v>-49376</v>
      </c>
      <c r="BO75" s="26">
        <v>-61333</v>
      </c>
      <c r="BP75" s="26">
        <v>-60585</v>
      </c>
      <c r="BQ75" s="183">
        <v>-69128</v>
      </c>
      <c r="BR75" s="183">
        <v>-78301</v>
      </c>
      <c r="BS75" s="183">
        <v>-83773</v>
      </c>
    </row>
    <row r="76" spans="1:71" ht="15" customHeight="1">
      <c r="A76" s="21"/>
      <c r="B76" s="6" t="s">
        <v>64</v>
      </c>
      <c r="C76" s="6" t="s">
        <v>458</v>
      </c>
      <c r="D76" s="3">
        <v>6089</v>
      </c>
      <c r="E76" s="3">
        <v>6111</v>
      </c>
      <c r="F76" s="3">
        <v>6111</v>
      </c>
      <c r="G76" s="3">
        <v>6111</v>
      </c>
      <c r="H76" s="3">
        <v>6111</v>
      </c>
      <c r="I76" s="3">
        <v>6111</v>
      </c>
      <c r="J76" s="3">
        <v>6111</v>
      </c>
      <c r="K76" s="3">
        <v>6111</v>
      </c>
      <c r="L76" s="3">
        <v>6111</v>
      </c>
      <c r="M76" s="3">
        <v>6111</v>
      </c>
      <c r="N76" s="3">
        <v>6670</v>
      </c>
      <c r="O76" s="3">
        <v>6670</v>
      </c>
      <c r="P76" s="3">
        <v>6670</v>
      </c>
      <c r="Q76" s="3">
        <v>7902</v>
      </c>
      <c r="R76" s="3">
        <v>7902</v>
      </c>
      <c r="S76" s="3"/>
      <c r="T76" s="3"/>
      <c r="U76" s="3"/>
      <c r="V76" s="3">
        <v>7902</v>
      </c>
      <c r="W76" s="3">
        <v>6111</v>
      </c>
      <c r="X76" s="3">
        <v>6111</v>
      </c>
      <c r="Y76" s="3">
        <v>6111</v>
      </c>
      <c r="Z76" s="3">
        <v>6111</v>
      </c>
      <c r="AA76" s="3">
        <v>6111</v>
      </c>
      <c r="AB76" s="3">
        <v>6111</v>
      </c>
      <c r="AC76" s="19">
        <v>6111</v>
      </c>
      <c r="AD76" s="19">
        <v>6111</v>
      </c>
      <c r="AE76" s="3">
        <v>6111</v>
      </c>
      <c r="AF76" s="3">
        <v>6111</v>
      </c>
      <c r="AG76" s="3">
        <v>6111</v>
      </c>
      <c r="AH76" s="13">
        <v>9443</v>
      </c>
      <c r="AI76" s="13">
        <v>9443</v>
      </c>
      <c r="AJ76" s="13">
        <v>9443</v>
      </c>
      <c r="AK76" s="13">
        <v>10120</v>
      </c>
      <c r="AL76" s="13">
        <v>10799</v>
      </c>
      <c r="AM76" s="13">
        <v>11477</v>
      </c>
      <c r="AN76" s="13">
        <v>12156</v>
      </c>
      <c r="AO76" s="13">
        <v>9833</v>
      </c>
      <c r="AP76" s="13">
        <v>10400</v>
      </c>
      <c r="AQ76" s="13">
        <v>11324</v>
      </c>
      <c r="AR76" s="13">
        <v>12615</v>
      </c>
      <c r="AS76" s="13">
        <v>12615</v>
      </c>
      <c r="AT76" s="13">
        <v>12615</v>
      </c>
      <c r="AU76" s="13">
        <v>12615</v>
      </c>
      <c r="AV76" s="13">
        <v>12517</v>
      </c>
      <c r="AW76" s="20">
        <v>12517</v>
      </c>
      <c r="AX76" s="8">
        <v>12615</v>
      </c>
      <c r="AY76" s="20">
        <v>0</v>
      </c>
      <c r="AZ76" s="8">
        <v>-9017</v>
      </c>
      <c r="BA76" s="8">
        <v>-4753.9999999999982</v>
      </c>
      <c r="BB76" s="8">
        <v>-10837</v>
      </c>
      <c r="BC76" s="8">
        <v>-18113</v>
      </c>
      <c r="BD76" s="8">
        <v>22452</v>
      </c>
      <c r="BE76" s="8">
        <v>22877</v>
      </c>
      <c r="BF76" s="8">
        <v>24640</v>
      </c>
      <c r="BG76" s="8">
        <v>25058</v>
      </c>
      <c r="BH76" s="8">
        <v>25186</v>
      </c>
      <c r="BI76" s="8">
        <v>27098</v>
      </c>
      <c r="BJ76" s="8">
        <v>27936</v>
      </c>
      <c r="BK76" s="8">
        <v>29605</v>
      </c>
      <c r="BL76" s="8">
        <v>29266</v>
      </c>
      <c r="BM76" s="8">
        <v>30523</v>
      </c>
      <c r="BN76" s="26">
        <v>31272</v>
      </c>
      <c r="BO76" s="26">
        <v>8093</v>
      </c>
      <c r="BP76" s="26">
        <v>15197</v>
      </c>
      <c r="BQ76" s="183">
        <v>17692</v>
      </c>
      <c r="BR76" s="183">
        <v>28823</v>
      </c>
      <c r="BS76" s="183">
        <v>32880</v>
      </c>
    </row>
    <row r="77" spans="1:71" ht="15" customHeight="1">
      <c r="A77" s="21"/>
      <c r="B77" s="6" t="s">
        <v>36</v>
      </c>
      <c r="C77" s="6" t="s">
        <v>459</v>
      </c>
      <c r="D77" s="3">
        <v>122849</v>
      </c>
      <c r="E77" s="3">
        <v>122848</v>
      </c>
      <c r="F77" s="3">
        <v>122848</v>
      </c>
      <c r="G77" s="3">
        <v>184946</v>
      </c>
      <c r="H77" s="3">
        <v>184946</v>
      </c>
      <c r="I77" s="3">
        <v>84946</v>
      </c>
      <c r="J77" s="3">
        <v>84946</v>
      </c>
      <c r="K77" s="3">
        <v>79277</v>
      </c>
      <c r="L77" s="3">
        <v>79277</v>
      </c>
      <c r="M77" s="3">
        <v>79277</v>
      </c>
      <c r="N77" s="3">
        <v>79277</v>
      </c>
      <c r="O77" s="3">
        <v>130611</v>
      </c>
      <c r="P77" s="3">
        <v>130611</v>
      </c>
      <c r="Q77" s="3">
        <v>130611</v>
      </c>
      <c r="R77" s="3">
        <v>130611</v>
      </c>
      <c r="S77" s="3"/>
      <c r="T77" s="3"/>
      <c r="U77" s="3"/>
      <c r="V77" s="3">
        <v>157568</v>
      </c>
      <c r="W77" s="3">
        <v>157568</v>
      </c>
      <c r="X77" s="3">
        <v>157568</v>
      </c>
      <c r="Y77" s="3">
        <v>157568</v>
      </c>
      <c r="Z77" s="3">
        <v>201197</v>
      </c>
      <c r="AA77" s="3">
        <v>201197</v>
      </c>
      <c r="AB77" s="3">
        <v>201197</v>
      </c>
      <c r="AC77" s="3">
        <v>201197</v>
      </c>
      <c r="AD77" s="3">
        <v>266417</v>
      </c>
      <c r="AE77" s="3">
        <v>266417</v>
      </c>
      <c r="AF77" s="3">
        <v>266417</v>
      </c>
      <c r="AG77" s="3">
        <v>266417</v>
      </c>
      <c r="AH77" s="13">
        <v>298188</v>
      </c>
      <c r="AI77" s="3">
        <v>303961</v>
      </c>
      <c r="AJ77" s="3">
        <v>134500</v>
      </c>
      <c r="AK77" s="3">
        <v>134500</v>
      </c>
      <c r="AL77" s="13">
        <v>137507</v>
      </c>
      <c r="AM77" s="3">
        <v>127176</v>
      </c>
      <c r="AN77" s="3">
        <v>127176</v>
      </c>
      <c r="AO77" s="3">
        <v>136355</v>
      </c>
      <c r="AP77" s="3">
        <v>180697</v>
      </c>
      <c r="AQ77" s="3">
        <v>182536</v>
      </c>
      <c r="AR77" s="3">
        <v>184691</v>
      </c>
      <c r="AS77" s="3">
        <v>186753</v>
      </c>
      <c r="AT77" s="3">
        <v>193777</v>
      </c>
      <c r="AU77" s="3">
        <v>195241</v>
      </c>
      <c r="AV77" s="3">
        <v>196557</v>
      </c>
      <c r="AW77" s="3">
        <v>197642</v>
      </c>
      <c r="AX77" s="8">
        <v>199614</v>
      </c>
      <c r="AY77" s="20">
        <v>14388</v>
      </c>
      <c r="AZ77" s="20">
        <v>5070</v>
      </c>
      <c r="BA77" s="8">
        <v>6892</v>
      </c>
      <c r="BB77" s="8">
        <v>45774</v>
      </c>
      <c r="BC77" s="8">
        <v>48477</v>
      </c>
      <c r="BD77" s="8">
        <v>51638</v>
      </c>
      <c r="BE77" s="8">
        <v>56033</v>
      </c>
      <c r="BF77" s="8">
        <v>38713</v>
      </c>
      <c r="BG77" s="8">
        <v>41164</v>
      </c>
      <c r="BH77" s="8">
        <v>46864</v>
      </c>
      <c r="BI77" s="8">
        <v>52595</v>
      </c>
      <c r="BJ77" s="8">
        <v>221770</v>
      </c>
      <c r="BK77" s="8">
        <v>194016</v>
      </c>
      <c r="BL77" s="8">
        <v>195758</v>
      </c>
      <c r="BM77" s="8">
        <v>201316</v>
      </c>
      <c r="BN77" s="26">
        <v>469063</v>
      </c>
      <c r="BO77" s="26">
        <v>476571</v>
      </c>
      <c r="BP77" s="26">
        <v>476203</v>
      </c>
      <c r="BQ77" s="183">
        <v>478977</v>
      </c>
      <c r="BR77" s="183">
        <v>506929</v>
      </c>
      <c r="BS77" s="183">
        <v>515153</v>
      </c>
    </row>
    <row r="78" spans="1:71" ht="15" customHeight="1">
      <c r="B78" s="6" t="s">
        <v>37</v>
      </c>
      <c r="C78" s="6" t="s">
        <v>460</v>
      </c>
      <c r="D78" s="3">
        <v>-1607</v>
      </c>
      <c r="E78" s="3">
        <v>-2547</v>
      </c>
      <c r="F78" s="3">
        <v>-2345</v>
      </c>
      <c r="G78" s="3">
        <v>-3279</v>
      </c>
      <c r="H78" s="3">
        <v>-2713</v>
      </c>
      <c r="I78" s="3">
        <v>-3615</v>
      </c>
      <c r="J78" s="3">
        <v>530</v>
      </c>
      <c r="K78" s="3">
        <v>-504</v>
      </c>
      <c r="L78" s="3">
        <v>-717</v>
      </c>
      <c r="M78" s="3">
        <v>-1287</v>
      </c>
      <c r="N78" s="3">
        <v>-647</v>
      </c>
      <c r="O78" s="3">
        <v>1028</v>
      </c>
      <c r="P78" s="3">
        <v>-2066</v>
      </c>
      <c r="Q78" s="3">
        <v>5602</v>
      </c>
      <c r="R78" s="3">
        <v>9243</v>
      </c>
      <c r="S78" s="3"/>
      <c r="T78" s="3"/>
      <c r="U78" s="3"/>
      <c r="V78" s="3">
        <v>13039</v>
      </c>
      <c r="W78" s="3">
        <v>6263</v>
      </c>
      <c r="X78" s="3">
        <v>3299</v>
      </c>
      <c r="Y78" s="3">
        <v>7455</v>
      </c>
      <c r="Z78" s="3">
        <v>13644</v>
      </c>
      <c r="AA78" s="3">
        <v>26827</v>
      </c>
      <c r="AB78" s="3">
        <v>24488</v>
      </c>
      <c r="AC78" s="3">
        <v>65578</v>
      </c>
      <c r="AD78" s="3">
        <v>34949</v>
      </c>
      <c r="AE78" s="3">
        <v>-9606</v>
      </c>
      <c r="AF78" s="3">
        <v>-73521</v>
      </c>
      <c r="AG78" s="3">
        <v>-65658</v>
      </c>
      <c r="AH78" s="13">
        <v>-77227</v>
      </c>
      <c r="AI78" s="3">
        <v>-89137</v>
      </c>
      <c r="AJ78" s="3">
        <v>-62402</v>
      </c>
      <c r="AK78" s="3">
        <v>-89792</v>
      </c>
      <c r="AL78" s="3">
        <v>-71317</v>
      </c>
      <c r="AM78" s="3">
        <v>-72828</v>
      </c>
      <c r="AN78" s="3">
        <v>-3569</v>
      </c>
      <c r="AO78" s="3">
        <v>10213</v>
      </c>
      <c r="AP78" s="3">
        <v>-8808</v>
      </c>
      <c r="AQ78" s="3">
        <v>-10740</v>
      </c>
      <c r="AR78" s="3">
        <v>-18787</v>
      </c>
      <c r="AS78" s="3">
        <v>21309</v>
      </c>
      <c r="AT78" s="3">
        <v>4041</v>
      </c>
      <c r="AU78" s="3">
        <v>146680</v>
      </c>
      <c r="AV78" s="3">
        <v>203104</v>
      </c>
      <c r="AW78" s="3">
        <v>225035</v>
      </c>
      <c r="AX78" s="8">
        <v>173502</v>
      </c>
      <c r="AY78" s="3">
        <v>223165</v>
      </c>
      <c r="AZ78" s="3">
        <v>150276</v>
      </c>
      <c r="BA78" s="8">
        <v>202483</v>
      </c>
      <c r="BB78" s="8">
        <v>220340</v>
      </c>
      <c r="BC78" s="8">
        <v>124545</v>
      </c>
      <c r="BD78" s="8">
        <v>187446</v>
      </c>
      <c r="BE78" s="8">
        <v>214751</v>
      </c>
      <c r="BF78" s="8">
        <v>175310</v>
      </c>
      <c r="BG78" s="8">
        <v>156501</v>
      </c>
      <c r="BH78" s="8">
        <v>120530</v>
      </c>
      <c r="BI78" s="8">
        <v>134762</v>
      </c>
      <c r="BJ78" s="8">
        <v>27065</v>
      </c>
      <c r="BK78" s="8">
        <v>144869</v>
      </c>
      <c r="BL78" s="8">
        <v>229881</v>
      </c>
      <c r="BM78" s="8">
        <v>211831</v>
      </c>
      <c r="BN78" s="26">
        <v>321382</v>
      </c>
      <c r="BO78" s="26">
        <v>262149</v>
      </c>
      <c r="BP78" s="26">
        <v>223652</v>
      </c>
      <c r="BQ78" s="183">
        <v>188167</v>
      </c>
      <c r="BR78" s="183">
        <v>227045</v>
      </c>
      <c r="BS78" s="183">
        <v>171925</v>
      </c>
    </row>
    <row r="79" spans="1:71" ht="15" customHeight="1">
      <c r="A79" s="21"/>
      <c r="B79" s="6" t="s">
        <v>38</v>
      </c>
      <c r="C79" s="6" t="s">
        <v>461</v>
      </c>
      <c r="D79" s="3">
        <v>0</v>
      </c>
      <c r="E79" s="3">
        <v>0</v>
      </c>
      <c r="F79" s="3">
        <v>0</v>
      </c>
      <c r="G79" s="3">
        <v>8471</v>
      </c>
      <c r="H79" s="3">
        <v>8471</v>
      </c>
      <c r="I79" s="3">
        <v>0</v>
      </c>
      <c r="J79" s="3">
        <v>0</v>
      </c>
      <c r="K79" s="3">
        <v>65911</v>
      </c>
      <c r="L79" s="3">
        <v>65911</v>
      </c>
      <c r="M79" s="3">
        <v>12771</v>
      </c>
      <c r="N79" s="3">
        <v>0</v>
      </c>
      <c r="O79" s="3">
        <v>18486</v>
      </c>
      <c r="P79" s="3">
        <v>18486</v>
      </c>
      <c r="Q79" s="3">
        <v>0</v>
      </c>
      <c r="R79" s="3">
        <v>0</v>
      </c>
      <c r="S79" s="3"/>
      <c r="T79" s="3"/>
      <c r="U79" s="3"/>
      <c r="V79" s="3">
        <v>7952</v>
      </c>
      <c r="W79" s="3">
        <v>7952</v>
      </c>
      <c r="X79" s="3">
        <v>0</v>
      </c>
      <c r="Y79" s="3">
        <v>0</v>
      </c>
      <c r="Z79" s="3">
        <v>10238</v>
      </c>
      <c r="AA79" s="3">
        <v>10238</v>
      </c>
      <c r="AB79" s="3">
        <v>0</v>
      </c>
      <c r="AC79" s="3">
        <v>0</v>
      </c>
      <c r="AD79" s="3">
        <v>16094</v>
      </c>
      <c r="AE79" s="3">
        <v>16094</v>
      </c>
      <c r="AF79" s="3">
        <v>0</v>
      </c>
      <c r="AG79" s="3">
        <v>0</v>
      </c>
      <c r="AH79" s="13">
        <v>10842</v>
      </c>
      <c r="AI79" s="3">
        <v>0</v>
      </c>
      <c r="AJ79" s="3">
        <v>0</v>
      </c>
      <c r="AK79" s="3">
        <v>0</v>
      </c>
      <c r="AL79" s="3">
        <v>10577</v>
      </c>
      <c r="AM79" s="3">
        <v>10577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8">
        <v>0</v>
      </c>
      <c r="AY79" s="3">
        <v>0</v>
      </c>
      <c r="AZ79" s="3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24646</v>
      </c>
      <c r="BK79" s="8">
        <v>24646</v>
      </c>
      <c r="BL79" s="8">
        <v>0</v>
      </c>
      <c r="BM79" s="8">
        <v>0</v>
      </c>
      <c r="BN79" s="26">
        <v>0</v>
      </c>
      <c r="BO79" s="26">
        <v>0</v>
      </c>
      <c r="BP79" s="26">
        <v>0</v>
      </c>
      <c r="BQ79" s="183"/>
      <c r="BR79" s="183"/>
      <c r="BS79" s="183"/>
    </row>
    <row r="80" spans="1:71" ht="15" customHeight="1">
      <c r="A80" s="21"/>
      <c r="B80" s="6" t="s">
        <v>51</v>
      </c>
      <c r="C80" s="6" t="s">
        <v>462</v>
      </c>
      <c r="D80" s="3">
        <v>17042</v>
      </c>
      <c r="E80" s="3">
        <v>30911</v>
      </c>
      <c r="F80" s="3">
        <v>47463</v>
      </c>
      <c r="G80" s="3">
        <v>0</v>
      </c>
      <c r="H80" s="3">
        <v>21243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34280</v>
      </c>
      <c r="R80" s="3">
        <v>37905</v>
      </c>
      <c r="S80" s="3"/>
      <c r="T80" s="3"/>
      <c r="U80" s="3"/>
      <c r="V80" s="3">
        <v>0</v>
      </c>
      <c r="W80" s="3">
        <v>0</v>
      </c>
      <c r="X80" s="3">
        <v>30366</v>
      </c>
      <c r="Y80" s="3">
        <v>60042</v>
      </c>
      <c r="Z80" s="3">
        <v>0</v>
      </c>
      <c r="AA80" s="3">
        <v>35643</v>
      </c>
      <c r="AB80" s="3">
        <v>50948</v>
      </c>
      <c r="AC80" s="3">
        <v>91681</v>
      </c>
      <c r="AD80" s="3">
        <v>0</v>
      </c>
      <c r="AE80" s="3">
        <v>11830</v>
      </c>
      <c r="AF80" s="3">
        <v>10423</v>
      </c>
      <c r="AG80" s="3">
        <v>45136</v>
      </c>
      <c r="AH80" s="13">
        <v>0</v>
      </c>
      <c r="AI80" s="3">
        <v>7641</v>
      </c>
      <c r="AJ80" s="3">
        <v>0</v>
      </c>
      <c r="AK80" s="3">
        <v>0</v>
      </c>
      <c r="AL80" s="3">
        <v>0</v>
      </c>
      <c r="AM80" s="3">
        <v>19722</v>
      </c>
      <c r="AN80" s="3">
        <v>33199</v>
      </c>
      <c r="AO80" s="3">
        <v>40414</v>
      </c>
      <c r="AP80" s="3">
        <v>0</v>
      </c>
      <c r="AQ80" s="3">
        <v>0</v>
      </c>
      <c r="AR80" s="3">
        <v>20033</v>
      </c>
      <c r="AS80" s="3">
        <v>51675</v>
      </c>
      <c r="AT80" s="3">
        <v>0</v>
      </c>
      <c r="AU80" s="3">
        <v>2102</v>
      </c>
      <c r="AV80" s="3">
        <v>-145956</v>
      </c>
      <c r="AW80" s="3">
        <v>-148430</v>
      </c>
      <c r="AX80" s="8">
        <v>-202455</v>
      </c>
      <c r="AY80" s="3">
        <v>-7800</v>
      </c>
      <c r="AZ80" s="3">
        <v>-25403</v>
      </c>
      <c r="BA80" s="8">
        <v>26855</v>
      </c>
      <c r="BB80" s="8">
        <v>0</v>
      </c>
      <c r="BC80" s="8">
        <v>-18083</v>
      </c>
      <c r="BD80" s="8">
        <v>-22385</v>
      </c>
      <c r="BE80" s="8">
        <v>-307</v>
      </c>
      <c r="BF80" s="8">
        <v>0</v>
      </c>
      <c r="BG80" s="8">
        <v>59457</v>
      </c>
      <c r="BH80" s="8">
        <v>102564</v>
      </c>
      <c r="BI80" s="8">
        <v>147259</v>
      </c>
      <c r="BJ80" s="8">
        <v>0</v>
      </c>
      <c r="BK80" s="8">
        <v>147874</v>
      </c>
      <c r="BL80" s="8">
        <v>200166</v>
      </c>
      <c r="BM80" s="8">
        <v>255218.00000000012</v>
      </c>
      <c r="BN80" s="26" t="s">
        <v>350</v>
      </c>
      <c r="BO80" s="26">
        <v>42678</v>
      </c>
      <c r="BP80" s="26">
        <v>65490</v>
      </c>
      <c r="BQ80" s="183">
        <v>83467</v>
      </c>
      <c r="BR80" s="183">
        <v>0</v>
      </c>
      <c r="BS80" s="183">
        <v>55916</v>
      </c>
    </row>
    <row r="81" spans="1:73" ht="15" customHeight="1">
      <c r="A81" s="21"/>
      <c r="B81" s="6" t="s">
        <v>39</v>
      </c>
      <c r="C81" s="6" t="s">
        <v>463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39842</v>
      </c>
      <c r="J81" s="3">
        <v>59254</v>
      </c>
      <c r="K81" s="3">
        <v>0</v>
      </c>
      <c r="L81" s="3">
        <v>23289</v>
      </c>
      <c r="M81" s="3">
        <v>50806</v>
      </c>
      <c r="N81" s="3">
        <v>73551</v>
      </c>
      <c r="O81" s="3">
        <v>0</v>
      </c>
      <c r="P81" s="3">
        <v>13928</v>
      </c>
      <c r="Q81" s="3">
        <v>0</v>
      </c>
      <c r="R81" s="3">
        <v>0</v>
      </c>
      <c r="S81" s="3"/>
      <c r="T81" s="3"/>
      <c r="U81" s="3"/>
      <c r="V81" s="3">
        <v>0</v>
      </c>
      <c r="W81" s="3">
        <v>17541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13">
        <v>0</v>
      </c>
      <c r="AI81" s="3">
        <v>0</v>
      </c>
      <c r="AJ81" s="3">
        <v>10805</v>
      </c>
      <c r="AK81" s="3">
        <v>26622.999999999996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13722</v>
      </c>
      <c r="AR81" s="26">
        <v>0</v>
      </c>
      <c r="AS81" s="26">
        <v>0</v>
      </c>
      <c r="AT81" s="26">
        <v>0</v>
      </c>
      <c r="AU81" s="26">
        <v>0</v>
      </c>
      <c r="AV81" s="26">
        <v>0</v>
      </c>
      <c r="AW81" s="26">
        <v>0</v>
      </c>
      <c r="AX81" s="26">
        <v>0</v>
      </c>
      <c r="AY81" s="26">
        <v>0</v>
      </c>
      <c r="AZ81" s="26">
        <v>0</v>
      </c>
      <c r="BA81" s="26">
        <v>0</v>
      </c>
      <c r="BB81" s="26">
        <v>0</v>
      </c>
      <c r="BC81" s="26">
        <v>0</v>
      </c>
      <c r="BD81" s="26">
        <v>0</v>
      </c>
      <c r="BE81" s="26">
        <v>0</v>
      </c>
      <c r="BF81" s="26">
        <v>0</v>
      </c>
      <c r="BG81" s="26">
        <v>0</v>
      </c>
      <c r="BH81" s="26">
        <v>0</v>
      </c>
      <c r="BI81" s="26">
        <v>0</v>
      </c>
      <c r="BJ81" s="26">
        <v>0</v>
      </c>
      <c r="BK81" s="26">
        <v>0</v>
      </c>
      <c r="BL81" s="26">
        <v>0</v>
      </c>
      <c r="BM81" s="26">
        <v>0</v>
      </c>
      <c r="BN81" s="26">
        <v>0</v>
      </c>
      <c r="BO81" s="26">
        <v>0</v>
      </c>
      <c r="BP81" s="26">
        <v>0</v>
      </c>
      <c r="BQ81" s="183"/>
      <c r="BR81" s="183"/>
      <c r="BS81" s="183"/>
    </row>
    <row r="82" spans="1:73" ht="15" customHeight="1">
      <c r="A82" s="21"/>
      <c r="B82" s="15" t="s">
        <v>66</v>
      </c>
      <c r="C82" s="15" t="s">
        <v>464</v>
      </c>
      <c r="D82" s="16">
        <f t="shared" ref="D82:BN82" si="74">SUM(D74:D81)</f>
        <v>401072</v>
      </c>
      <c r="E82" s="16">
        <f t="shared" si="74"/>
        <v>410292</v>
      </c>
      <c r="F82" s="16">
        <f t="shared" si="74"/>
        <v>425712</v>
      </c>
      <c r="G82" s="16">
        <f t="shared" si="74"/>
        <v>455050</v>
      </c>
      <c r="H82" s="16">
        <f t="shared" si="74"/>
        <v>473515</v>
      </c>
      <c r="I82" s="16">
        <f t="shared" si="74"/>
        <v>479248</v>
      </c>
      <c r="J82" s="16">
        <f t="shared" si="74"/>
        <v>485749</v>
      </c>
      <c r="K82" s="16">
        <f t="shared" si="74"/>
        <v>503310</v>
      </c>
      <c r="L82" s="16">
        <f t="shared" si="74"/>
        <v>529903</v>
      </c>
      <c r="M82" s="16">
        <f t="shared" si="74"/>
        <v>503891</v>
      </c>
      <c r="N82" s="16">
        <f t="shared" si="74"/>
        <v>514505</v>
      </c>
      <c r="O82" s="16">
        <f t="shared" si="74"/>
        <v>512449</v>
      </c>
      <c r="P82" s="16">
        <f t="shared" si="74"/>
        <v>523283</v>
      </c>
      <c r="Q82" s="16">
        <f t="shared" si="74"/>
        <v>535404</v>
      </c>
      <c r="R82" s="16">
        <f t="shared" si="74"/>
        <v>542670</v>
      </c>
      <c r="S82" s="16">
        <f t="shared" si="74"/>
        <v>0</v>
      </c>
      <c r="T82" s="16">
        <f t="shared" si="74"/>
        <v>0</v>
      </c>
      <c r="U82" s="16">
        <f t="shared" si="74"/>
        <v>0</v>
      </c>
      <c r="V82" s="16">
        <f t="shared" si="74"/>
        <v>543470</v>
      </c>
      <c r="W82" s="16">
        <f t="shared" si="74"/>
        <v>554235</v>
      </c>
      <c r="X82" s="16">
        <f t="shared" si="74"/>
        <v>556715</v>
      </c>
      <c r="Y82" s="16">
        <f t="shared" si="74"/>
        <v>590547</v>
      </c>
      <c r="Z82" s="16">
        <f t="shared" si="74"/>
        <v>590561</v>
      </c>
      <c r="AA82" s="16">
        <f t="shared" si="74"/>
        <v>640780</v>
      </c>
      <c r="AB82" s="16">
        <f t="shared" si="74"/>
        <v>643508</v>
      </c>
      <c r="AC82" s="16">
        <f t="shared" si="74"/>
        <v>1106677</v>
      </c>
      <c r="AD82" s="16">
        <f t="shared" si="74"/>
        <v>1065756</v>
      </c>
      <c r="AE82" s="16">
        <f t="shared" si="74"/>
        <v>1033031</v>
      </c>
      <c r="AF82" s="16">
        <f t="shared" si="74"/>
        <v>952237</v>
      </c>
      <c r="AG82" s="16">
        <f t="shared" si="74"/>
        <v>994813</v>
      </c>
      <c r="AH82" s="16">
        <f t="shared" si="74"/>
        <v>980721</v>
      </c>
      <c r="AI82" s="16">
        <f t="shared" si="74"/>
        <v>972728</v>
      </c>
      <c r="AJ82" s="16">
        <f t="shared" si="74"/>
        <v>985108</v>
      </c>
      <c r="AK82" s="16">
        <f t="shared" si="74"/>
        <v>972886</v>
      </c>
      <c r="AL82" s="16">
        <f t="shared" si="74"/>
        <v>979001</v>
      </c>
      <c r="AM82" s="16">
        <f t="shared" si="74"/>
        <v>985683</v>
      </c>
      <c r="AN82" s="16">
        <f t="shared" si="74"/>
        <v>1058521</v>
      </c>
      <c r="AO82" s="16">
        <f t="shared" si="74"/>
        <v>1086262</v>
      </c>
      <c r="AP82" s="16">
        <f t="shared" si="74"/>
        <v>1071908</v>
      </c>
      <c r="AQ82" s="16">
        <f t="shared" si="74"/>
        <v>1086461</v>
      </c>
      <c r="AR82" s="16">
        <f t="shared" si="74"/>
        <v>1088171</v>
      </c>
      <c r="AS82" s="16">
        <f t="shared" si="74"/>
        <v>1160784</v>
      </c>
      <c r="AT82" s="16">
        <f t="shared" si="74"/>
        <v>1098865</v>
      </c>
      <c r="AU82" s="16">
        <f t="shared" si="74"/>
        <v>1241457</v>
      </c>
      <c r="AV82" s="16">
        <f t="shared" si="74"/>
        <v>1151139</v>
      </c>
      <c r="AW82" s="16">
        <f t="shared" si="74"/>
        <v>1171681</v>
      </c>
      <c r="AX82" s="16">
        <f t="shared" si="74"/>
        <v>1062878</v>
      </c>
      <c r="AY82" s="16">
        <f t="shared" si="74"/>
        <v>1208360</v>
      </c>
      <c r="AZ82" s="16">
        <f t="shared" si="74"/>
        <v>1124439</v>
      </c>
      <c r="BA82" s="16">
        <f t="shared" si="74"/>
        <v>1235003</v>
      </c>
      <c r="BB82" s="16">
        <f t="shared" si="74"/>
        <v>1258804</v>
      </c>
      <c r="BC82" s="16">
        <f t="shared" si="74"/>
        <v>1144675</v>
      </c>
      <c r="BD82" s="16">
        <f t="shared" si="74"/>
        <v>1204691</v>
      </c>
      <c r="BE82" s="16">
        <f t="shared" si="74"/>
        <v>1273442</v>
      </c>
      <c r="BF82" s="16">
        <f t="shared" si="74"/>
        <v>1235367</v>
      </c>
      <c r="BG82" s="16">
        <f t="shared" si="74"/>
        <v>1278971</v>
      </c>
      <c r="BH82" s="16">
        <f t="shared" si="74"/>
        <v>1291894</v>
      </c>
      <c r="BI82" s="16">
        <f t="shared" si="74"/>
        <v>1358760</v>
      </c>
      <c r="BJ82" s="16">
        <f t="shared" si="74"/>
        <v>1298463</v>
      </c>
      <c r="BK82" s="16">
        <f t="shared" si="74"/>
        <v>1538914</v>
      </c>
      <c r="BL82" s="16">
        <f t="shared" si="74"/>
        <v>1653418</v>
      </c>
      <c r="BM82" s="16">
        <f t="shared" si="74"/>
        <v>1689016</v>
      </c>
      <c r="BN82" s="16">
        <f t="shared" si="74"/>
        <v>1794711</v>
      </c>
      <c r="BO82" s="16">
        <f>SUM(BO74:BO81)</f>
        <v>1750528</v>
      </c>
      <c r="BP82" s="16">
        <f>SUM(BP74:BP81)</f>
        <v>1742327</v>
      </c>
      <c r="BQ82" s="186">
        <f>SUM(BQ74:BQ81)</f>
        <v>1721545</v>
      </c>
      <c r="BR82" s="186">
        <f>SUM(BR74:BR81)</f>
        <v>1706866</v>
      </c>
      <c r="BS82" s="186">
        <f>SUM(BS74:BS81)</f>
        <v>1714471</v>
      </c>
    </row>
    <row r="83" spans="1:73" ht="15" customHeight="1">
      <c r="A83" s="21"/>
      <c r="B83" s="15" t="s">
        <v>67</v>
      </c>
      <c r="C83" s="15" t="s">
        <v>414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12470</v>
      </c>
      <c r="AE83" s="16">
        <v>12349</v>
      </c>
      <c r="AF83" s="16">
        <v>10395</v>
      </c>
      <c r="AG83" s="16">
        <v>11151</v>
      </c>
      <c r="AH83" s="16">
        <v>11429</v>
      </c>
      <c r="AI83" s="16">
        <v>11523</v>
      </c>
      <c r="AJ83" s="16">
        <v>12330.57</v>
      </c>
      <c r="AK83" s="16">
        <v>11289.689999999999</v>
      </c>
      <c r="AL83" s="16">
        <v>11694</v>
      </c>
      <c r="AM83" s="16">
        <v>12275</v>
      </c>
      <c r="AN83" s="16">
        <v>13959</v>
      </c>
      <c r="AO83" s="16">
        <v>14456</v>
      </c>
      <c r="AP83" s="16">
        <v>16535</v>
      </c>
      <c r="AQ83" s="16">
        <v>15341</v>
      </c>
      <c r="AR83" s="16">
        <v>15757</v>
      </c>
      <c r="AS83" s="16">
        <v>19779</v>
      </c>
      <c r="AT83" s="16">
        <v>18242</v>
      </c>
      <c r="AU83" s="16">
        <v>17537</v>
      </c>
      <c r="AV83" s="16">
        <v>20253</v>
      </c>
      <c r="AW83" s="16">
        <v>24064</v>
      </c>
      <c r="AX83" s="16">
        <v>49778</v>
      </c>
      <c r="AY83" s="16">
        <v>52166</v>
      </c>
      <c r="AZ83" s="16">
        <v>47347</v>
      </c>
      <c r="BA83" s="16">
        <v>49323</v>
      </c>
      <c r="BB83" s="16">
        <v>47722</v>
      </c>
      <c r="BC83" s="16">
        <v>46923</v>
      </c>
      <c r="BD83" s="16">
        <v>48452</v>
      </c>
      <c r="BE83" s="16">
        <v>48265</v>
      </c>
      <c r="BF83" s="16">
        <v>37308</v>
      </c>
      <c r="BG83" s="16">
        <v>37120</v>
      </c>
      <c r="BH83" s="16">
        <v>33630</v>
      </c>
      <c r="BI83" s="16">
        <v>34375</v>
      </c>
      <c r="BJ83" s="16">
        <v>32806</v>
      </c>
      <c r="BK83" s="16">
        <v>26709</v>
      </c>
      <c r="BL83" s="16">
        <v>26861</v>
      </c>
      <c r="BM83" s="16">
        <v>27848</v>
      </c>
      <c r="BN83" s="16">
        <v>27386</v>
      </c>
      <c r="BO83" s="16">
        <v>7695</v>
      </c>
      <c r="BP83" s="16">
        <v>8186</v>
      </c>
      <c r="BQ83" s="186">
        <v>10549</v>
      </c>
      <c r="BR83" s="186">
        <v>14028</v>
      </c>
      <c r="BS83" s="186">
        <v>9893</v>
      </c>
      <c r="BU83" s="215"/>
    </row>
    <row r="84" spans="1:73" ht="15" customHeight="1">
      <c r="A84" s="21"/>
      <c r="B84" s="15" t="s">
        <v>68</v>
      </c>
      <c r="C84" s="15" t="s">
        <v>465</v>
      </c>
      <c r="D84" s="16">
        <f t="shared" ref="D84:BO84" si="75">SUM(D82:D83)</f>
        <v>401072</v>
      </c>
      <c r="E84" s="16">
        <f t="shared" si="75"/>
        <v>410292</v>
      </c>
      <c r="F84" s="16">
        <f t="shared" si="75"/>
        <v>425712</v>
      </c>
      <c r="G84" s="16">
        <f t="shared" si="75"/>
        <v>455050</v>
      </c>
      <c r="H84" s="16">
        <f t="shared" si="75"/>
        <v>473515</v>
      </c>
      <c r="I84" s="16">
        <f t="shared" si="75"/>
        <v>479248</v>
      </c>
      <c r="J84" s="16">
        <f t="shared" si="75"/>
        <v>485749</v>
      </c>
      <c r="K84" s="16">
        <f t="shared" si="75"/>
        <v>503310</v>
      </c>
      <c r="L84" s="16">
        <f t="shared" si="75"/>
        <v>529903</v>
      </c>
      <c r="M84" s="16">
        <f t="shared" si="75"/>
        <v>503891</v>
      </c>
      <c r="N84" s="16">
        <f t="shared" si="75"/>
        <v>514505</v>
      </c>
      <c r="O84" s="16">
        <f t="shared" si="75"/>
        <v>512449</v>
      </c>
      <c r="P84" s="16">
        <f t="shared" si="75"/>
        <v>523283</v>
      </c>
      <c r="Q84" s="16">
        <f t="shared" si="75"/>
        <v>535404</v>
      </c>
      <c r="R84" s="16">
        <f t="shared" si="75"/>
        <v>542670</v>
      </c>
      <c r="S84" s="16">
        <f t="shared" si="75"/>
        <v>0</v>
      </c>
      <c r="T84" s="16">
        <f t="shared" si="75"/>
        <v>0</v>
      </c>
      <c r="U84" s="16">
        <f t="shared" si="75"/>
        <v>0</v>
      </c>
      <c r="V84" s="16">
        <f t="shared" si="75"/>
        <v>543470</v>
      </c>
      <c r="W84" s="16">
        <f t="shared" si="75"/>
        <v>554235</v>
      </c>
      <c r="X84" s="16">
        <f t="shared" si="75"/>
        <v>556715</v>
      </c>
      <c r="Y84" s="16">
        <f t="shared" si="75"/>
        <v>590547</v>
      </c>
      <c r="Z84" s="16">
        <f t="shared" si="75"/>
        <v>590561</v>
      </c>
      <c r="AA84" s="16">
        <f t="shared" si="75"/>
        <v>640780</v>
      </c>
      <c r="AB84" s="16">
        <f t="shared" si="75"/>
        <v>643508</v>
      </c>
      <c r="AC84" s="16">
        <f t="shared" si="75"/>
        <v>1106677</v>
      </c>
      <c r="AD84" s="16">
        <f t="shared" si="75"/>
        <v>1078226</v>
      </c>
      <c r="AE84" s="16">
        <f t="shared" si="75"/>
        <v>1045380</v>
      </c>
      <c r="AF84" s="16">
        <f t="shared" si="75"/>
        <v>962632</v>
      </c>
      <c r="AG84" s="16">
        <f t="shared" si="75"/>
        <v>1005964</v>
      </c>
      <c r="AH84" s="16">
        <f t="shared" si="75"/>
        <v>992150</v>
      </c>
      <c r="AI84" s="16">
        <f t="shared" si="75"/>
        <v>984251</v>
      </c>
      <c r="AJ84" s="16">
        <f t="shared" si="75"/>
        <v>997438.57</v>
      </c>
      <c r="AK84" s="16">
        <f t="shared" si="75"/>
        <v>984175.69</v>
      </c>
      <c r="AL84" s="16">
        <f t="shared" si="75"/>
        <v>990695</v>
      </c>
      <c r="AM84" s="16">
        <f t="shared" si="75"/>
        <v>997958</v>
      </c>
      <c r="AN84" s="16">
        <f t="shared" si="75"/>
        <v>1072480</v>
      </c>
      <c r="AO84" s="16">
        <f t="shared" si="75"/>
        <v>1100718</v>
      </c>
      <c r="AP84" s="16">
        <f t="shared" si="75"/>
        <v>1088443</v>
      </c>
      <c r="AQ84" s="16">
        <f t="shared" si="75"/>
        <v>1101802</v>
      </c>
      <c r="AR84" s="16">
        <f t="shared" si="75"/>
        <v>1103928</v>
      </c>
      <c r="AS84" s="16">
        <f t="shared" si="75"/>
        <v>1180563</v>
      </c>
      <c r="AT84" s="16">
        <f t="shared" si="75"/>
        <v>1117107</v>
      </c>
      <c r="AU84" s="16">
        <f t="shared" si="75"/>
        <v>1258994</v>
      </c>
      <c r="AV84" s="16">
        <f t="shared" si="75"/>
        <v>1171392</v>
      </c>
      <c r="AW84" s="16">
        <f t="shared" si="75"/>
        <v>1195745</v>
      </c>
      <c r="AX84" s="16">
        <f t="shared" si="75"/>
        <v>1112656</v>
      </c>
      <c r="AY84" s="16">
        <f t="shared" si="75"/>
        <v>1260526</v>
      </c>
      <c r="AZ84" s="16">
        <f t="shared" si="75"/>
        <v>1171786</v>
      </c>
      <c r="BA84" s="16">
        <f t="shared" si="75"/>
        <v>1284326</v>
      </c>
      <c r="BB84" s="16">
        <f t="shared" si="75"/>
        <v>1306526</v>
      </c>
      <c r="BC84" s="16">
        <f t="shared" si="75"/>
        <v>1191598</v>
      </c>
      <c r="BD84" s="16">
        <f t="shared" si="75"/>
        <v>1253143</v>
      </c>
      <c r="BE84" s="16">
        <f t="shared" si="75"/>
        <v>1321707</v>
      </c>
      <c r="BF84" s="16">
        <f t="shared" si="75"/>
        <v>1272675</v>
      </c>
      <c r="BG84" s="16">
        <f t="shared" si="75"/>
        <v>1316091</v>
      </c>
      <c r="BH84" s="16">
        <f t="shared" si="75"/>
        <v>1325524</v>
      </c>
      <c r="BI84" s="16">
        <f t="shared" si="75"/>
        <v>1393135</v>
      </c>
      <c r="BJ84" s="16">
        <f t="shared" si="75"/>
        <v>1331269</v>
      </c>
      <c r="BK84" s="16">
        <f t="shared" si="75"/>
        <v>1565623</v>
      </c>
      <c r="BL84" s="16">
        <f t="shared" si="75"/>
        <v>1680279</v>
      </c>
      <c r="BM84" s="16">
        <f t="shared" si="75"/>
        <v>1716864</v>
      </c>
      <c r="BN84" s="16">
        <f t="shared" si="75"/>
        <v>1822097</v>
      </c>
      <c r="BO84" s="16">
        <f t="shared" si="75"/>
        <v>1758223</v>
      </c>
      <c r="BP84" s="16">
        <f>SUM(BP82:BP83)</f>
        <v>1750513</v>
      </c>
      <c r="BQ84" s="186">
        <f>SUM(BQ82:BQ83)</f>
        <v>1732094</v>
      </c>
      <c r="BR84" s="186">
        <f>SUM(BR82:BR83)</f>
        <v>1720894</v>
      </c>
      <c r="BS84" s="186">
        <f>SUM(BS82:BS83)</f>
        <v>1724364</v>
      </c>
    </row>
    <row r="85" spans="1:73" ht="15" customHeight="1">
      <c r="A85" s="21"/>
      <c r="BA85" s="8"/>
      <c r="BQ85" s="189"/>
      <c r="BR85" s="189"/>
      <c r="BS85" s="189"/>
    </row>
    <row r="86" spans="1:73" ht="20.25" customHeight="1">
      <c r="A86" s="21"/>
      <c r="B86" s="15" t="s">
        <v>84</v>
      </c>
      <c r="C86" s="15" t="s">
        <v>466</v>
      </c>
      <c r="D86" s="16">
        <f t="shared" ref="D86:AI86" si="76">D84+D71+D59</f>
        <v>745543</v>
      </c>
      <c r="E86" s="16">
        <f t="shared" si="76"/>
        <v>735997</v>
      </c>
      <c r="F86" s="16">
        <f t="shared" si="76"/>
        <v>771491</v>
      </c>
      <c r="G86" s="16">
        <f t="shared" si="76"/>
        <v>801104</v>
      </c>
      <c r="H86" s="16">
        <f t="shared" si="76"/>
        <v>825937</v>
      </c>
      <c r="I86" s="16">
        <f t="shared" si="76"/>
        <v>807020</v>
      </c>
      <c r="J86" s="16">
        <f t="shared" si="76"/>
        <v>832998</v>
      </c>
      <c r="K86" s="16">
        <f t="shared" si="76"/>
        <v>915601</v>
      </c>
      <c r="L86" s="16">
        <f t="shared" si="76"/>
        <v>937133</v>
      </c>
      <c r="M86" s="16">
        <f t="shared" si="76"/>
        <v>883708</v>
      </c>
      <c r="N86" s="16">
        <f t="shared" si="76"/>
        <v>883966</v>
      </c>
      <c r="O86" s="16">
        <f t="shared" si="76"/>
        <v>1095868</v>
      </c>
      <c r="P86" s="16">
        <f t="shared" si="76"/>
        <v>1123303</v>
      </c>
      <c r="Q86" s="16">
        <f t="shared" si="76"/>
        <v>1229857</v>
      </c>
      <c r="R86" s="16">
        <f t="shared" si="76"/>
        <v>1263552</v>
      </c>
      <c r="S86" s="16">
        <f t="shared" si="76"/>
        <v>0</v>
      </c>
      <c r="T86" s="16">
        <f t="shared" si="76"/>
        <v>0</v>
      </c>
      <c r="U86" s="16">
        <f t="shared" si="76"/>
        <v>0</v>
      </c>
      <c r="V86" s="16">
        <f t="shared" si="76"/>
        <v>1172956</v>
      </c>
      <c r="W86" s="16">
        <f t="shared" si="76"/>
        <v>1193613</v>
      </c>
      <c r="X86" s="16">
        <f t="shared" si="76"/>
        <v>1213631</v>
      </c>
      <c r="Y86" s="16">
        <f t="shared" si="76"/>
        <v>1284565</v>
      </c>
      <c r="Z86" s="16">
        <f t="shared" si="76"/>
        <v>1296214</v>
      </c>
      <c r="AA86" s="16">
        <f t="shared" si="76"/>
        <v>1432230</v>
      </c>
      <c r="AB86" s="16">
        <f t="shared" si="76"/>
        <v>1584048.8052000001</v>
      </c>
      <c r="AC86" s="16">
        <f t="shared" si="76"/>
        <v>2190423</v>
      </c>
      <c r="AD86" s="16">
        <f t="shared" si="76"/>
        <v>2156239</v>
      </c>
      <c r="AE86" s="16">
        <f t="shared" si="76"/>
        <v>2053616</v>
      </c>
      <c r="AF86" s="16">
        <f t="shared" si="76"/>
        <v>1878155</v>
      </c>
      <c r="AG86" s="16">
        <f t="shared" si="76"/>
        <v>2161365</v>
      </c>
      <c r="AH86" s="16">
        <f t="shared" si="76"/>
        <v>2074697</v>
      </c>
      <c r="AI86" s="16">
        <f t="shared" si="76"/>
        <v>2018552</v>
      </c>
      <c r="AJ86" s="16">
        <f t="shared" ref="AJ86:BP86" si="77">AJ84+AJ71+AJ59</f>
        <v>2091919.5699999998</v>
      </c>
      <c r="AK86" s="16">
        <f t="shared" si="77"/>
        <v>2075911.69</v>
      </c>
      <c r="AL86" s="16">
        <f t="shared" si="77"/>
        <v>2059765</v>
      </c>
      <c r="AM86" s="16">
        <f t="shared" si="77"/>
        <v>2053485</v>
      </c>
      <c r="AN86" s="16">
        <f t="shared" si="77"/>
        <v>2422281</v>
      </c>
      <c r="AO86" s="16">
        <f t="shared" si="77"/>
        <v>2301208</v>
      </c>
      <c r="AP86" s="16">
        <f t="shared" si="77"/>
        <v>2247239</v>
      </c>
      <c r="AQ86" s="16">
        <f t="shared" si="77"/>
        <v>2368989</v>
      </c>
      <c r="AR86" s="16">
        <f t="shared" si="77"/>
        <v>2425497</v>
      </c>
      <c r="AS86" s="16">
        <f t="shared" si="77"/>
        <v>2610684</v>
      </c>
      <c r="AT86" s="16">
        <f t="shared" si="77"/>
        <v>2518442</v>
      </c>
      <c r="AU86" s="16">
        <f t="shared" si="77"/>
        <v>2834472</v>
      </c>
      <c r="AV86" s="16">
        <f t="shared" si="77"/>
        <v>3021778</v>
      </c>
      <c r="AW86" s="16">
        <f t="shared" si="77"/>
        <v>3096698</v>
      </c>
      <c r="AX86" s="16">
        <f t="shared" si="77"/>
        <v>2869159</v>
      </c>
      <c r="AY86" s="16">
        <f t="shared" si="77"/>
        <v>3168877</v>
      </c>
      <c r="AZ86" s="16">
        <f t="shared" si="77"/>
        <v>2895945</v>
      </c>
      <c r="BA86" s="16">
        <f t="shared" si="77"/>
        <v>3048746</v>
      </c>
      <c r="BB86" s="16">
        <f t="shared" si="77"/>
        <v>3097783</v>
      </c>
      <c r="BC86" s="16">
        <f t="shared" si="77"/>
        <v>2959343</v>
      </c>
      <c r="BD86" s="16">
        <f t="shared" si="77"/>
        <v>2984995</v>
      </c>
      <c r="BE86" s="16">
        <f t="shared" si="77"/>
        <v>3111942</v>
      </c>
      <c r="BF86" s="16">
        <f t="shared" si="77"/>
        <v>2663351</v>
      </c>
      <c r="BG86" s="16">
        <f t="shared" si="77"/>
        <v>2718049</v>
      </c>
      <c r="BH86" s="16">
        <f t="shared" si="77"/>
        <v>2611023</v>
      </c>
      <c r="BI86" s="16">
        <f t="shared" si="77"/>
        <v>2679664</v>
      </c>
      <c r="BJ86" s="16">
        <f t="shared" si="77"/>
        <v>2545626</v>
      </c>
      <c r="BK86" s="16">
        <f t="shared" si="77"/>
        <v>2733303</v>
      </c>
      <c r="BL86" s="16">
        <f t="shared" si="77"/>
        <v>2733819</v>
      </c>
      <c r="BM86" s="16">
        <f t="shared" si="77"/>
        <v>2823301</v>
      </c>
      <c r="BN86" s="16">
        <f t="shared" si="77"/>
        <v>2943849</v>
      </c>
      <c r="BO86" s="16">
        <f t="shared" si="77"/>
        <v>2949029</v>
      </c>
      <c r="BP86" s="16">
        <f t="shared" si="77"/>
        <v>2863658</v>
      </c>
      <c r="BQ86" s="186">
        <f>BQ84+BQ71+BQ59</f>
        <v>2874061</v>
      </c>
      <c r="BR86" s="186">
        <f>BR84+BR71+BR59</f>
        <v>3147366</v>
      </c>
      <c r="BS86" s="186">
        <f>BS84+BS71+BS59</f>
        <v>3041825</v>
      </c>
    </row>
    <row r="87" spans="1:73">
      <c r="A87" s="21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</row>
    <row r="88" spans="1:73">
      <c r="A88" s="21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73" ht="15" customHeight="1">
      <c r="A89" s="21"/>
      <c r="B89" s="217" t="s">
        <v>65</v>
      </c>
      <c r="C89" s="217" t="s">
        <v>467</v>
      </c>
    </row>
    <row r="90" spans="1:73">
      <c r="A90" s="21"/>
      <c r="B90" s="217"/>
      <c r="C90" s="217"/>
      <c r="AN90" s="22"/>
    </row>
    <row r="91" spans="1:73">
      <c r="A91" s="21"/>
      <c r="B91" s="217"/>
      <c r="C91" s="217"/>
    </row>
    <row r="92" spans="1:73">
      <c r="A92" s="21"/>
      <c r="B92" s="217"/>
      <c r="C92" s="217"/>
    </row>
    <row r="93" spans="1:73">
      <c r="A93" s="21"/>
    </row>
    <row r="94" spans="1:73">
      <c r="A94" s="21"/>
    </row>
    <row r="95" spans="1:73">
      <c r="A95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</sheetData>
  <mergeCells count="2">
    <mergeCell ref="C89:C92"/>
    <mergeCell ref="B89:B92"/>
  </mergeCells>
  <pageMargins left="0.511811024" right="0.511811024" top="0.78740157499999996" bottom="0.78740157499999996" header="0.31496062000000002" footer="0.31496062000000002"/>
  <pageSetup paperSize="9" scale="18" orientation="landscape" r:id="rId1"/>
  <headerFooter>
    <oddFooter>&amp;L_x000D_&amp;1#&amp;"Calibri"&amp;10&amp;K000000 Classificação da Informação: Documento Restrito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2"/>
  <sheetViews>
    <sheetView showGridLines="0" topLeftCell="A7" zoomScaleNormal="100" workbookViewId="0">
      <pane xSplit="3" topLeftCell="R1" activePane="topRight" state="frozen"/>
      <selection activeCell="D47" sqref="D47"/>
      <selection pane="topRight" activeCell="S19" sqref="S19"/>
    </sheetView>
  </sheetViews>
  <sheetFormatPr defaultColWidth="9.1796875" defaultRowHeight="13" outlineLevelCol="1"/>
  <cols>
    <col min="1" max="1" width="1.54296875" style="122" customWidth="1"/>
    <col min="2" max="3" width="30.453125" style="124" customWidth="1"/>
    <col min="4" max="7" width="13.54296875" style="124" customWidth="1" outlineLevel="1"/>
    <col min="8" max="11" width="13.54296875" style="124" customWidth="1"/>
    <col min="12" max="18" width="13.54296875" style="119" customWidth="1"/>
    <col min="19" max="19" width="13.54296875" style="119" bestFit="1" customWidth="1"/>
    <col min="20" max="21" width="14.453125" style="119" bestFit="1" customWidth="1"/>
    <col min="22" max="22" width="14.453125" style="119" customWidth="1"/>
    <col min="23" max="23" width="12.7265625" style="119" customWidth="1"/>
    <col min="24" max="24" width="12.453125" style="119" bestFit="1" customWidth="1"/>
    <col min="25" max="25" width="9.1796875" style="119"/>
    <col min="26" max="26" width="15" style="119" bestFit="1" customWidth="1"/>
    <col min="27" max="16384" width="9.1796875" style="119"/>
  </cols>
  <sheetData>
    <row r="1" spans="1:24" s="118" customFormat="1" ht="8.25" customHeight="1">
      <c r="B1" s="123"/>
      <c r="C1" s="123"/>
      <c r="D1" s="123"/>
      <c r="E1" s="123"/>
      <c r="F1" s="123"/>
      <c r="G1" s="123"/>
      <c r="H1" s="123"/>
      <c r="I1" s="123"/>
      <c r="J1" s="123"/>
      <c r="K1" s="123"/>
      <c r="S1" s="136"/>
    </row>
    <row r="2" spans="1:24">
      <c r="A2" s="118"/>
    </row>
    <row r="3" spans="1:24">
      <c r="A3" s="118"/>
    </row>
    <row r="4" spans="1:24">
      <c r="A4" s="118"/>
    </row>
    <row r="5" spans="1:24" ht="14.5">
      <c r="A5" s="118"/>
      <c r="B5" s="212"/>
      <c r="C5" s="212"/>
      <c r="D5" s="212" t="s">
        <v>752</v>
      </c>
      <c r="E5" s="212" t="s">
        <v>753</v>
      </c>
      <c r="F5" s="212" t="s">
        <v>754</v>
      </c>
      <c r="G5" s="212" t="s">
        <v>755</v>
      </c>
      <c r="H5" s="212" t="s">
        <v>756</v>
      </c>
      <c r="I5" s="212" t="s">
        <v>757</v>
      </c>
      <c r="J5" s="212" t="s">
        <v>758</v>
      </c>
      <c r="K5" s="212" t="s">
        <v>759</v>
      </c>
      <c r="L5" s="212" t="s">
        <v>760</v>
      </c>
      <c r="M5" s="212" t="s">
        <v>761</v>
      </c>
      <c r="N5" s="212" t="s">
        <v>762</v>
      </c>
      <c r="O5" s="212" t="s">
        <v>763</v>
      </c>
      <c r="P5" s="212" t="s">
        <v>764</v>
      </c>
      <c r="Q5" s="212" t="s">
        <v>765</v>
      </c>
      <c r="R5" s="212" t="s">
        <v>766</v>
      </c>
      <c r="S5" s="212" t="s">
        <v>767</v>
      </c>
      <c r="T5" s="212" t="s">
        <v>768</v>
      </c>
      <c r="U5" s="212" t="s">
        <v>769</v>
      </c>
      <c r="V5" s="212" t="s">
        <v>770</v>
      </c>
      <c r="W5" s="212" t="s">
        <v>771</v>
      </c>
      <c r="X5" s="212" t="s">
        <v>779</v>
      </c>
    </row>
    <row r="6" spans="1:24" ht="16.5" customHeight="1">
      <c r="A6" s="118"/>
      <c r="B6" s="213" t="s">
        <v>323</v>
      </c>
      <c r="C6" s="213" t="s">
        <v>468</v>
      </c>
      <c r="D6" s="212" t="s">
        <v>337</v>
      </c>
      <c r="E6" s="212" t="s">
        <v>338</v>
      </c>
      <c r="F6" s="212" t="s">
        <v>339</v>
      </c>
      <c r="G6" s="212" t="s">
        <v>340</v>
      </c>
      <c r="H6" s="212" t="s">
        <v>341</v>
      </c>
      <c r="I6" s="212" t="s">
        <v>342</v>
      </c>
      <c r="J6" s="212" t="s">
        <v>343</v>
      </c>
      <c r="K6" s="212" t="s">
        <v>344</v>
      </c>
      <c r="L6" s="212" t="s">
        <v>345</v>
      </c>
      <c r="M6" s="212" t="s">
        <v>346</v>
      </c>
      <c r="N6" s="212" t="s">
        <v>347</v>
      </c>
      <c r="O6" s="212" t="s">
        <v>348</v>
      </c>
      <c r="P6" s="212" t="s">
        <v>380</v>
      </c>
      <c r="Q6" s="212" t="s">
        <v>381</v>
      </c>
      <c r="R6" s="212" t="s">
        <v>382</v>
      </c>
      <c r="S6" s="212" t="s">
        <v>383</v>
      </c>
      <c r="T6" s="212" t="s">
        <v>384</v>
      </c>
      <c r="U6" s="212" t="s">
        <v>385</v>
      </c>
      <c r="V6" s="212" t="s">
        <v>386</v>
      </c>
      <c r="W6" s="212" t="s">
        <v>389</v>
      </c>
      <c r="X6" s="212" t="s">
        <v>780</v>
      </c>
    </row>
    <row r="7" spans="1:24" ht="16.5" customHeight="1">
      <c r="A7" s="158"/>
      <c r="B7" s="5" t="s">
        <v>251</v>
      </c>
      <c r="C7" s="5" t="s">
        <v>469</v>
      </c>
      <c r="D7" s="33">
        <v>489706</v>
      </c>
      <c r="E7" s="33">
        <v>541122</v>
      </c>
      <c r="F7" s="33">
        <v>583426</v>
      </c>
      <c r="G7" s="33">
        <v>583747</v>
      </c>
      <c r="H7" s="33">
        <v>579657</v>
      </c>
      <c r="I7" s="33">
        <v>456843</v>
      </c>
      <c r="J7" s="33">
        <v>496301</v>
      </c>
      <c r="K7" s="33">
        <v>478750</v>
      </c>
      <c r="L7" s="33">
        <v>529279</v>
      </c>
      <c r="M7" s="33">
        <v>534356</v>
      </c>
      <c r="N7" s="33">
        <v>558409</v>
      </c>
      <c r="O7" s="33">
        <v>633466</v>
      </c>
      <c r="P7" s="33">
        <v>484319</v>
      </c>
      <c r="Q7" s="33">
        <v>518153</v>
      </c>
      <c r="R7" s="33">
        <v>579699</v>
      </c>
      <c r="S7" s="33">
        <v>589173</v>
      </c>
      <c r="T7" s="33">
        <v>500672.4749629111</v>
      </c>
      <c r="U7" s="33">
        <v>490098.62308875402</v>
      </c>
      <c r="V7" s="200">
        <f>'DRE Op Continuada'!Z9</f>
        <v>540399.70467843674</v>
      </c>
      <c r="W7" s="200">
        <f>'DRE Op Continuada'!AA9</f>
        <v>531392.32894265768</v>
      </c>
      <c r="X7" s="200">
        <f>'DRE Op Continuada'!AB9</f>
        <v>446979.79000000004</v>
      </c>
    </row>
    <row r="8" spans="1:24" s="121" customFormat="1" ht="15" customHeight="1">
      <c r="A8" s="120"/>
      <c r="B8" s="6" t="s">
        <v>324</v>
      </c>
      <c r="C8" s="6" t="s">
        <v>470</v>
      </c>
      <c r="D8" s="169">
        <v>0.27184790408010123</v>
      </c>
      <c r="E8" s="169">
        <v>0.32768575618847812</v>
      </c>
      <c r="F8" s="169">
        <v>0.30546067405061766</v>
      </c>
      <c r="G8" s="169">
        <v>0.3081831654297838</v>
      </c>
      <c r="H8" s="169">
        <v>0.33685174385478045</v>
      </c>
      <c r="I8" s="169">
        <v>0.37086182780517596</v>
      </c>
      <c r="J8" s="169">
        <v>0.36342590484403642</v>
      </c>
      <c r="K8" s="169">
        <v>0.35316461618798917</v>
      </c>
      <c r="L8" s="169">
        <v>0.39208321131199242</v>
      </c>
      <c r="M8" s="169">
        <v>0.36178018025436232</v>
      </c>
      <c r="N8" s="169">
        <v>0.34999330240021187</v>
      </c>
      <c r="O8" s="169">
        <v>0.35764257276633654</v>
      </c>
      <c r="P8" s="169">
        <v>0.36999871985199845</v>
      </c>
      <c r="Q8" s="169">
        <v>0.36560322916204291</v>
      </c>
      <c r="R8" s="169">
        <v>0.36291835935545846</v>
      </c>
      <c r="S8" s="169">
        <v>0.33612268382970734</v>
      </c>
      <c r="T8" s="169">
        <v>0.33630463702919611</v>
      </c>
      <c r="U8" s="169">
        <v>0.3227750816596488</v>
      </c>
      <c r="V8" s="201">
        <f>HLOOKUP(V$6,'DRE Op Continuada'!$D$7:$AA$43,5,0)/HLOOKUP(V$6,'DRE Op Continuada'!$D$7:$Z$43,3,0)</f>
        <v>0.33327683771701233</v>
      </c>
      <c r="W8" s="201">
        <f>HLOOKUP(W$6,'DRE Op Continuada'!$D$7:$AA$43,5,0)/HLOOKUP(W$6,'DRE Op Continuada'!$D$7:$AA$43,3,0)</f>
        <v>0.35387475260853773</v>
      </c>
      <c r="X8" s="201">
        <f>HLOOKUP(X$6,'DRE Op Continuada'!$D$7:$AB$43,5,0)/HLOOKUP(X$6,'DRE Op Continuada'!$D$7:$AB$43,3,0)</f>
        <v>0.38707295915996565</v>
      </c>
    </row>
    <row r="9" spans="1:24" ht="15" customHeight="1">
      <c r="A9" s="118"/>
      <c r="B9" s="6" t="s">
        <v>325</v>
      </c>
      <c r="C9" s="6" t="s">
        <v>471</v>
      </c>
      <c r="D9" s="169">
        <v>9.4030202279686032E-2</v>
      </c>
      <c r="E9" s="169">
        <v>2.1434387619479304E-2</v>
      </c>
      <c r="F9" s="169">
        <v>0.14377493033037855</v>
      </c>
      <c r="G9" s="169">
        <v>0.14188661078775572</v>
      </c>
      <c r="H9" s="169">
        <v>0.15144833010459333</v>
      </c>
      <c r="I9" s="169">
        <v>0.19966734742570205</v>
      </c>
      <c r="J9" s="169">
        <v>0.1815040469392569</v>
      </c>
      <c r="K9" s="169">
        <v>0.11190508616187952</v>
      </c>
      <c r="L9" s="169">
        <v>0.1918107652107868</v>
      </c>
      <c r="M9" s="169">
        <v>0.19334565345949148</v>
      </c>
      <c r="N9" s="169">
        <v>0.20072457643053732</v>
      </c>
      <c r="O9" s="169">
        <v>0.11813800582825305</v>
      </c>
      <c r="P9" s="169">
        <v>0.41330484719781807</v>
      </c>
      <c r="Q9" s="169">
        <v>0.20110548428745956</v>
      </c>
      <c r="R9" s="169">
        <v>0.18420664862281963</v>
      </c>
      <c r="S9" s="169">
        <v>0.11380258430036704</v>
      </c>
      <c r="T9" s="169">
        <v>0.21597447507159517</v>
      </c>
      <c r="U9" s="169">
        <v>0.11367431056557971</v>
      </c>
      <c r="V9" s="201">
        <f>HLOOKUP(V$6,'DRE Op Continuada'!$D$7:$Z$43,14,0)/HLOOKUP(V$6,'DRE Op Continuada'!$D$7:$AA$43,3,0)</f>
        <v>0.1219832359413706</v>
      </c>
      <c r="W9" s="201">
        <f>HLOOKUP(W$6,'DRE Op Continuada'!$D$7:$AA$43,14,0)/HLOOKUP(W$6,'DRE Op Continuada'!$D$7:$AA$43,3,0)</f>
        <v>0.12813381984293787</v>
      </c>
      <c r="X9" s="201">
        <f>HLOOKUP(X$6,'DRE Op Continuada'!$D$7:$AB$43,14,0)/HLOOKUP(X$6,'DRE Op Continuada'!$D$7:$AB$43,3,0)</f>
        <v>0.18613993710990834</v>
      </c>
    </row>
    <row r="10" spans="1:24" ht="15" customHeight="1">
      <c r="A10" s="118"/>
      <c r="B10" s="6" t="s">
        <v>326</v>
      </c>
      <c r="C10" s="6" t="s">
        <v>472</v>
      </c>
      <c r="D10" s="169">
        <v>-7.6026050424770905E-3</v>
      </c>
      <c r="E10" s="169">
        <v>-4.6523019967103375E-2</v>
      </c>
      <c r="F10" s="169">
        <v>0.12538072608326148</v>
      </c>
      <c r="G10" s="169">
        <v>5.9792638163085887E-2</v>
      </c>
      <c r="H10" s="169">
        <v>-3.6810675175346246E-2</v>
      </c>
      <c r="I10" s="169">
        <v>-9.3344321791074738E-3</v>
      </c>
      <c r="J10" s="169">
        <v>4.3124313672549784E-2</v>
      </c>
      <c r="K10" s="169">
        <v>3.0996469973889971E-2</v>
      </c>
      <c r="L10" s="169">
        <v>0.11268047664842178</v>
      </c>
      <c r="M10" s="169">
        <v>0.10329192186946581</v>
      </c>
      <c r="N10" s="169">
        <v>0.10924018480096316</v>
      </c>
      <c r="O10" s="169">
        <v>5.4913554070776936E-2</v>
      </c>
      <c r="P10" s="169">
        <v>0.3027723262766896</v>
      </c>
      <c r="Q10" s="169">
        <v>0.15366003863723657</v>
      </c>
      <c r="R10" s="169">
        <v>0.15773428969171918</v>
      </c>
      <c r="S10" s="169">
        <v>0.10515147503364912</v>
      </c>
      <c r="T10" s="169">
        <v>0.14696234300767316</v>
      </c>
      <c r="U10" s="169">
        <v>0.11197746211594957</v>
      </c>
      <c r="V10" s="201">
        <f>HLOOKUP(V$6,'DRE Op Continuada'!$D$7:$Z$43,33,0)/HLOOKUP(V$6,'DRE Op Continuada'!$D$7:$Z$43,3,0)</f>
        <v>9.5863680586692729E-2</v>
      </c>
      <c r="W10" s="201">
        <f>HLOOKUP(W$6,'DRE Op Continuada'!$D$7:$AA$43,33,0)/HLOOKUP(W$6,'DRE Op Continuada'!$D$7:$AA$43,3,0)</f>
        <v>0.16643508783545397</v>
      </c>
      <c r="X10" s="201">
        <f>HLOOKUP(X$6,'DRE Op Continuada'!$D$7:$AB$43,33,0)/HLOOKUP(X$6,'DRE Op Continuada'!$D$7:$AB$43,3,0)</f>
        <v>0.1245666834287967</v>
      </c>
    </row>
    <row r="11" spans="1:24" ht="15" customHeight="1">
      <c r="A11" s="118"/>
      <c r="B11" s="6" t="s">
        <v>327</v>
      </c>
      <c r="C11" s="6" t="s">
        <v>473</v>
      </c>
      <c r="D11" s="170">
        <v>1.3050535758655406</v>
      </c>
      <c r="E11" s="170">
        <v>1.7841690230273159</v>
      </c>
      <c r="F11" s="170">
        <v>1.5281661300259772</v>
      </c>
      <c r="G11" s="170">
        <v>1.5333334113692016</v>
      </c>
      <c r="H11" s="170">
        <v>1.4655944287846128</v>
      </c>
      <c r="I11" s="170">
        <v>1.2364266936250383</v>
      </c>
      <c r="J11" s="170">
        <v>1.3149140409341704</v>
      </c>
      <c r="K11" s="170">
        <v>1.8441234605876256</v>
      </c>
      <c r="L11" s="170">
        <v>1.8694466206207374</v>
      </c>
      <c r="M11" s="170">
        <v>1.9998124152027776</v>
      </c>
      <c r="N11" s="170">
        <v>1.975027439114829</v>
      </c>
      <c r="O11" s="170">
        <v>2.2114374875265344</v>
      </c>
      <c r="P11" s="170">
        <v>2.8153769179452968</v>
      </c>
      <c r="Q11" s="170">
        <v>3.1103088251456206</v>
      </c>
      <c r="R11" s="170">
        <v>2.8631514342279178</v>
      </c>
      <c r="S11" s="170">
        <v>2.8610712497914235</v>
      </c>
      <c r="T11" s="170">
        <v>2.6518433329184248</v>
      </c>
      <c r="U11" s="170">
        <v>2.9784439458700183</v>
      </c>
      <c r="V11" s="202">
        <f>HLOOKUP(V$6,Balanço!$C$7:$BQ$86,16,0)/HLOOKUP(V$6,Balanço!$C$7:$BQ$86,53,0)</f>
        <v>3.1296926113870218</v>
      </c>
      <c r="W11" s="202">
        <f>HLOOKUP(W$6,Balanço!$C$7:$BR$86,16,0)/HLOOKUP(W$6,Balanço!$C$7:$BR$86,53,0)</f>
        <v>2.4165433822382596</v>
      </c>
      <c r="X11" s="202">
        <f>HLOOKUP(X$6,Balanço!$C$7:$BS$86,16,0)/HLOOKUP(X$6,Balanço!$C$7:$BS$86,53,0)</f>
        <v>2.3140986147500584</v>
      </c>
    </row>
    <row r="12" spans="1:24" ht="15" customHeight="1">
      <c r="A12" s="118"/>
      <c r="B12" s="6" t="s">
        <v>328</v>
      </c>
      <c r="C12" s="6" t="s">
        <v>474</v>
      </c>
      <c r="D12" s="37">
        <v>1454976</v>
      </c>
      <c r="E12" s="37">
        <v>1246511</v>
      </c>
      <c r="F12" s="37">
        <v>1293205</v>
      </c>
      <c r="G12" s="37">
        <v>1266622</v>
      </c>
      <c r="H12" s="37">
        <v>1247316</v>
      </c>
      <c r="I12" s="37">
        <v>1075687</v>
      </c>
      <c r="J12" s="37">
        <v>1106080</v>
      </c>
      <c r="K12" s="37">
        <v>867155</v>
      </c>
      <c r="L12" s="37">
        <v>902382</v>
      </c>
      <c r="M12" s="37">
        <v>762254</v>
      </c>
      <c r="N12" s="37">
        <v>736416</v>
      </c>
      <c r="O12" s="37">
        <v>709954</v>
      </c>
      <c r="P12" s="37">
        <v>700895</v>
      </c>
      <c r="Q12" s="37">
        <v>597670</v>
      </c>
      <c r="R12" s="37">
        <v>607062</v>
      </c>
      <c r="S12" s="37">
        <v>599216</v>
      </c>
      <c r="T12" s="37">
        <v>597712</v>
      </c>
      <c r="U12" s="37">
        <v>573385</v>
      </c>
      <c r="V12" s="203">
        <v>604995</v>
      </c>
      <c r="W12" s="203">
        <v>759006</v>
      </c>
      <c r="X12" s="203">
        <v>713731</v>
      </c>
    </row>
    <row r="13" spans="1:24" ht="15" customHeight="1">
      <c r="A13" s="118"/>
      <c r="B13" s="6" t="s">
        <v>329</v>
      </c>
      <c r="C13" s="6" t="s">
        <v>475</v>
      </c>
      <c r="D13" s="37">
        <v>582000</v>
      </c>
      <c r="E13" s="37">
        <v>536584</v>
      </c>
      <c r="F13" s="37">
        <v>643846.38352633337</v>
      </c>
      <c r="G13" s="37">
        <v>706895</v>
      </c>
      <c r="H13" s="37">
        <v>581774</v>
      </c>
      <c r="I13" s="37">
        <v>537900</v>
      </c>
      <c r="J13" s="37">
        <v>511340</v>
      </c>
      <c r="K13" s="37">
        <v>326898</v>
      </c>
      <c r="L13" s="37">
        <v>321905</v>
      </c>
      <c r="M13" s="37">
        <v>301000</v>
      </c>
      <c r="N13" s="37">
        <v>125706</v>
      </c>
      <c r="O13" s="37">
        <v>72666</v>
      </c>
      <c r="P13" s="37">
        <v>-68806</v>
      </c>
      <c r="Q13" s="37">
        <v>-131214</v>
      </c>
      <c r="R13" s="37">
        <v>-150370</v>
      </c>
      <c r="S13" s="37">
        <v>-61372</v>
      </c>
      <c r="T13" s="37">
        <v>-156876</v>
      </c>
      <c r="U13" s="37">
        <v>-48874</v>
      </c>
      <c r="V13" s="203">
        <v>-47923</v>
      </c>
      <c r="W13" s="206">
        <v>-92883</v>
      </c>
      <c r="X13" s="206">
        <v>-37300</v>
      </c>
    </row>
    <row r="14" spans="1:24" ht="15" customHeight="1">
      <c r="A14" s="118"/>
      <c r="B14" s="6" t="s">
        <v>335</v>
      </c>
      <c r="C14" s="6" t="s">
        <v>476</v>
      </c>
      <c r="D14" s="170">
        <v>7.0152902716952816</v>
      </c>
      <c r="E14" s="170">
        <v>4.9482592010052748</v>
      </c>
      <c r="F14" s="170">
        <v>4.8354151812495791</v>
      </c>
      <c r="G14" s="170">
        <v>3.9779724053374292</v>
      </c>
      <c r="H14" s="170">
        <v>3.5375264524522674</v>
      </c>
      <c r="I14" s="170">
        <v>2.6224649520720114</v>
      </c>
      <c r="J14" s="170">
        <v>2.4879874593262064</v>
      </c>
      <c r="K14" s="170">
        <v>1.8132013866882366</v>
      </c>
      <c r="L14" s="170">
        <v>1.7261445053218367</v>
      </c>
      <c r="M14" s="170">
        <v>1.4167417574581764</v>
      </c>
      <c r="N14" s="170">
        <v>1.3274445587224426</v>
      </c>
      <c r="O14" s="170">
        <v>1.2527690500691917</v>
      </c>
      <c r="P14" s="170">
        <v>1.2994754607704098</v>
      </c>
      <c r="Q14" s="170">
        <v>1.1198152101212688</v>
      </c>
      <c r="R14" s="170">
        <v>1.1567178885786973</v>
      </c>
      <c r="S14" s="170">
        <v>1.2298333600641655</v>
      </c>
      <c r="T14" s="170">
        <v>1.2575825585652667</v>
      </c>
      <c r="U14" s="170">
        <v>1.3097353532717324</v>
      </c>
      <c r="V14" s="202">
        <f>V12/SUM(S15:V15)</f>
        <v>1.4376881783033237</v>
      </c>
      <c r="W14" s="202">
        <f>W12/SUM(T15:W15)</f>
        <v>1.756639905790468</v>
      </c>
      <c r="X14" s="202">
        <f>X12/SUM(U15:X15)</f>
        <v>1.6143872113080386</v>
      </c>
    </row>
    <row r="15" spans="1:24" ht="15" customHeight="1">
      <c r="A15" s="118"/>
      <c r="B15" s="5" t="s">
        <v>264</v>
      </c>
      <c r="C15" s="5" t="s">
        <v>264</v>
      </c>
      <c r="D15" s="33">
        <v>64895.723210316202</v>
      </c>
      <c r="E15" s="33">
        <v>62040.114857286899</v>
      </c>
      <c r="F15" s="33">
        <v>90006.148845614705</v>
      </c>
      <c r="G15" s="33">
        <v>101466.95888553</v>
      </c>
      <c r="H15" s="33">
        <v>99082.303343350897</v>
      </c>
      <c r="I15" s="33">
        <v>119626.238502975</v>
      </c>
      <c r="J15" s="33">
        <v>124392.656496536</v>
      </c>
      <c r="K15" s="33">
        <v>135144.078969569</v>
      </c>
      <c r="L15" s="33">
        <v>143610.17579786401</v>
      </c>
      <c r="M15" s="33">
        <v>134886.21720651901</v>
      </c>
      <c r="N15" s="33">
        <v>141121.679982692</v>
      </c>
      <c r="O15" s="33">
        <v>147089.73318102001</v>
      </c>
      <c r="P15" s="33">
        <v>116270</v>
      </c>
      <c r="Q15" s="33">
        <v>129240.57471255213</v>
      </c>
      <c r="R15" s="33">
        <v>132213.91517158668</v>
      </c>
      <c r="S15" s="33">
        <v>109509</v>
      </c>
      <c r="T15" s="33">
        <v>104323</v>
      </c>
      <c r="U15" s="33">
        <v>91741</v>
      </c>
      <c r="V15" s="200">
        <v>115238</v>
      </c>
      <c r="W15" s="207">
        <v>120776.30899096868</v>
      </c>
      <c r="X15" s="207">
        <v>114351.14167999997</v>
      </c>
    </row>
    <row r="16" spans="1:24" ht="15" customHeight="1">
      <c r="B16" s="6" t="s">
        <v>330</v>
      </c>
      <c r="C16" s="6" t="s">
        <v>477</v>
      </c>
      <c r="D16" s="210">
        <v>2.8061623958928905</v>
      </c>
      <c r="E16" s="210">
        <v>2.1300708257786849</v>
      </c>
      <c r="F16" s="210">
        <v>2.4074022117884417</v>
      </c>
      <c r="G16" s="210">
        <v>2.2200852373249496</v>
      </c>
      <c r="H16" s="210">
        <v>1.649975558999456</v>
      </c>
      <c r="I16" s="210">
        <v>1.3113702198869512</v>
      </c>
      <c r="J16" s="210">
        <v>1.1501948389373844</v>
      </c>
      <c r="K16" s="210">
        <v>0.68353628463839933</v>
      </c>
      <c r="L16" s="210">
        <v>0.61576421846360618</v>
      </c>
      <c r="M16" s="210">
        <v>0.55944510490585964</v>
      </c>
      <c r="N16" s="210">
        <v>0.22659440547022794</v>
      </c>
      <c r="O16" s="210">
        <v>0.12822480863876798</v>
      </c>
      <c r="P16" s="210">
        <v>-0.12756790753788916</v>
      </c>
      <c r="Q16" s="210">
        <v>-0.24584709451846698</v>
      </c>
      <c r="R16" s="210">
        <v>-0.28652043597783872</v>
      </c>
      <c r="S16" s="210">
        <v>-0.12596014287645518</v>
      </c>
      <c r="T16" s="210">
        <v>-0.33006618815999139</v>
      </c>
      <c r="U16" s="210">
        <v>-0.11163878660202595</v>
      </c>
      <c r="V16" s="211">
        <f>V13/SUM(S15:V15)</f>
        <v>-0.11388247930781277</v>
      </c>
      <c r="W16" s="211">
        <f>W13/SUM(T15:W15)</f>
        <v>-0.2149679770246033</v>
      </c>
      <c r="X16" s="211">
        <f>X13/SUM(U15:X15)</f>
        <v>-8.4368821000895072E-2</v>
      </c>
    </row>
    <row r="17" spans="1:26" ht="15" customHeight="1">
      <c r="A17" s="118"/>
      <c r="B17" s="6" t="s">
        <v>336</v>
      </c>
      <c r="C17" s="6" t="s">
        <v>478</v>
      </c>
      <c r="D17" s="37">
        <v>-204659</v>
      </c>
      <c r="E17" s="37">
        <v>-168262</v>
      </c>
      <c r="F17" s="37">
        <v>-24304</v>
      </c>
      <c r="G17" s="37">
        <v>59687</v>
      </c>
      <c r="H17" s="37">
        <v>46563</v>
      </c>
      <c r="I17" s="37">
        <v>59864</v>
      </c>
      <c r="J17" s="37">
        <v>29684</v>
      </c>
      <c r="K17" s="37">
        <v>24479</v>
      </c>
      <c r="L17" s="37">
        <v>102019</v>
      </c>
      <c r="M17" s="37">
        <v>163842</v>
      </c>
      <c r="N17" s="37">
        <v>202476</v>
      </c>
      <c r="O17" s="37">
        <v>213286</v>
      </c>
      <c r="P17" s="37">
        <v>301703</v>
      </c>
      <c r="Q17" s="37">
        <v>323817</v>
      </c>
      <c r="R17" s="37">
        <v>353420</v>
      </c>
      <c r="S17" s="37">
        <v>379648.62029000011</v>
      </c>
      <c r="T17" s="37">
        <v>306590.2300000001</v>
      </c>
      <c r="U17" s="37">
        <v>281850.82000000007</v>
      </c>
      <c r="V17" s="203">
        <f>SUM('DRE Op Continuada'!Z34,'DRE Op Continuada'!Y34,'DRE Op Continuada'!X34,'DRE Op Continuada'!V34)</f>
        <v>242217.11467843689</v>
      </c>
      <c r="W17" s="203">
        <f>SUM('DRE Op Continuada'!X34:AA34)</f>
        <v>268707.03362109442</v>
      </c>
      <c r="X17" s="203">
        <f>SUM('DRE Op Continuada'!Y34:AB34)</f>
        <v>250805.82362109446</v>
      </c>
    </row>
    <row r="18" spans="1:26" ht="15" customHeight="1">
      <c r="A18" s="118"/>
      <c r="B18" s="6" t="s">
        <v>387</v>
      </c>
      <c r="C18" s="6" t="s">
        <v>387</v>
      </c>
      <c r="D18" s="204">
        <f>D17/AVERAGE(Balanço!AY84,Balanço!AU84)</f>
        <v>-0.16245872229631042</v>
      </c>
      <c r="E18" s="204">
        <f>E17/AVERAGE(Balanço!AZ84,Balanço!AV84)</f>
        <v>-0.14361862393723396</v>
      </c>
      <c r="F18" s="204">
        <f>F17/AVERAGE(Balanço!BA84,Balanço!AW84)</f>
        <v>-1.9599438887031865E-2</v>
      </c>
      <c r="G18" s="204">
        <f>G17/AVERAGE(Balanço!BB84,Balanço!AX84)</f>
        <v>4.9344778524311107E-2</v>
      </c>
      <c r="H18" s="204">
        <f>H17/AVERAGE(Balanço!BC84,Balanço!AY84)</f>
        <v>3.7977687914640533E-2</v>
      </c>
      <c r="I18" s="204">
        <f>I17/AVERAGE(Balanço!BD84,Balanço!AZ84)</f>
        <v>4.937381671793277E-2</v>
      </c>
      <c r="J18" s="204">
        <f>J17/AVERAGE(Balanço!BE84,Balanço!BA84)</f>
        <v>2.2780985505555764E-2</v>
      </c>
      <c r="K18" s="204">
        <f>K17/AVERAGE(Balanço!BF84,Balanço!BB84)</f>
        <v>1.8981847479122411E-2</v>
      </c>
      <c r="L18" s="204">
        <f>L17/AVERAGE(Balanço!BG84,Balanço!BC84)</f>
        <v>8.1364953947638638E-2</v>
      </c>
      <c r="M18" s="204">
        <f>M17/AVERAGE(Balanço!BH84,Balanço!BD84)</f>
        <v>0.12707495772040361</v>
      </c>
      <c r="N18" s="204">
        <f>N17/AVERAGE(Balanço!BI84,Balanço!BE84)</f>
        <v>0.14916227169021254</v>
      </c>
      <c r="O18" s="204">
        <f>O17/AVERAGE(Balanço!BJ84,Balanço!BF84)</f>
        <v>0.16381765506477866</v>
      </c>
      <c r="P18" s="204">
        <f>P17/AVERAGE(Balanço!BK84,Balanço!BG84)</f>
        <v>0.20939135528369573</v>
      </c>
      <c r="Q18" s="204">
        <f>Q17/AVERAGE(Balanço!BL84,Balanço!BH84)</f>
        <v>0.215461226168182</v>
      </c>
      <c r="R18" s="204">
        <f>R17/AVERAGE(Balanço!BM84,Balanço!BI84)</f>
        <v>0.22727981584559995</v>
      </c>
      <c r="S18" s="204">
        <f>S17/AVERAGE(Balanço!BN84,Balanço!BJ84)</f>
        <v>0.240789442322902</v>
      </c>
      <c r="T18" s="204">
        <f>T17/AVERAGE(Balanço!BO84,Balanço!BK84)</f>
        <v>0.18447920270674401</v>
      </c>
      <c r="U18" s="204">
        <f>U17/AVERAGE(Balanço!BP84,Balanço!BL84)</f>
        <v>0.16430656244972011</v>
      </c>
      <c r="V18" s="204">
        <f>V17/AVERAGE(Balanço!BQ84,Balanço!BM84)</f>
        <v>0.14045814108402416</v>
      </c>
      <c r="W18" s="204">
        <f>W17/AVERAGE(Balanço!BR84,Balanço!BN84)</f>
        <v>0.1516837235099352</v>
      </c>
      <c r="X18" s="204">
        <f>X17/AVERAGE(Balanço!BS84,Balanço!BO84)</f>
        <v>0.14403420424017804</v>
      </c>
    </row>
    <row r="19" spans="1:26" ht="15" customHeight="1">
      <c r="A19" s="118"/>
      <c r="B19" s="6" t="s">
        <v>331</v>
      </c>
      <c r="C19" s="6" t="s">
        <v>479</v>
      </c>
      <c r="D19" s="203">
        <v>0</v>
      </c>
      <c r="E19" s="203">
        <v>0</v>
      </c>
      <c r="F19" s="203">
        <v>0</v>
      </c>
      <c r="G19" s="203">
        <f t="shared" ref="G19:V19" si="0">G22/SUM(G17)</f>
        <v>21.988348713007081</v>
      </c>
      <c r="H19" s="203">
        <f t="shared" si="0"/>
        <v>27.605887980662388</v>
      </c>
      <c r="I19" s="203">
        <f t="shared" si="0"/>
        <v>20.294343575497258</v>
      </c>
      <c r="J19" s="203">
        <f t="shared" si="0"/>
        <v>41.71874528127001</v>
      </c>
      <c r="K19" s="203">
        <f t="shared" si="0"/>
        <v>40.786641579182103</v>
      </c>
      <c r="L19" s="203">
        <f t="shared" si="0"/>
        <v>10.248385009599195</v>
      </c>
      <c r="M19" s="203">
        <f t="shared" si="0"/>
        <v>8.6770372499179178</v>
      </c>
      <c r="N19" s="203">
        <f t="shared" si="0"/>
        <v>7.1959797078943524</v>
      </c>
      <c r="O19" s="203">
        <f t="shared" si="0"/>
        <v>8.0422353623772782</v>
      </c>
      <c r="P19" s="203">
        <f t="shared" si="0"/>
        <v>4.6002562117048891</v>
      </c>
      <c r="Q19" s="203">
        <f t="shared" si="0"/>
        <v>3.3680562056346637</v>
      </c>
      <c r="R19" s="203">
        <f t="shared" si="0"/>
        <v>4.7042778051609977</v>
      </c>
      <c r="S19" s="203">
        <f t="shared" si="0"/>
        <v>5.2274212812469782</v>
      </c>
      <c r="T19" s="203">
        <f t="shared" si="0"/>
        <v>6.2406895598075627</v>
      </c>
      <c r="U19" s="203">
        <f t="shared" si="0"/>
        <v>7.4359534016966826</v>
      </c>
      <c r="V19" s="203">
        <f t="shared" si="0"/>
        <v>7.1458176419442179</v>
      </c>
      <c r="W19" s="203">
        <f t="shared" ref="W19:X19" si="1">W22/SUM(W17)</f>
        <v>6.5175012406616704</v>
      </c>
      <c r="X19" s="203">
        <f t="shared" si="1"/>
        <v>6.4750410359427253</v>
      </c>
    </row>
    <row r="20" spans="1:26" ht="15" customHeight="1">
      <c r="A20" s="118"/>
      <c r="B20" s="6" t="s">
        <v>332</v>
      </c>
      <c r="C20" s="6" t="s">
        <v>480</v>
      </c>
      <c r="D20" s="37">
        <v>5.9021805696051493</v>
      </c>
      <c r="E20" s="37">
        <v>5.2280004618609679</v>
      </c>
      <c r="F20" s="37">
        <v>4.6090785880842144</v>
      </c>
      <c r="G20" s="37">
        <v>3.7561870839809708</v>
      </c>
      <c r="H20" s="37">
        <v>3.4455927385721212</v>
      </c>
      <c r="I20" s="37">
        <v>2.9618599102496193</v>
      </c>
      <c r="J20" s="37">
        <v>2.7855779024969967</v>
      </c>
      <c r="K20" s="37">
        <v>2.0876655694909196</v>
      </c>
      <c r="L20" s="37">
        <v>2.719464719515222</v>
      </c>
      <c r="M20" s="37">
        <v>2.6423338301537913</v>
      </c>
      <c r="N20" s="37">
        <v>2.6263745322148182</v>
      </c>
      <c r="O20" s="37">
        <v>2.9766007713602702</v>
      </c>
      <c r="P20" s="37">
        <v>2.5732191212277877</v>
      </c>
      <c r="Q20" s="37">
        <v>2.0434493633656476</v>
      </c>
      <c r="R20" s="37">
        <v>3.1679512269879546</v>
      </c>
      <c r="S20" s="37">
        <v>4.0731668046297926</v>
      </c>
      <c r="T20" s="37">
        <v>4.0256445075188569</v>
      </c>
      <c r="U20" s="37">
        <v>4.7873280153395132</v>
      </c>
      <c r="V20" s="203">
        <f>V22/SUM(S15:V15)</f>
        <v>4.1131038191729781</v>
      </c>
      <c r="W20" s="203">
        <f>W22/SUM(T15:W15)</f>
        <v>4.0531968130726179</v>
      </c>
      <c r="X20" s="203">
        <f>X22/SUM(U15:X15)</f>
        <v>3.6732737048630453</v>
      </c>
    </row>
    <row r="21" spans="1:26" ht="15" customHeight="1">
      <c r="A21" s="118"/>
      <c r="B21" s="6" t="s">
        <v>333</v>
      </c>
      <c r="C21" s="6" t="s">
        <v>481</v>
      </c>
      <c r="D21" s="37">
        <v>0.66485628934856944</v>
      </c>
      <c r="E21" s="37">
        <v>0.72389581045161278</v>
      </c>
      <c r="F21" s="37">
        <v>0.71729136375479563</v>
      </c>
      <c r="G21" s="37">
        <v>0.81193269890384057</v>
      </c>
      <c r="H21" s="37">
        <v>0.75665136703495173</v>
      </c>
      <c r="I21" s="37">
        <v>0.68914302947309869</v>
      </c>
      <c r="J21" s="37">
        <v>0.67378580767468121</v>
      </c>
      <c r="K21" s="37">
        <v>0.53123153328193429</v>
      </c>
      <c r="L21" s="37">
        <v>0.533114615739815</v>
      </c>
      <c r="M21" s="37">
        <v>0.69734286550309921</v>
      </c>
      <c r="N21" s="37">
        <v>0.69355357418938601</v>
      </c>
      <c r="O21" s="37">
        <v>0.76049151256256897</v>
      </c>
      <c r="P21" s="37">
        <v>0.62785781811766306</v>
      </c>
      <c r="Q21" s="37">
        <v>0.49701977688123161</v>
      </c>
      <c r="R21" s="37">
        <v>0.75038729805469029</v>
      </c>
      <c r="S21" s="37">
        <v>0.91398842242408396</v>
      </c>
      <c r="T21" s="37">
        <v>0.87458822318768614</v>
      </c>
      <c r="U21" s="37">
        <v>0.97045181476548825</v>
      </c>
      <c r="V21" s="203">
        <f>V22/SUM(S7:V7)</f>
        <v>0.81630126634247435</v>
      </c>
      <c r="W21" s="203">
        <f>W22/SUM(T7:W7)</f>
        <v>0.84908839788078605</v>
      </c>
      <c r="X21" s="203">
        <f>X22/SUM(U7:X7)</f>
        <v>0.80840354969618378</v>
      </c>
    </row>
    <row r="22" spans="1:26" ht="15" customHeight="1">
      <c r="A22" s="118"/>
      <c r="B22" s="6" t="s">
        <v>334</v>
      </c>
      <c r="C22" s="6" t="s">
        <v>334</v>
      </c>
      <c r="D22" s="37">
        <v>1224116.2865476983</v>
      </c>
      <c r="E22" s="37">
        <v>1316980.3397507654</v>
      </c>
      <c r="F22" s="37">
        <v>1232672.5321574402</v>
      </c>
      <c r="G22" s="37">
        <v>1312418.5696332536</v>
      </c>
      <c r="H22" s="37">
        <v>1285412.9620435827</v>
      </c>
      <c r="I22" s="37">
        <v>1214900.5838035678</v>
      </c>
      <c r="J22" s="37">
        <v>1238379.2349292189</v>
      </c>
      <c r="K22" s="37">
        <v>998416.19921679876</v>
      </c>
      <c r="L22" s="37">
        <v>1045529.9902943003</v>
      </c>
      <c r="M22" s="37">
        <v>1421663.1371010514</v>
      </c>
      <c r="N22" s="37">
        <v>1457013.1873356169</v>
      </c>
      <c r="O22" s="37">
        <v>1715296.2115</v>
      </c>
      <c r="P22" s="37">
        <v>1387911.09984</v>
      </c>
      <c r="Q22" s="37">
        <v>1090633.8563399999</v>
      </c>
      <c r="R22" s="37">
        <v>1662585.8618999999</v>
      </c>
      <c r="S22" s="37">
        <v>1984583.2771000001</v>
      </c>
      <c r="T22" s="37">
        <v>1913334.4475</v>
      </c>
      <c r="U22" s="37">
        <v>2095829.56375</v>
      </c>
      <c r="V22" s="203">
        <v>1730839.33125</v>
      </c>
      <c r="W22" s="206">
        <v>1751298.425</v>
      </c>
      <c r="X22" s="206">
        <v>1623978</v>
      </c>
    </row>
    <row r="23" spans="1:26">
      <c r="A23" s="118"/>
      <c r="Q23" s="129"/>
      <c r="R23" s="129"/>
      <c r="T23" s="137"/>
      <c r="U23" s="137"/>
      <c r="V23" s="137"/>
      <c r="Y23" s="208"/>
      <c r="Z23" s="209"/>
    </row>
    <row r="24" spans="1:26">
      <c r="A24" s="118"/>
      <c r="Q24" s="130"/>
      <c r="R24" s="130"/>
      <c r="S24" s="138"/>
      <c r="T24" s="139"/>
      <c r="U24" s="139"/>
      <c r="V24" s="139"/>
    </row>
    <row r="25" spans="1:26">
      <c r="A25" s="118"/>
      <c r="B25" s="125"/>
      <c r="C25" s="125"/>
      <c r="D25" s="125"/>
      <c r="G25" s="171"/>
      <c r="Q25" s="131"/>
      <c r="R25" s="131"/>
      <c r="S25" s="140"/>
      <c r="T25" s="140"/>
      <c r="U25" s="140"/>
      <c r="V25" s="140"/>
    </row>
    <row r="26" spans="1:26">
      <c r="A26" s="118"/>
      <c r="J26" s="119"/>
      <c r="K26" s="119"/>
    </row>
    <row r="27" spans="1:26">
      <c r="A27" s="118"/>
      <c r="Q27" s="132"/>
      <c r="R27" s="132"/>
      <c r="S27" s="142"/>
      <c r="T27" s="141"/>
      <c r="U27" s="141"/>
      <c r="V27" s="141"/>
      <c r="W27" s="216"/>
    </row>
    <row r="28" spans="1:26">
      <c r="A28" s="118"/>
      <c r="Q28" s="133"/>
      <c r="R28" s="133"/>
      <c r="S28" s="143"/>
      <c r="T28" s="143"/>
      <c r="U28" s="143"/>
      <c r="V28" s="143"/>
      <c r="W28" s="208"/>
    </row>
    <row r="29" spans="1:26">
      <c r="A29" s="118"/>
      <c r="Q29" s="134"/>
      <c r="R29" s="134"/>
      <c r="S29" s="144"/>
      <c r="T29" s="144"/>
      <c r="U29" s="144"/>
      <c r="V29" s="144"/>
      <c r="W29" s="208"/>
    </row>
    <row r="30" spans="1:26">
      <c r="A30" s="118"/>
      <c r="J30" s="173"/>
      <c r="W30" s="208"/>
    </row>
    <row r="31" spans="1:26">
      <c r="W31" s="208"/>
    </row>
    <row r="34" spans="1:9">
      <c r="A34" s="118"/>
    </row>
    <row r="35" spans="1:9">
      <c r="A35" s="118"/>
    </row>
    <row r="36" spans="1:9">
      <c r="A36" s="118"/>
    </row>
    <row r="37" spans="1:9">
      <c r="A37" s="118"/>
    </row>
    <row r="38" spans="1:9">
      <c r="A38" s="118"/>
    </row>
    <row r="39" spans="1:9">
      <c r="A39" s="118"/>
    </row>
    <row r="42" spans="1:9">
      <c r="I42" s="172"/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headerFooter>
    <oddFooter>&amp;L_x000D_&amp;1#&amp;"Calibri"&amp;10&amp;K000000 Classificação da Informação: Documento Restrito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/>
  <dimension ref="A1:AC107"/>
  <sheetViews>
    <sheetView showGridLines="0" zoomScale="60" zoomScaleNormal="60" workbookViewId="0">
      <pane xSplit="3" ySplit="7" topLeftCell="D8" activePane="bottomRight" state="frozen"/>
      <selection activeCell="D47" sqref="D47"/>
      <selection pane="topRight" activeCell="D47" sqref="D47"/>
      <selection pane="bottomLeft" activeCell="D47" sqref="D47"/>
      <selection pane="bottomRight"/>
    </sheetView>
  </sheetViews>
  <sheetFormatPr defaultRowHeight="14.5" outlineLevelCol="1"/>
  <cols>
    <col min="1" max="1" width="1.54296875" style="1" customWidth="1"/>
    <col min="2" max="3" width="60.1796875" style="6" customWidth="1"/>
    <col min="4" max="7" width="9.81640625" style="6" hidden="1" customWidth="1" outlineLevel="1"/>
    <col min="8" max="8" width="9.81640625" style="6" customWidth="1" collapsed="1"/>
    <col min="9" max="12" width="9.81640625" style="6" hidden="1" customWidth="1" outlineLevel="1"/>
    <col min="13" max="13" width="9.81640625" style="6" customWidth="1" collapsed="1"/>
    <col min="14" max="17" width="9.81640625" style="6" hidden="1" customWidth="1" outlineLevel="1"/>
    <col min="18" max="18" width="9.81640625" style="6" customWidth="1" collapsed="1"/>
    <col min="19" max="19" width="9.81640625" style="6" hidden="1" customWidth="1" outlineLevel="1"/>
    <col min="20" max="22" width="9.1796875" style="6" hidden="1" customWidth="1" outlineLevel="1"/>
    <col min="23" max="23" width="10" style="6" bestFit="1" customWidth="1" collapsed="1"/>
    <col min="24" max="27" width="9.1796875" style="6" hidden="1" customWidth="1" outlineLevel="1"/>
    <col min="28" max="28" width="10" style="6" bestFit="1" customWidth="1" collapsed="1"/>
  </cols>
  <sheetData>
    <row r="1" spans="1:29" s="21" customFormat="1" ht="8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9">
      <c r="A2" s="21"/>
    </row>
    <row r="3" spans="1:29">
      <c r="A3" s="21"/>
    </row>
    <row r="4" spans="1:29">
      <c r="A4" s="21"/>
    </row>
    <row r="5" spans="1:29">
      <c r="A5" s="21"/>
    </row>
    <row r="6" spans="1:29">
      <c r="A6" s="21"/>
      <c r="B6" s="101"/>
      <c r="C6" s="101"/>
      <c r="D6" s="102" t="s">
        <v>687</v>
      </c>
      <c r="E6" s="102" t="s">
        <v>688</v>
      </c>
      <c r="F6" s="102" t="s">
        <v>689</v>
      </c>
      <c r="G6" s="102" t="s">
        <v>690</v>
      </c>
      <c r="H6" s="102">
        <v>2010</v>
      </c>
      <c r="I6" s="102" t="s">
        <v>691</v>
      </c>
      <c r="J6" s="102" t="s">
        <v>692</v>
      </c>
      <c r="K6" s="102" t="s">
        <v>693</v>
      </c>
      <c r="L6" s="102" t="s">
        <v>694</v>
      </c>
      <c r="M6" s="102">
        <v>2011</v>
      </c>
      <c r="N6" s="102" t="s">
        <v>695</v>
      </c>
      <c r="O6" s="102" t="s">
        <v>696</v>
      </c>
      <c r="P6" s="102" t="s">
        <v>697</v>
      </c>
      <c r="Q6" s="102" t="s">
        <v>698</v>
      </c>
      <c r="R6" s="102">
        <v>2012</v>
      </c>
      <c r="S6" s="102" t="s">
        <v>699</v>
      </c>
      <c r="T6" s="102" t="s">
        <v>700</v>
      </c>
      <c r="U6" s="102" t="s">
        <v>701</v>
      </c>
      <c r="V6" s="102" t="s">
        <v>702</v>
      </c>
      <c r="W6" s="102">
        <v>2013</v>
      </c>
      <c r="X6" s="102" t="s">
        <v>703</v>
      </c>
      <c r="Y6" s="102" t="s">
        <v>704</v>
      </c>
      <c r="Z6" s="102" t="s">
        <v>705</v>
      </c>
      <c r="AA6" s="102" t="s">
        <v>706</v>
      </c>
      <c r="AB6" s="102">
        <v>2014</v>
      </c>
    </row>
    <row r="7" spans="1:29" ht="16.5" customHeight="1">
      <c r="A7" s="21"/>
      <c r="B7" s="101"/>
      <c r="C7" s="101"/>
      <c r="D7" s="102" t="s">
        <v>22</v>
      </c>
      <c r="E7" s="102" t="s">
        <v>21</v>
      </c>
      <c r="F7" s="102" t="s">
        <v>20</v>
      </c>
      <c r="G7" s="102" t="s">
        <v>17</v>
      </c>
      <c r="H7" s="102">
        <v>2010</v>
      </c>
      <c r="I7" s="102" t="s">
        <v>19</v>
      </c>
      <c r="J7" s="102" t="s">
        <v>18</v>
      </c>
      <c r="K7" s="102" t="s">
        <v>16</v>
      </c>
      <c r="L7" s="102" t="s">
        <v>15</v>
      </c>
      <c r="M7" s="102">
        <v>2011</v>
      </c>
      <c r="N7" s="102" t="s">
        <v>14</v>
      </c>
      <c r="O7" s="102" t="s">
        <v>12</v>
      </c>
      <c r="P7" s="102" t="s">
        <v>10</v>
      </c>
      <c r="Q7" s="102" t="s">
        <v>9</v>
      </c>
      <c r="R7" s="102">
        <v>2012</v>
      </c>
      <c r="S7" s="102" t="s">
        <v>13</v>
      </c>
      <c r="T7" s="102" t="s">
        <v>11</v>
      </c>
      <c r="U7" s="102" t="s">
        <v>8</v>
      </c>
      <c r="V7" s="102" t="s">
        <v>25</v>
      </c>
      <c r="W7" s="102">
        <v>2013</v>
      </c>
      <c r="X7" s="102" t="s">
        <v>26</v>
      </c>
      <c r="Y7" s="102" t="s">
        <v>55</v>
      </c>
      <c r="Z7" s="102" t="s">
        <v>56</v>
      </c>
      <c r="AA7" s="102" t="s">
        <v>57</v>
      </c>
      <c r="AB7" s="102">
        <v>2014</v>
      </c>
    </row>
    <row r="8" spans="1:29">
      <c r="A8" s="21"/>
      <c r="B8" s="48"/>
      <c r="C8" s="48"/>
    </row>
    <row r="9" spans="1:29">
      <c r="A9" s="21"/>
      <c r="B9" s="49" t="s">
        <v>239</v>
      </c>
      <c r="C9" s="49" t="s">
        <v>482</v>
      </c>
      <c r="D9" s="50">
        <v>17042</v>
      </c>
      <c r="E9" s="50">
        <v>21075</v>
      </c>
      <c r="F9" s="50">
        <v>23397</v>
      </c>
      <c r="G9" s="50">
        <v>32406</v>
      </c>
      <c r="H9" s="50">
        <v>93920</v>
      </c>
      <c r="I9" s="50">
        <v>21243</v>
      </c>
      <c r="J9" s="50">
        <v>30511</v>
      </c>
      <c r="K9" s="50">
        <v>30822</v>
      </c>
      <c r="L9" s="50">
        <v>29244</v>
      </c>
      <c r="M9" s="50">
        <v>111820</v>
      </c>
      <c r="N9" s="50">
        <v>23289</v>
      </c>
      <c r="O9" s="50">
        <v>40288</v>
      </c>
      <c r="P9" s="50">
        <v>27437</v>
      </c>
      <c r="Q9" s="50">
        <v>11815</v>
      </c>
      <c r="R9" s="50">
        <v>102829</v>
      </c>
      <c r="S9" s="50">
        <v>26366</v>
      </c>
      <c r="T9" s="50">
        <v>20352</v>
      </c>
      <c r="U9" s="50">
        <v>20957</v>
      </c>
      <c r="V9" s="50">
        <v>24052</v>
      </c>
      <c r="W9" s="50">
        <v>91727</v>
      </c>
      <c r="X9" s="50">
        <v>23428</v>
      </c>
      <c r="Y9" s="50">
        <v>23478</v>
      </c>
      <c r="Z9" s="50">
        <v>36192</v>
      </c>
      <c r="AA9" s="50">
        <v>27044</v>
      </c>
      <c r="AB9" s="50">
        <v>110142</v>
      </c>
    </row>
    <row r="10" spans="1:29" ht="29">
      <c r="A10" s="21"/>
      <c r="B10" s="17" t="s">
        <v>145</v>
      </c>
      <c r="C10" s="17" t="s">
        <v>483</v>
      </c>
      <c r="G10" s="18"/>
      <c r="O10" s="18"/>
    </row>
    <row r="11" spans="1:29">
      <c r="A11" s="21"/>
      <c r="B11" s="17" t="s">
        <v>146</v>
      </c>
      <c r="C11" s="17" t="s">
        <v>484</v>
      </c>
      <c r="D11" s="3">
        <v>6951</v>
      </c>
      <c r="E11" s="3">
        <v>8667</v>
      </c>
      <c r="F11" s="3">
        <v>8261</v>
      </c>
      <c r="G11" s="3">
        <v>3560</v>
      </c>
      <c r="H11" s="3">
        <v>27439</v>
      </c>
      <c r="I11" s="3">
        <v>5800</v>
      </c>
      <c r="J11" s="3">
        <v>5898</v>
      </c>
      <c r="K11" s="3">
        <v>6128</v>
      </c>
      <c r="L11" s="3">
        <v>6017</v>
      </c>
      <c r="M11" s="3">
        <v>23843</v>
      </c>
      <c r="N11" s="3">
        <v>6206</v>
      </c>
      <c r="O11" s="3">
        <v>7739</v>
      </c>
      <c r="P11" s="3">
        <v>7970</v>
      </c>
      <c r="Q11" s="3">
        <v>7597</v>
      </c>
      <c r="R11" s="3">
        <v>29512</v>
      </c>
      <c r="S11" s="3">
        <v>8215</v>
      </c>
      <c r="T11" s="3">
        <v>13922</v>
      </c>
      <c r="U11" s="3">
        <v>13357</v>
      </c>
      <c r="V11" s="3">
        <v>11422</v>
      </c>
      <c r="W11" s="3">
        <v>46916</v>
      </c>
      <c r="X11" s="3">
        <v>12702</v>
      </c>
      <c r="Y11" s="3">
        <v>14593</v>
      </c>
      <c r="Z11" s="3">
        <v>14431</v>
      </c>
      <c r="AA11" s="3">
        <v>17119</v>
      </c>
      <c r="AB11" s="3">
        <v>58845</v>
      </c>
    </row>
    <row r="12" spans="1:29">
      <c r="A12" s="21"/>
      <c r="B12" s="17" t="s">
        <v>147</v>
      </c>
      <c r="C12" s="17" t="s">
        <v>485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8212</v>
      </c>
      <c r="W12" s="3">
        <v>8212</v>
      </c>
      <c r="X12" s="3">
        <v>2449</v>
      </c>
      <c r="Y12" s="3">
        <v>167</v>
      </c>
      <c r="Z12" s="3">
        <v>325</v>
      </c>
      <c r="AA12" s="3">
        <v>7712</v>
      </c>
      <c r="AB12" s="3">
        <v>10653</v>
      </c>
    </row>
    <row r="13" spans="1:29">
      <c r="A13" s="21"/>
      <c r="B13" s="17" t="s">
        <v>148</v>
      </c>
      <c r="C13" s="17" t="s">
        <v>486</v>
      </c>
      <c r="D13" s="3">
        <v>773</v>
      </c>
      <c r="E13" s="3">
        <v>776</v>
      </c>
      <c r="F13" s="3">
        <v>792</v>
      </c>
      <c r="G13" s="3">
        <v>798</v>
      </c>
      <c r="H13" s="3">
        <v>3139</v>
      </c>
      <c r="I13" s="3">
        <v>808</v>
      </c>
      <c r="J13" s="3">
        <v>806</v>
      </c>
      <c r="K13" s="3">
        <v>852</v>
      </c>
      <c r="L13" s="3">
        <v>894</v>
      </c>
      <c r="M13" s="3">
        <v>3360</v>
      </c>
      <c r="N13" s="3">
        <v>657</v>
      </c>
      <c r="O13" s="3">
        <v>745</v>
      </c>
      <c r="P13" s="3">
        <v>806</v>
      </c>
      <c r="Q13" s="3">
        <v>843</v>
      </c>
      <c r="R13" s="3">
        <v>3051</v>
      </c>
      <c r="S13" s="3">
        <v>886</v>
      </c>
      <c r="T13" s="3">
        <v>737</v>
      </c>
      <c r="U13" s="3">
        <v>696</v>
      </c>
      <c r="V13" s="3">
        <v>1781</v>
      </c>
      <c r="W13" s="3">
        <v>4100</v>
      </c>
      <c r="X13" s="3">
        <v>959</v>
      </c>
      <c r="Y13" s="3">
        <v>996</v>
      </c>
      <c r="Z13" s="3">
        <v>1035</v>
      </c>
      <c r="AA13" s="3">
        <v>2132</v>
      </c>
      <c r="AB13" s="3">
        <v>5122</v>
      </c>
    </row>
    <row r="14" spans="1:29">
      <c r="A14" s="21"/>
      <c r="B14" s="51" t="s">
        <v>211</v>
      </c>
      <c r="C14" s="51" t="s">
        <v>487</v>
      </c>
      <c r="D14" s="3">
        <v>-378</v>
      </c>
      <c r="E14" s="3">
        <v>-389</v>
      </c>
      <c r="F14" s="3">
        <v>-106</v>
      </c>
      <c r="G14" s="3">
        <v>-675</v>
      </c>
      <c r="H14" s="3">
        <v>-1548</v>
      </c>
      <c r="I14" s="3">
        <v>-2157</v>
      </c>
      <c r="J14" s="3">
        <v>-556</v>
      </c>
      <c r="K14" s="3">
        <v>51</v>
      </c>
      <c r="L14" s="3">
        <v>-1320</v>
      </c>
      <c r="M14" s="3">
        <v>-3982</v>
      </c>
      <c r="N14" s="3">
        <v>-1392</v>
      </c>
      <c r="O14" s="3">
        <v>686</v>
      </c>
      <c r="P14" s="3">
        <v>-1272</v>
      </c>
      <c r="Q14" s="3">
        <v>-7687</v>
      </c>
      <c r="R14" s="3">
        <v>-9665</v>
      </c>
      <c r="S14" s="3">
        <v>-537</v>
      </c>
      <c r="T14" s="3">
        <v>2209</v>
      </c>
      <c r="U14" s="3">
        <v>408</v>
      </c>
      <c r="V14" s="3">
        <v>-2026</v>
      </c>
      <c r="W14" s="3">
        <v>54</v>
      </c>
      <c r="X14" s="3">
        <v>143</v>
      </c>
      <c r="Y14" s="3">
        <v>-552</v>
      </c>
      <c r="Z14" s="3">
        <v>429</v>
      </c>
      <c r="AA14" s="3">
        <v>6570</v>
      </c>
      <c r="AB14" s="3">
        <v>6590</v>
      </c>
      <c r="AC14" s="45"/>
    </row>
    <row r="15" spans="1:29">
      <c r="A15" s="21"/>
      <c r="B15" s="17" t="s">
        <v>150</v>
      </c>
      <c r="C15" s="17" t="s">
        <v>488</v>
      </c>
      <c r="D15" s="3">
        <v>-3</v>
      </c>
      <c r="E15" s="3">
        <v>744</v>
      </c>
      <c r="F15" s="3">
        <v>-977</v>
      </c>
      <c r="G15" s="3">
        <v>605</v>
      </c>
      <c r="H15" s="3">
        <v>369</v>
      </c>
      <c r="I15" s="3">
        <v>3</v>
      </c>
      <c r="J15" s="3">
        <v>3</v>
      </c>
      <c r="K15" s="3">
        <v>0</v>
      </c>
      <c r="L15" s="3">
        <v>-60</v>
      </c>
      <c r="M15" s="3">
        <v>-54</v>
      </c>
      <c r="N15" s="3">
        <v>185</v>
      </c>
      <c r="O15" s="3">
        <v>-377</v>
      </c>
      <c r="P15" s="3">
        <v>325</v>
      </c>
      <c r="Q15" s="3">
        <v>-62</v>
      </c>
      <c r="R15" s="3">
        <v>71</v>
      </c>
      <c r="S15" s="3">
        <v>-48</v>
      </c>
      <c r="T15" s="3">
        <v>-61</v>
      </c>
      <c r="U15" s="3">
        <v>-65</v>
      </c>
      <c r="V15" s="3">
        <v>418</v>
      </c>
      <c r="W15" s="3">
        <v>244</v>
      </c>
      <c r="X15" s="3">
        <v>198</v>
      </c>
      <c r="Y15" s="3">
        <v>-1</v>
      </c>
      <c r="Z15" s="3">
        <v>382</v>
      </c>
      <c r="AA15" s="3">
        <v>1927</v>
      </c>
      <c r="AB15" s="3">
        <v>2506</v>
      </c>
    </row>
    <row r="16" spans="1:29">
      <c r="B16" s="17" t="s">
        <v>212</v>
      </c>
      <c r="C16" s="17" t="s">
        <v>489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4174</v>
      </c>
      <c r="Q16" s="3">
        <v>0</v>
      </c>
      <c r="R16" s="3">
        <v>4174</v>
      </c>
      <c r="S16" s="3"/>
      <c r="T16" s="3">
        <v>0</v>
      </c>
      <c r="U16" s="3">
        <v>0</v>
      </c>
      <c r="V16" s="3">
        <v>2167</v>
      </c>
      <c r="W16" s="3">
        <v>2167</v>
      </c>
      <c r="X16" s="3"/>
      <c r="Y16" s="3">
        <v>0</v>
      </c>
      <c r="Z16" s="3">
        <v>0</v>
      </c>
      <c r="AA16" s="3">
        <v>6849</v>
      </c>
      <c r="AB16" s="3">
        <v>6849</v>
      </c>
    </row>
    <row r="17" spans="1:28">
      <c r="A17" s="21"/>
      <c r="B17" s="17" t="s">
        <v>2</v>
      </c>
      <c r="C17" s="17" t="s">
        <v>435</v>
      </c>
      <c r="D17" s="3">
        <v>2436</v>
      </c>
      <c r="E17" s="3">
        <v>2315</v>
      </c>
      <c r="F17" s="3">
        <v>1529</v>
      </c>
      <c r="G17" s="3">
        <v>5660</v>
      </c>
      <c r="H17" s="3">
        <v>11940</v>
      </c>
      <c r="I17" s="3">
        <v>1919</v>
      </c>
      <c r="J17" s="3">
        <v>-895</v>
      </c>
      <c r="K17" s="3">
        <v>1499</v>
      </c>
      <c r="L17" s="3">
        <v>1925</v>
      </c>
      <c r="M17" s="3">
        <v>4448</v>
      </c>
      <c r="N17" s="3">
        <v>4984</v>
      </c>
      <c r="O17" s="3">
        <v>-2476</v>
      </c>
      <c r="P17" s="3">
        <v>2682</v>
      </c>
      <c r="Q17" s="3">
        <v>3166</v>
      </c>
      <c r="R17" s="3">
        <v>8356</v>
      </c>
      <c r="S17" s="3">
        <v>-1880</v>
      </c>
      <c r="T17" s="3">
        <v>298</v>
      </c>
      <c r="U17" s="3">
        <v>-9788</v>
      </c>
      <c r="V17" s="3">
        <v>-3482</v>
      </c>
      <c r="W17" s="3">
        <v>-14852</v>
      </c>
      <c r="X17" s="3">
        <v>407</v>
      </c>
      <c r="Y17" s="3">
        <v>-3862</v>
      </c>
      <c r="Z17" s="3">
        <v>5641</v>
      </c>
      <c r="AA17" s="3">
        <v>-2472</v>
      </c>
      <c r="AB17" s="3">
        <v>-286</v>
      </c>
    </row>
    <row r="18" spans="1:28">
      <c r="A18" s="21"/>
      <c r="B18" s="17" t="s">
        <v>213</v>
      </c>
      <c r="C18" s="17" t="s">
        <v>490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-965</v>
      </c>
      <c r="R18" s="3">
        <v>-965</v>
      </c>
      <c r="S18" s="3"/>
      <c r="T18" s="3">
        <v>0</v>
      </c>
      <c r="U18" s="3">
        <v>0</v>
      </c>
      <c r="V18" s="3">
        <v>0</v>
      </c>
      <c r="W18" s="3">
        <v>0</v>
      </c>
      <c r="X18" s="3"/>
      <c r="Y18" s="3">
        <v>0</v>
      </c>
      <c r="Z18" s="3">
        <v>0</v>
      </c>
      <c r="AA18" s="3">
        <v>0</v>
      </c>
      <c r="AB18" s="3">
        <v>0</v>
      </c>
    </row>
    <row r="19" spans="1:28">
      <c r="A19" s="21"/>
      <c r="B19" s="17" t="s">
        <v>154</v>
      </c>
      <c r="C19" s="17" t="s">
        <v>491</v>
      </c>
      <c r="D19" s="3">
        <v>0</v>
      </c>
      <c r="E19" s="3">
        <v>0</v>
      </c>
      <c r="F19" s="3">
        <v>-499</v>
      </c>
      <c r="G19" s="3">
        <v>-406</v>
      </c>
      <c r="H19" s="3">
        <v>-905</v>
      </c>
      <c r="I19" s="3">
        <v>-719</v>
      </c>
      <c r="J19" s="3">
        <v>-843</v>
      </c>
      <c r="K19" s="3">
        <v>-812</v>
      </c>
      <c r="L19" s="3">
        <v>-1473</v>
      </c>
      <c r="M19" s="3">
        <v>-3847</v>
      </c>
      <c r="N19" s="3">
        <v>-1795</v>
      </c>
      <c r="O19" s="3">
        <v>-1027</v>
      </c>
      <c r="P19" s="3">
        <v>-1468</v>
      </c>
      <c r="Q19" s="3">
        <v>1150</v>
      </c>
      <c r="R19" s="3">
        <v>-3140</v>
      </c>
      <c r="S19" s="3">
        <v>-854</v>
      </c>
      <c r="T19" s="3">
        <v>-182</v>
      </c>
      <c r="U19" s="3">
        <v>-2279</v>
      </c>
      <c r="V19" s="3">
        <v>972</v>
      </c>
      <c r="W19" s="3">
        <v>-2343</v>
      </c>
      <c r="X19" s="3">
        <v>-1333</v>
      </c>
      <c r="Y19" s="3">
        <v>711</v>
      </c>
      <c r="Z19" s="3">
        <v>6117</v>
      </c>
      <c r="AA19" s="3">
        <v>6398</v>
      </c>
      <c r="AB19" s="3">
        <v>11893</v>
      </c>
    </row>
    <row r="20" spans="1:28">
      <c r="A20" s="21"/>
      <c r="B20" s="17" t="s">
        <v>215</v>
      </c>
      <c r="C20" s="17" t="s">
        <v>492</v>
      </c>
      <c r="D20" s="3">
        <v>4455</v>
      </c>
      <c r="E20" s="3">
        <v>4684</v>
      </c>
      <c r="F20" s="3">
        <v>5522</v>
      </c>
      <c r="G20" s="3">
        <v>5327</v>
      </c>
      <c r="H20" s="3">
        <v>19988</v>
      </c>
      <c r="I20" s="3">
        <v>5558</v>
      </c>
      <c r="J20" s="3">
        <v>4162</v>
      </c>
      <c r="K20" s="3">
        <v>5735</v>
      </c>
      <c r="L20" s="3">
        <v>5977</v>
      </c>
      <c r="M20" s="3">
        <v>21432</v>
      </c>
      <c r="N20" s="3">
        <v>5905</v>
      </c>
      <c r="O20" s="3">
        <v>4310</v>
      </c>
      <c r="P20" s="3">
        <v>3882</v>
      </c>
      <c r="Q20" s="3">
        <v>3416</v>
      </c>
      <c r="R20" s="3">
        <v>17513</v>
      </c>
      <c r="S20" s="3">
        <v>5968</v>
      </c>
      <c r="T20" s="3">
        <v>7706</v>
      </c>
      <c r="U20" s="3">
        <v>9399</v>
      </c>
      <c r="V20" s="3">
        <v>9021</v>
      </c>
      <c r="W20" s="3">
        <v>32094</v>
      </c>
      <c r="X20" s="3">
        <v>7669</v>
      </c>
      <c r="Y20" s="3">
        <v>8506</v>
      </c>
      <c r="Z20" s="3">
        <v>9453</v>
      </c>
      <c r="AA20" s="3">
        <v>9730</v>
      </c>
      <c r="AB20" s="3">
        <v>35358</v>
      </c>
    </row>
    <row r="21" spans="1:28">
      <c r="A21" s="21"/>
      <c r="B21" s="17" t="s">
        <v>160</v>
      </c>
      <c r="C21" s="17" t="s">
        <v>493</v>
      </c>
      <c r="D21" s="3">
        <v>71</v>
      </c>
      <c r="E21" s="3">
        <v>22</v>
      </c>
      <c r="F21" s="3">
        <v>0</v>
      </c>
      <c r="G21" s="3">
        <v>0</v>
      </c>
      <c r="H21" s="3">
        <v>93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>
      <c r="A22" s="21"/>
      <c r="B22" s="17" t="s">
        <v>50</v>
      </c>
      <c r="C22" s="17" t="s">
        <v>450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596</v>
      </c>
      <c r="R22" s="3">
        <v>596</v>
      </c>
      <c r="S22" s="3">
        <v>3317</v>
      </c>
      <c r="T22" s="3">
        <v>-8819</v>
      </c>
      <c r="U22" s="3">
        <v>4906</v>
      </c>
      <c r="V22" s="3">
        <v>-5320</v>
      </c>
      <c r="W22" s="3">
        <v>-5916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>
      <c r="A23" s="21"/>
      <c r="B23" s="17" t="s">
        <v>216</v>
      </c>
      <c r="C23" s="17" t="s">
        <v>494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-234</v>
      </c>
      <c r="T23" s="3">
        <v>-515</v>
      </c>
      <c r="U23" s="3">
        <v>783</v>
      </c>
      <c r="V23" s="3">
        <v>71</v>
      </c>
      <c r="W23" s="3">
        <v>105</v>
      </c>
      <c r="X23" s="3">
        <v>1321</v>
      </c>
      <c r="Y23" s="3">
        <v>1024</v>
      </c>
      <c r="Z23" s="3">
        <v>1103</v>
      </c>
      <c r="AA23" s="3">
        <v>811</v>
      </c>
      <c r="AB23" s="3">
        <v>4259</v>
      </c>
    </row>
    <row r="24" spans="1:28">
      <c r="A24" s="21"/>
      <c r="B24" s="17" t="s">
        <v>159</v>
      </c>
      <c r="C24" s="17" t="s">
        <v>495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5" thickBot="1">
      <c r="A25" s="21"/>
      <c r="B25" s="17" t="s">
        <v>217</v>
      </c>
      <c r="C25" s="17" t="s">
        <v>496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-1662</v>
      </c>
      <c r="T25" s="3">
        <v>-1859</v>
      </c>
      <c r="U25" s="3">
        <v>3521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5" thickBot="1">
      <c r="A26" s="21"/>
      <c r="B26" s="103" t="s">
        <v>164</v>
      </c>
      <c r="C26" s="103" t="s">
        <v>497</v>
      </c>
      <c r="D26" s="104">
        <f t="shared" ref="D26:AB26" si="0">SUM(D9:D25)</f>
        <v>31347</v>
      </c>
      <c r="E26" s="104">
        <f t="shared" si="0"/>
        <v>37894</v>
      </c>
      <c r="F26" s="104">
        <f t="shared" si="0"/>
        <v>37919</v>
      </c>
      <c r="G26" s="104">
        <f t="shared" si="0"/>
        <v>47275</v>
      </c>
      <c r="H26" s="105">
        <f t="shared" si="0"/>
        <v>154435</v>
      </c>
      <c r="I26" s="105">
        <f t="shared" si="0"/>
        <v>32455</v>
      </c>
      <c r="J26" s="105">
        <f t="shared" si="0"/>
        <v>39086</v>
      </c>
      <c r="K26" s="105">
        <f t="shared" si="0"/>
        <v>44275</v>
      </c>
      <c r="L26" s="105">
        <f t="shared" si="0"/>
        <v>41204</v>
      </c>
      <c r="M26" s="105">
        <f t="shared" si="0"/>
        <v>157020</v>
      </c>
      <c r="N26" s="105">
        <f t="shared" si="0"/>
        <v>38039</v>
      </c>
      <c r="O26" s="105">
        <f t="shared" si="0"/>
        <v>49888</v>
      </c>
      <c r="P26" s="105">
        <f t="shared" si="0"/>
        <v>44536</v>
      </c>
      <c r="Q26" s="105">
        <f t="shared" si="0"/>
        <v>19869</v>
      </c>
      <c r="R26" s="105">
        <f t="shared" si="0"/>
        <v>152332</v>
      </c>
      <c r="S26" s="105">
        <f t="shared" si="0"/>
        <v>39537</v>
      </c>
      <c r="T26" s="105">
        <f t="shared" si="0"/>
        <v>33788</v>
      </c>
      <c r="U26" s="105">
        <f t="shared" si="0"/>
        <v>41895</v>
      </c>
      <c r="V26" s="105">
        <f t="shared" si="0"/>
        <v>47288</v>
      </c>
      <c r="W26" s="105">
        <f t="shared" si="0"/>
        <v>162508</v>
      </c>
      <c r="X26" s="105">
        <f t="shared" si="0"/>
        <v>47943</v>
      </c>
      <c r="Y26" s="105">
        <f t="shared" si="0"/>
        <v>45060</v>
      </c>
      <c r="Z26" s="105">
        <f t="shared" si="0"/>
        <v>75108</v>
      </c>
      <c r="AA26" s="105">
        <f t="shared" si="0"/>
        <v>83820</v>
      </c>
      <c r="AB26" s="105">
        <f t="shared" si="0"/>
        <v>251931</v>
      </c>
    </row>
    <row r="27" spans="1:28">
      <c r="A27" s="21"/>
      <c r="B27" s="17"/>
      <c r="C27" s="17"/>
    </row>
    <row r="28" spans="1:28">
      <c r="A28" s="21"/>
      <c r="B28" s="17" t="s">
        <v>45</v>
      </c>
      <c r="C28" s="17" t="s">
        <v>498</v>
      </c>
      <c r="D28" s="3">
        <v>-16446</v>
      </c>
      <c r="E28" s="3">
        <v>-29967</v>
      </c>
      <c r="F28" s="3">
        <v>16417</v>
      </c>
      <c r="G28" s="3">
        <v>-635</v>
      </c>
      <c r="H28" s="3">
        <v>-30631</v>
      </c>
      <c r="I28" s="3">
        <v>-21227</v>
      </c>
      <c r="J28" s="3">
        <v>8753</v>
      </c>
      <c r="K28" s="3">
        <v>-12029</v>
      </c>
      <c r="L28" s="3">
        <v>-3187</v>
      </c>
      <c r="M28" s="3">
        <v>-27690</v>
      </c>
      <c r="N28" s="3">
        <v>-7559</v>
      </c>
      <c r="O28" s="3">
        <v>-16590</v>
      </c>
      <c r="P28" s="3">
        <v>427</v>
      </c>
      <c r="Q28" s="3">
        <v>25877</v>
      </c>
      <c r="R28" s="3">
        <v>2155</v>
      </c>
      <c r="S28" s="3">
        <v>-34524</v>
      </c>
      <c r="T28" s="3">
        <v>-14728</v>
      </c>
      <c r="U28" s="3">
        <v>-7123</v>
      </c>
      <c r="V28" s="3">
        <v>4350</v>
      </c>
      <c r="W28" s="3">
        <v>-52025</v>
      </c>
      <c r="X28" s="3">
        <v>4351</v>
      </c>
      <c r="Y28" s="3">
        <v>-14820</v>
      </c>
      <c r="Z28" s="3">
        <v>-19938</v>
      </c>
      <c r="AA28" s="3">
        <v>-1837</v>
      </c>
      <c r="AB28" s="3">
        <v>-32244</v>
      </c>
    </row>
    <row r="29" spans="1:28">
      <c r="A29" s="21"/>
      <c r="B29" s="17" t="s">
        <v>28</v>
      </c>
      <c r="C29" s="17" t="s">
        <v>423</v>
      </c>
      <c r="D29" s="3">
        <v>-3569</v>
      </c>
      <c r="E29" s="3">
        <v>1335</v>
      </c>
      <c r="F29" s="3">
        <v>3984</v>
      </c>
      <c r="G29" s="3">
        <v>3752</v>
      </c>
      <c r="H29" s="3">
        <v>5502</v>
      </c>
      <c r="I29" s="3">
        <v>-10710</v>
      </c>
      <c r="J29" s="3">
        <v>-10506</v>
      </c>
      <c r="K29" s="3">
        <v>17177</v>
      </c>
      <c r="L29" s="3">
        <v>-3253</v>
      </c>
      <c r="M29" s="3">
        <v>-7292</v>
      </c>
      <c r="N29" s="3">
        <v>-6180</v>
      </c>
      <c r="O29" s="3">
        <v>-5111</v>
      </c>
      <c r="P29" s="3">
        <v>23133</v>
      </c>
      <c r="Q29" s="3">
        <v>3074</v>
      </c>
      <c r="R29" s="3">
        <v>14916</v>
      </c>
      <c r="S29" s="3">
        <v>-2281</v>
      </c>
      <c r="T29" s="3">
        <v>-1570</v>
      </c>
      <c r="U29" s="3">
        <v>-5986</v>
      </c>
      <c r="V29" s="3">
        <v>-1786</v>
      </c>
      <c r="W29" s="3">
        <v>-11623</v>
      </c>
      <c r="X29" s="3">
        <v>-4892</v>
      </c>
      <c r="Y29" s="3">
        <v>-1503</v>
      </c>
      <c r="Z29" s="3">
        <v>-2362</v>
      </c>
      <c r="AA29" s="3">
        <v>5128</v>
      </c>
      <c r="AB29" s="3">
        <v>-3629</v>
      </c>
    </row>
    <row r="30" spans="1:28">
      <c r="A30" s="21"/>
      <c r="B30" s="17" t="s">
        <v>1</v>
      </c>
      <c r="C30" s="17" t="s">
        <v>424</v>
      </c>
      <c r="D30" s="3">
        <v>-91</v>
      </c>
      <c r="E30" s="3">
        <v>703</v>
      </c>
      <c r="F30" s="3">
        <v>1845</v>
      </c>
      <c r="G30" s="3">
        <v>-6384</v>
      </c>
      <c r="H30" s="3">
        <v>-3927</v>
      </c>
      <c r="I30" s="3">
        <v>-5382</v>
      </c>
      <c r="J30" s="3">
        <v>-4736</v>
      </c>
      <c r="K30" s="3">
        <v>2918</v>
      </c>
      <c r="L30" s="3">
        <v>-8084</v>
      </c>
      <c r="M30" s="3">
        <v>-15284</v>
      </c>
      <c r="N30" s="3">
        <v>3459</v>
      </c>
      <c r="O30" s="3">
        <v>-1011</v>
      </c>
      <c r="P30" s="3">
        <v>6485</v>
      </c>
      <c r="Q30" s="3">
        <v>-2973</v>
      </c>
      <c r="R30" s="3">
        <v>5960</v>
      </c>
      <c r="S30" s="3">
        <v>662</v>
      </c>
      <c r="T30" s="3">
        <v>-21788</v>
      </c>
      <c r="U30" s="3">
        <v>613</v>
      </c>
      <c r="V30" s="3">
        <v>8212</v>
      </c>
      <c r="W30" s="3">
        <v>-12301</v>
      </c>
      <c r="X30" s="3">
        <v>-1770</v>
      </c>
      <c r="Y30" s="3">
        <v>-4037</v>
      </c>
      <c r="Z30" s="3">
        <v>-1071</v>
      </c>
      <c r="AA30" s="3">
        <v>236</v>
      </c>
      <c r="AB30" s="3">
        <v>-6642</v>
      </c>
    </row>
    <row r="31" spans="1:28">
      <c r="A31" s="21"/>
      <c r="B31" s="17" t="s">
        <v>3</v>
      </c>
      <c r="C31" s="17" t="s">
        <v>434</v>
      </c>
      <c r="D31" s="3">
        <v>-268</v>
      </c>
      <c r="E31" s="3">
        <v>-250</v>
      </c>
      <c r="F31" s="3">
        <v>-403</v>
      </c>
      <c r="G31" s="3">
        <v>-633</v>
      </c>
      <c r="H31" s="3">
        <v>-1554</v>
      </c>
      <c r="I31" s="3">
        <v>-227</v>
      </c>
      <c r="J31" s="3">
        <v>-578</v>
      </c>
      <c r="K31" s="3">
        <v>-750</v>
      </c>
      <c r="L31" s="3">
        <v>-2897</v>
      </c>
      <c r="M31" s="3">
        <v>-4452</v>
      </c>
      <c r="N31" s="3">
        <v>-784</v>
      </c>
      <c r="O31" s="3">
        <v>-7954</v>
      </c>
      <c r="P31" s="3">
        <v>-487</v>
      </c>
      <c r="Q31" s="3">
        <v>1658</v>
      </c>
      <c r="R31" s="3">
        <v>-7567</v>
      </c>
      <c r="S31" s="3">
        <v>-7387</v>
      </c>
      <c r="T31" s="3">
        <v>-410</v>
      </c>
      <c r="U31" s="3">
        <v>-224</v>
      </c>
      <c r="V31" s="3">
        <v>-669</v>
      </c>
      <c r="W31" s="3">
        <v>-8690</v>
      </c>
      <c r="X31" s="3">
        <v>-277</v>
      </c>
      <c r="Y31" s="3">
        <v>-980</v>
      </c>
      <c r="Z31" s="3">
        <v>-1034</v>
      </c>
      <c r="AA31" s="3">
        <v>1499</v>
      </c>
      <c r="AB31" s="3">
        <v>-792</v>
      </c>
    </row>
    <row r="32" spans="1:28">
      <c r="A32" s="21"/>
      <c r="B32" s="17" t="s">
        <v>27</v>
      </c>
      <c r="C32" s="17" t="s">
        <v>426</v>
      </c>
      <c r="D32" s="3">
        <v>-1653</v>
      </c>
      <c r="E32" s="3">
        <v>-6783</v>
      </c>
      <c r="F32" s="3">
        <v>322</v>
      </c>
      <c r="G32" s="3">
        <v>6626</v>
      </c>
      <c r="H32" s="3">
        <v>-1488</v>
      </c>
      <c r="I32" s="3">
        <v>-3103</v>
      </c>
      <c r="J32" s="3">
        <v>-3693</v>
      </c>
      <c r="K32" s="3">
        <v>120</v>
      </c>
      <c r="L32" s="3">
        <v>-440</v>
      </c>
      <c r="M32" s="3">
        <v>-7116</v>
      </c>
      <c r="N32" s="3">
        <v>1410</v>
      </c>
      <c r="O32" s="3">
        <v>-3288</v>
      </c>
      <c r="P32" s="3">
        <v>-13504</v>
      </c>
      <c r="Q32" s="3">
        <v>-3111</v>
      </c>
      <c r="R32" s="3">
        <v>-18493</v>
      </c>
      <c r="S32" s="3">
        <v>163</v>
      </c>
      <c r="T32" s="3">
        <v>-2574</v>
      </c>
      <c r="U32" s="3">
        <v>1829</v>
      </c>
      <c r="V32" s="3">
        <v>620</v>
      </c>
      <c r="W32" s="3">
        <v>38</v>
      </c>
      <c r="X32" s="3">
        <v>-2867</v>
      </c>
      <c r="Y32" s="3">
        <v>-358</v>
      </c>
      <c r="Z32" s="3">
        <v>2884</v>
      </c>
      <c r="AA32" s="3">
        <v>11615</v>
      </c>
      <c r="AB32" s="3">
        <v>11274</v>
      </c>
    </row>
    <row r="33" spans="1:28">
      <c r="A33" s="21"/>
      <c r="B33" s="17" t="s">
        <v>31</v>
      </c>
      <c r="C33" s="17" t="s">
        <v>443</v>
      </c>
      <c r="D33" s="3">
        <v>5603</v>
      </c>
      <c r="E33" s="3">
        <v>6053</v>
      </c>
      <c r="F33" s="3">
        <v>-899</v>
      </c>
      <c r="G33" s="3">
        <v>-262</v>
      </c>
      <c r="H33" s="3">
        <v>10495</v>
      </c>
      <c r="I33" s="3">
        <v>4109</v>
      </c>
      <c r="J33" s="3">
        <v>-3176</v>
      </c>
      <c r="K33" s="3">
        <v>10059</v>
      </c>
      <c r="L33" s="3">
        <v>15116</v>
      </c>
      <c r="M33" s="3">
        <v>26108</v>
      </c>
      <c r="N33" s="3">
        <v>-5446</v>
      </c>
      <c r="O33" s="3">
        <v>3188</v>
      </c>
      <c r="P33" s="3">
        <v>-6624</v>
      </c>
      <c r="Q33" s="3">
        <v>8223</v>
      </c>
      <c r="R33" s="3">
        <v>-659</v>
      </c>
      <c r="S33" s="3">
        <v>-3800</v>
      </c>
      <c r="T33" s="3">
        <v>900</v>
      </c>
      <c r="U33" s="3">
        <v>4219</v>
      </c>
      <c r="V33" s="3">
        <v>4014</v>
      </c>
      <c r="W33" s="3">
        <v>5333</v>
      </c>
      <c r="X33" s="3">
        <v>7479</v>
      </c>
      <c r="Y33" s="3">
        <v>-6524</v>
      </c>
      <c r="Z33" s="3">
        <v>11220</v>
      </c>
      <c r="AA33" s="3">
        <v>-18876</v>
      </c>
      <c r="AB33" s="3">
        <v>-6701</v>
      </c>
    </row>
    <row r="34" spans="1:28">
      <c r="A34" s="21"/>
      <c r="B34" s="17" t="s">
        <v>32</v>
      </c>
      <c r="C34" s="17" t="s">
        <v>445</v>
      </c>
      <c r="D34" s="3">
        <v>720</v>
      </c>
      <c r="E34" s="3">
        <v>4164</v>
      </c>
      <c r="F34" s="3">
        <v>6640</v>
      </c>
      <c r="G34" s="3">
        <v>-1817</v>
      </c>
      <c r="H34" s="3">
        <v>9707</v>
      </c>
      <c r="I34" s="3">
        <v>-5074</v>
      </c>
      <c r="J34" s="3">
        <v>6279</v>
      </c>
      <c r="K34" s="3">
        <v>8088</v>
      </c>
      <c r="L34" s="3">
        <v>-2420</v>
      </c>
      <c r="M34" s="3">
        <v>6873</v>
      </c>
      <c r="N34" s="3">
        <v>-5056</v>
      </c>
      <c r="O34" s="3">
        <v>9585</v>
      </c>
      <c r="P34" s="3">
        <v>8187</v>
      </c>
      <c r="Q34" s="3">
        <v>-2110</v>
      </c>
      <c r="R34" s="3">
        <v>10606</v>
      </c>
      <c r="S34" s="3">
        <v>263</v>
      </c>
      <c r="T34" s="3">
        <v>4552</v>
      </c>
      <c r="U34" s="3">
        <v>3024</v>
      </c>
      <c r="V34" s="3">
        <v>-6074</v>
      </c>
      <c r="W34" s="3">
        <v>1765</v>
      </c>
      <c r="X34" s="3">
        <v>-974</v>
      </c>
      <c r="Y34" s="3">
        <v>8411</v>
      </c>
      <c r="Z34" s="3">
        <v>8827</v>
      </c>
      <c r="AA34" s="3">
        <v>-2231</v>
      </c>
      <c r="AB34" s="3">
        <v>14033</v>
      </c>
    </row>
    <row r="35" spans="1:28">
      <c r="A35" s="21"/>
      <c r="B35" s="17" t="s">
        <v>41</v>
      </c>
      <c r="C35" s="17" t="s">
        <v>446</v>
      </c>
      <c r="D35" s="3">
        <v>7668</v>
      </c>
      <c r="E35" s="3">
        <v>3558</v>
      </c>
      <c r="F35" s="3">
        <v>-1476</v>
      </c>
      <c r="G35" s="3">
        <v>-7195</v>
      </c>
      <c r="H35" s="3">
        <v>2555</v>
      </c>
      <c r="I35" s="3">
        <v>46</v>
      </c>
      <c r="J35" s="3">
        <v>31659</v>
      </c>
      <c r="K35" s="3">
        <v>-5620</v>
      </c>
      <c r="L35" s="3">
        <v>5774</v>
      </c>
      <c r="M35" s="3">
        <v>31859</v>
      </c>
      <c r="N35" s="3">
        <v>13998</v>
      </c>
      <c r="O35" s="3">
        <v>16198</v>
      </c>
      <c r="P35" s="3">
        <v>-9931</v>
      </c>
      <c r="Q35" s="3">
        <v>5578</v>
      </c>
      <c r="R35" s="3">
        <v>25843</v>
      </c>
      <c r="S35" s="3">
        <v>7922</v>
      </c>
      <c r="T35" s="3">
        <v>6924</v>
      </c>
      <c r="U35" s="3">
        <v>13800</v>
      </c>
      <c r="V35" s="3">
        <v>11643</v>
      </c>
      <c r="W35" s="3">
        <v>40289</v>
      </c>
      <c r="X35" s="3">
        <v>14177</v>
      </c>
      <c r="Y35" s="3">
        <v>5539</v>
      </c>
      <c r="Z35" s="3">
        <v>14592</v>
      </c>
      <c r="AA35" s="3">
        <v>5096</v>
      </c>
      <c r="AB35" s="3">
        <v>39404</v>
      </c>
    </row>
    <row r="36" spans="1:28">
      <c r="A36" s="21"/>
      <c r="B36" s="17" t="s">
        <v>165</v>
      </c>
      <c r="C36" s="17" t="s">
        <v>499</v>
      </c>
      <c r="D36" s="3">
        <v>-315</v>
      </c>
      <c r="E36" s="3">
        <v>-321</v>
      </c>
      <c r="F36" s="3">
        <v>-330</v>
      </c>
      <c r="G36" s="3">
        <v>966</v>
      </c>
      <c r="H36" s="3">
        <v>0</v>
      </c>
      <c r="I36" s="3">
        <v>9623</v>
      </c>
      <c r="J36" s="3">
        <v>-24907</v>
      </c>
      <c r="K36" s="3">
        <v>-7921</v>
      </c>
      <c r="L36" s="3">
        <v>-8963</v>
      </c>
      <c r="M36" s="3">
        <v>-32168</v>
      </c>
      <c r="N36" s="3">
        <v>-4794</v>
      </c>
      <c r="O36" s="3">
        <v>-11469</v>
      </c>
      <c r="P36" s="3">
        <v>-11775</v>
      </c>
      <c r="Q36" s="3">
        <v>-9632</v>
      </c>
      <c r="R36" s="3">
        <v>-37670</v>
      </c>
      <c r="S36" s="3">
        <v>-5758</v>
      </c>
      <c r="T36" s="3">
        <v>-7244</v>
      </c>
      <c r="U36" s="3">
        <v>-11297</v>
      </c>
      <c r="V36" s="3">
        <v>-11448</v>
      </c>
      <c r="W36" s="3">
        <v>-35747</v>
      </c>
      <c r="X36" s="3">
        <v>-8866</v>
      </c>
      <c r="Y36" s="3">
        <v>-8757</v>
      </c>
      <c r="Z36" s="3">
        <v>-10151</v>
      </c>
      <c r="AA36" s="3">
        <v>-7451</v>
      </c>
      <c r="AB36" s="3">
        <v>-35225</v>
      </c>
    </row>
    <row r="37" spans="1:28" ht="15" thickBot="1">
      <c r="A37" s="21"/>
      <c r="B37" s="17" t="s">
        <v>34</v>
      </c>
      <c r="C37" s="17" t="s">
        <v>451</v>
      </c>
      <c r="D37" s="3">
        <v>1554</v>
      </c>
      <c r="E37" s="3">
        <v>-397</v>
      </c>
      <c r="F37" s="3">
        <v>1470</v>
      </c>
      <c r="G37" s="3">
        <v>-5627</v>
      </c>
      <c r="H37" s="3">
        <v>-3000</v>
      </c>
      <c r="I37" s="3">
        <v>-558</v>
      </c>
      <c r="J37" s="3">
        <v>-2121</v>
      </c>
      <c r="K37" s="3">
        <v>596</v>
      </c>
      <c r="L37" s="3">
        <v>-1811</v>
      </c>
      <c r="M37" s="3">
        <v>-3894</v>
      </c>
      <c r="N37" s="3">
        <v>-51</v>
      </c>
      <c r="O37" s="3">
        <v>1871</v>
      </c>
      <c r="P37" s="3">
        <v>-2503</v>
      </c>
      <c r="Q37" s="3">
        <v>8991</v>
      </c>
      <c r="R37" s="3">
        <v>8308</v>
      </c>
      <c r="S37" s="3">
        <v>-1798</v>
      </c>
      <c r="T37" s="3">
        <v>2855</v>
      </c>
      <c r="U37" s="3">
        <v>1298</v>
      </c>
      <c r="V37" s="3">
        <v>1289</v>
      </c>
      <c r="W37" s="3">
        <v>3644</v>
      </c>
      <c r="X37" s="3">
        <v>-3147</v>
      </c>
      <c r="Y37" s="3">
        <v>-94</v>
      </c>
      <c r="Z37" s="3">
        <v>-845</v>
      </c>
      <c r="AA37" s="3">
        <v>-3326</v>
      </c>
      <c r="AB37" s="3">
        <v>-7412</v>
      </c>
    </row>
    <row r="38" spans="1:28" ht="15" thickBot="1">
      <c r="A38" s="21"/>
      <c r="B38" s="103" t="s">
        <v>169</v>
      </c>
      <c r="C38" s="103" t="s">
        <v>500</v>
      </c>
      <c r="D38" s="104">
        <f>SUM(D28:D37)</f>
        <v>-6797</v>
      </c>
      <c r="E38" s="104">
        <f t="shared" ref="E38:AB38" si="1">SUM(E28:E37)</f>
        <v>-21905</v>
      </c>
      <c r="F38" s="104">
        <f t="shared" si="1"/>
        <v>27570</v>
      </c>
      <c r="G38" s="104">
        <f t="shared" si="1"/>
        <v>-11209</v>
      </c>
      <c r="H38" s="105">
        <f t="shared" si="1"/>
        <v>-12341</v>
      </c>
      <c r="I38" s="105">
        <f t="shared" si="1"/>
        <v>-32503</v>
      </c>
      <c r="J38" s="105">
        <f t="shared" si="1"/>
        <v>-3026</v>
      </c>
      <c r="K38" s="105">
        <f t="shared" si="1"/>
        <v>12638</v>
      </c>
      <c r="L38" s="105">
        <f t="shared" si="1"/>
        <v>-10165</v>
      </c>
      <c r="M38" s="105">
        <f t="shared" si="1"/>
        <v>-33056</v>
      </c>
      <c r="N38" s="105">
        <f t="shared" si="1"/>
        <v>-11003</v>
      </c>
      <c r="O38" s="105">
        <f t="shared" si="1"/>
        <v>-14581</v>
      </c>
      <c r="P38" s="105">
        <f t="shared" si="1"/>
        <v>-6592</v>
      </c>
      <c r="Q38" s="105">
        <f t="shared" si="1"/>
        <v>35575</v>
      </c>
      <c r="R38" s="105">
        <f t="shared" si="1"/>
        <v>3399</v>
      </c>
      <c r="S38" s="105">
        <f t="shared" si="1"/>
        <v>-46538</v>
      </c>
      <c r="T38" s="105">
        <f t="shared" si="1"/>
        <v>-33083</v>
      </c>
      <c r="U38" s="105">
        <f t="shared" si="1"/>
        <v>153</v>
      </c>
      <c r="V38" s="105">
        <f t="shared" si="1"/>
        <v>10151</v>
      </c>
      <c r="W38" s="105">
        <f t="shared" si="1"/>
        <v>-69317</v>
      </c>
      <c r="X38" s="105">
        <f t="shared" si="1"/>
        <v>3214</v>
      </c>
      <c r="Y38" s="105">
        <f t="shared" si="1"/>
        <v>-23123</v>
      </c>
      <c r="Z38" s="105">
        <f t="shared" si="1"/>
        <v>2122</v>
      </c>
      <c r="AA38" s="105">
        <f t="shared" si="1"/>
        <v>-10147</v>
      </c>
      <c r="AB38" s="105">
        <f t="shared" si="1"/>
        <v>-27934</v>
      </c>
    </row>
    <row r="39" spans="1:28" ht="15" thickBot="1">
      <c r="A39" s="21"/>
      <c r="B39" s="17"/>
      <c r="C39" s="17"/>
    </row>
    <row r="40" spans="1:28" ht="15" thickBot="1">
      <c r="A40" s="21"/>
      <c r="B40" s="103" t="s">
        <v>170</v>
      </c>
      <c r="C40" s="103" t="s">
        <v>501</v>
      </c>
      <c r="D40" s="104">
        <f t="shared" ref="D40:AB40" si="2">D26+D38</f>
        <v>24550</v>
      </c>
      <c r="E40" s="104">
        <f t="shared" si="2"/>
        <v>15989</v>
      </c>
      <c r="F40" s="104">
        <f t="shared" si="2"/>
        <v>65489</v>
      </c>
      <c r="G40" s="104">
        <f t="shared" si="2"/>
        <v>36066</v>
      </c>
      <c r="H40" s="105">
        <f t="shared" si="2"/>
        <v>142094</v>
      </c>
      <c r="I40" s="105">
        <f t="shared" si="2"/>
        <v>-48</v>
      </c>
      <c r="J40" s="105">
        <f t="shared" si="2"/>
        <v>36060</v>
      </c>
      <c r="K40" s="105">
        <f t="shared" si="2"/>
        <v>56913</v>
      </c>
      <c r="L40" s="105">
        <f t="shared" si="2"/>
        <v>31039</v>
      </c>
      <c r="M40" s="105">
        <f t="shared" si="2"/>
        <v>123964</v>
      </c>
      <c r="N40" s="105">
        <f t="shared" si="2"/>
        <v>27036</v>
      </c>
      <c r="O40" s="105">
        <f t="shared" si="2"/>
        <v>35307</v>
      </c>
      <c r="P40" s="105">
        <f t="shared" si="2"/>
        <v>37944</v>
      </c>
      <c r="Q40" s="105">
        <f t="shared" si="2"/>
        <v>55444</v>
      </c>
      <c r="R40" s="105">
        <f>R26+R38</f>
        <v>155731</v>
      </c>
      <c r="S40" s="105">
        <f t="shared" si="2"/>
        <v>-7001</v>
      </c>
      <c r="T40" s="105">
        <f>T26+T38</f>
        <v>705</v>
      </c>
      <c r="U40" s="105">
        <f t="shared" si="2"/>
        <v>42048</v>
      </c>
      <c r="V40" s="105">
        <f t="shared" si="2"/>
        <v>57439</v>
      </c>
      <c r="W40" s="105">
        <f t="shared" si="2"/>
        <v>93191</v>
      </c>
      <c r="X40" s="105">
        <f t="shared" si="2"/>
        <v>51157</v>
      </c>
      <c r="Y40" s="105">
        <f t="shared" si="2"/>
        <v>21937</v>
      </c>
      <c r="Z40" s="105">
        <f t="shared" si="2"/>
        <v>77230</v>
      </c>
      <c r="AA40" s="105">
        <f t="shared" si="2"/>
        <v>73673</v>
      </c>
      <c r="AB40" s="105">
        <f t="shared" si="2"/>
        <v>223997</v>
      </c>
    </row>
    <row r="41" spans="1:28">
      <c r="A41" s="21"/>
      <c r="B41" s="17"/>
      <c r="C41" s="17"/>
    </row>
    <row r="42" spans="1:28">
      <c r="B42" s="48" t="s">
        <v>171</v>
      </c>
      <c r="C42" s="48" t="s">
        <v>502</v>
      </c>
    </row>
    <row r="43" spans="1:28">
      <c r="A43" s="21"/>
      <c r="B43" s="17" t="s">
        <v>172</v>
      </c>
      <c r="C43" s="17" t="s">
        <v>503</v>
      </c>
      <c r="D43" s="3">
        <v>-10914</v>
      </c>
      <c r="E43" s="3">
        <v>-7079</v>
      </c>
      <c r="F43" s="3">
        <v>-207</v>
      </c>
      <c r="G43" s="3">
        <v>-2069</v>
      </c>
      <c r="H43" s="3">
        <v>-20269</v>
      </c>
      <c r="I43" s="3">
        <v>-5167</v>
      </c>
      <c r="J43" s="3">
        <v>-5209</v>
      </c>
      <c r="K43" s="3">
        <v>-14568</v>
      </c>
      <c r="L43" s="3">
        <v>-13620</v>
      </c>
      <c r="M43" s="3">
        <v>-38564</v>
      </c>
      <c r="N43" s="3">
        <v>-10872</v>
      </c>
      <c r="O43" s="3">
        <v>-10741</v>
      </c>
      <c r="P43" s="3">
        <v>-6596</v>
      </c>
      <c r="Q43" s="3">
        <v>-6898</v>
      </c>
      <c r="R43" s="3">
        <v>-35107</v>
      </c>
      <c r="S43" s="3">
        <v>-6811</v>
      </c>
      <c r="T43" s="3">
        <v>-8436</v>
      </c>
      <c r="U43" s="3">
        <v>-6916</v>
      </c>
      <c r="V43" s="3">
        <v>-29071</v>
      </c>
      <c r="W43" s="3">
        <v>-51234</v>
      </c>
      <c r="X43" s="3">
        <v>-34547</v>
      </c>
      <c r="Y43" s="3">
        <v>-22006</v>
      </c>
      <c r="Z43" s="3">
        <v>-25301</v>
      </c>
      <c r="AA43" s="3">
        <v>3831</v>
      </c>
      <c r="AB43" s="3">
        <v>-78023</v>
      </c>
    </row>
    <row r="44" spans="1:28">
      <c r="A44" s="21"/>
      <c r="B44" s="17" t="s">
        <v>173</v>
      </c>
      <c r="C44" s="17" t="s">
        <v>504</v>
      </c>
      <c r="D44" s="3">
        <v>-31630</v>
      </c>
      <c r="E44" s="3">
        <v>-238</v>
      </c>
      <c r="F44" s="3">
        <v>-15617</v>
      </c>
      <c r="G44" s="3">
        <v>-356</v>
      </c>
      <c r="H44" s="3">
        <v>-47841</v>
      </c>
      <c r="I44" s="3">
        <v>-16</v>
      </c>
      <c r="J44" s="3">
        <v>-70</v>
      </c>
      <c r="K44" s="3">
        <v>-1962</v>
      </c>
      <c r="L44" s="3">
        <v>-322</v>
      </c>
      <c r="M44" s="3">
        <v>-2370</v>
      </c>
      <c r="N44" s="3">
        <v>-1478</v>
      </c>
      <c r="O44" s="3">
        <v>-2063</v>
      </c>
      <c r="P44" s="3">
        <v>-702</v>
      </c>
      <c r="Q44" s="3">
        <v>-1444</v>
      </c>
      <c r="R44" s="3">
        <v>-5687</v>
      </c>
      <c r="S44" s="3">
        <v>-1620</v>
      </c>
      <c r="T44" s="3">
        <v>-2608</v>
      </c>
      <c r="U44" s="3">
        <v>-2088</v>
      </c>
      <c r="V44" s="3">
        <v>-30</v>
      </c>
      <c r="W44" s="3">
        <v>-6346</v>
      </c>
      <c r="X44" s="3">
        <v>-1739</v>
      </c>
      <c r="Y44" s="3">
        <v>-1356</v>
      </c>
      <c r="Z44" s="3">
        <v>-1090</v>
      </c>
      <c r="AA44" s="3">
        <v>-41398</v>
      </c>
      <c r="AB44" s="3">
        <v>-45583</v>
      </c>
    </row>
    <row r="45" spans="1:28">
      <c r="A45" s="21"/>
      <c r="B45" s="17" t="s">
        <v>222</v>
      </c>
      <c r="C45" s="17" t="s">
        <v>505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899</v>
      </c>
      <c r="K45" s="3">
        <v>0</v>
      </c>
      <c r="L45" s="3">
        <v>1801</v>
      </c>
      <c r="M45" s="3">
        <v>2700</v>
      </c>
      <c r="N45" s="3">
        <v>900</v>
      </c>
      <c r="O45" s="3">
        <v>900</v>
      </c>
      <c r="P45" s="3">
        <v>0</v>
      </c>
      <c r="Q45" s="3">
        <v>0</v>
      </c>
      <c r="R45" s="3">
        <v>1800</v>
      </c>
      <c r="S45" s="3">
        <v>1500</v>
      </c>
      <c r="T45" s="3">
        <v>900</v>
      </c>
      <c r="U45" s="3">
        <v>1</v>
      </c>
      <c r="V45" s="3">
        <v>-1</v>
      </c>
      <c r="W45" s="3">
        <v>2400</v>
      </c>
      <c r="X45" s="3">
        <v>0</v>
      </c>
      <c r="Y45" s="3">
        <v>1913</v>
      </c>
      <c r="Z45" s="3">
        <v>1539</v>
      </c>
      <c r="AA45" s="3">
        <v>0</v>
      </c>
      <c r="AB45" s="3">
        <v>3452</v>
      </c>
    </row>
    <row r="46" spans="1:28">
      <c r="A46" s="21"/>
      <c r="B46" s="17" t="s">
        <v>223</v>
      </c>
      <c r="C46" s="17" t="s">
        <v>506</v>
      </c>
      <c r="D46" s="3">
        <v>3852</v>
      </c>
      <c r="E46" s="3">
        <v>-3731</v>
      </c>
      <c r="F46" s="3">
        <v>-1333</v>
      </c>
      <c r="G46" s="3">
        <v>1212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>
      <c r="A47" s="21"/>
      <c r="B47" s="17" t="s">
        <v>224</v>
      </c>
      <c r="C47" s="17" t="s">
        <v>507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-102924</v>
      </c>
      <c r="R47" s="3">
        <v>-102924</v>
      </c>
      <c r="S47" s="3">
        <v>0</v>
      </c>
      <c r="T47" s="3">
        <v>1319</v>
      </c>
      <c r="U47" s="3">
        <v>101605</v>
      </c>
      <c r="V47" s="3">
        <v>0</v>
      </c>
      <c r="W47" s="3">
        <v>102924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>
      <c r="A48" s="21"/>
      <c r="B48" s="17" t="s">
        <v>225</v>
      </c>
      <c r="C48" s="17" t="s">
        <v>508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5320</v>
      </c>
      <c r="W48" s="3">
        <v>5320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>
      <c r="A49" s="21"/>
      <c r="B49" s="17" t="s">
        <v>229</v>
      </c>
      <c r="C49" s="17" t="s">
        <v>509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-104216</v>
      </c>
      <c r="R49" s="3">
        <v>-104216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>
      <c r="A50" s="21"/>
      <c r="B50" s="17" t="s">
        <v>230</v>
      </c>
      <c r="C50" s="17" t="s">
        <v>510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-1546</v>
      </c>
      <c r="P50" s="3">
        <v>-493</v>
      </c>
      <c r="Q50" s="3">
        <v>-67</v>
      </c>
      <c r="R50" s="3">
        <v>-2106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>
      <c r="A51" s="21"/>
      <c r="B51" s="17" t="s">
        <v>231</v>
      </c>
      <c r="C51" s="17" t="s">
        <v>511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>
      <c r="A52" s="21"/>
      <c r="B52" s="17" t="s">
        <v>232</v>
      </c>
      <c r="C52" s="17" t="s">
        <v>512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-6394</v>
      </c>
      <c r="AA52" s="3">
        <v>0</v>
      </c>
      <c r="AB52" s="3">
        <v>-6394</v>
      </c>
    </row>
    <row r="53" spans="1:28">
      <c r="A53" s="21"/>
      <c r="B53" s="17" t="s">
        <v>233</v>
      </c>
      <c r="C53" s="17" t="s">
        <v>513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-10268</v>
      </c>
      <c r="V53" s="3">
        <v>0</v>
      </c>
      <c r="W53" s="3">
        <v>-10268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5" thickBot="1">
      <c r="A54" s="21"/>
      <c r="B54" s="28" t="s">
        <v>234</v>
      </c>
      <c r="C54" s="28" t="s">
        <v>514</v>
      </c>
      <c r="D54" s="3"/>
      <c r="E54" s="3"/>
      <c r="F54" s="3"/>
      <c r="G54" s="3"/>
      <c r="H54" s="3">
        <v>0</v>
      </c>
      <c r="I54" s="3"/>
      <c r="J54" s="3"/>
      <c r="K54" s="3"/>
      <c r="L54" s="3"/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5" thickBot="1">
      <c r="A55" s="21"/>
      <c r="B55" s="103" t="s">
        <v>186</v>
      </c>
      <c r="C55" s="103" t="s">
        <v>515</v>
      </c>
      <c r="D55" s="104">
        <f t="shared" ref="D55:AB55" si="3">SUM(D43:D54)</f>
        <v>-38692</v>
      </c>
      <c r="E55" s="104">
        <f t="shared" si="3"/>
        <v>-11048</v>
      </c>
      <c r="F55" s="104">
        <f t="shared" si="3"/>
        <v>-17157</v>
      </c>
      <c r="G55" s="104">
        <f t="shared" si="3"/>
        <v>-1213</v>
      </c>
      <c r="H55" s="105">
        <f t="shared" si="3"/>
        <v>-68110</v>
      </c>
      <c r="I55" s="105">
        <f t="shared" si="3"/>
        <v>-5183</v>
      </c>
      <c r="J55" s="105">
        <f t="shared" si="3"/>
        <v>-4380</v>
      </c>
      <c r="K55" s="105">
        <f t="shared" si="3"/>
        <v>-16530</v>
      </c>
      <c r="L55" s="105">
        <f t="shared" si="3"/>
        <v>-12141</v>
      </c>
      <c r="M55" s="105">
        <f t="shared" si="3"/>
        <v>-38234</v>
      </c>
      <c r="N55" s="105">
        <f t="shared" si="3"/>
        <v>-11450</v>
      </c>
      <c r="O55" s="105">
        <f t="shared" si="3"/>
        <v>-13450</v>
      </c>
      <c r="P55" s="105">
        <f t="shared" si="3"/>
        <v>-7791</v>
      </c>
      <c r="Q55" s="105">
        <f t="shared" si="3"/>
        <v>-215549</v>
      </c>
      <c r="R55" s="105">
        <f t="shared" si="3"/>
        <v>-248240</v>
      </c>
      <c r="S55" s="105">
        <f t="shared" si="3"/>
        <v>-6931</v>
      </c>
      <c r="T55" s="105">
        <f t="shared" si="3"/>
        <v>-8825</v>
      </c>
      <c r="U55" s="105">
        <f t="shared" si="3"/>
        <v>82334</v>
      </c>
      <c r="V55" s="105">
        <f t="shared" si="3"/>
        <v>-23782</v>
      </c>
      <c r="W55" s="105">
        <f t="shared" si="3"/>
        <v>42796</v>
      </c>
      <c r="X55" s="105">
        <f t="shared" si="3"/>
        <v>-36286</v>
      </c>
      <c r="Y55" s="105">
        <f t="shared" si="3"/>
        <v>-21449</v>
      </c>
      <c r="Z55" s="105">
        <f t="shared" si="3"/>
        <v>-31246</v>
      </c>
      <c r="AA55" s="105">
        <f t="shared" si="3"/>
        <v>-37567</v>
      </c>
      <c r="AB55" s="105">
        <f t="shared" si="3"/>
        <v>-126548</v>
      </c>
    </row>
    <row r="56" spans="1:28">
      <c r="A56" s="21"/>
      <c r="B56" s="17"/>
      <c r="C56" s="1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spans="1:28">
      <c r="B57" s="48" t="s">
        <v>187</v>
      </c>
      <c r="C57" s="48" t="s">
        <v>516</v>
      </c>
      <c r="L57" s="18"/>
    </row>
    <row r="58" spans="1:28">
      <c r="A58" s="21"/>
      <c r="B58" s="17" t="s">
        <v>188</v>
      </c>
      <c r="C58" s="17" t="s">
        <v>517</v>
      </c>
      <c r="D58" s="3">
        <v>-5614</v>
      </c>
      <c r="E58" s="3">
        <v>-1648</v>
      </c>
      <c r="F58" s="3">
        <v>0</v>
      </c>
      <c r="G58" s="3">
        <v>0</v>
      </c>
      <c r="H58" s="3">
        <v>-7262</v>
      </c>
      <c r="I58" s="3">
        <v>-6969</v>
      </c>
      <c r="J58" s="3">
        <v>-2260</v>
      </c>
      <c r="K58" s="3">
        <v>0</v>
      </c>
      <c r="L58" s="3">
        <v>-2781</v>
      </c>
      <c r="M58" s="3">
        <v>-12010</v>
      </c>
      <c r="N58" s="3">
        <v>-3061</v>
      </c>
      <c r="O58" s="3">
        <v>-65911</v>
      </c>
      <c r="P58" s="3">
        <v>-4692</v>
      </c>
      <c r="Q58" s="3">
        <v>-15547</v>
      </c>
      <c r="R58" s="3">
        <v>-89211</v>
      </c>
      <c r="S58" s="3">
        <v>0</v>
      </c>
      <c r="T58" s="3">
        <v>-18486</v>
      </c>
      <c r="U58" s="3">
        <v>-5559</v>
      </c>
      <c r="V58" s="3">
        <v>-10369</v>
      </c>
      <c r="W58" s="3">
        <v>-34414</v>
      </c>
      <c r="X58" s="3">
        <v>-10563</v>
      </c>
      <c r="Y58" s="3">
        <v>-7952</v>
      </c>
      <c r="Z58" s="3">
        <v>-6516</v>
      </c>
      <c r="AA58" s="3">
        <v>-8482</v>
      </c>
      <c r="AB58" s="3">
        <v>-33513</v>
      </c>
    </row>
    <row r="59" spans="1:28">
      <c r="A59" s="21"/>
      <c r="B59" s="17" t="s">
        <v>190</v>
      </c>
      <c r="C59" s="17" t="s">
        <v>518</v>
      </c>
      <c r="D59" s="3">
        <v>0</v>
      </c>
      <c r="E59" s="3">
        <v>-5878</v>
      </c>
      <c r="F59" s="3">
        <v>-7050</v>
      </c>
      <c r="G59" s="3">
        <v>-7082</v>
      </c>
      <c r="H59" s="3">
        <v>-20010</v>
      </c>
      <c r="I59" s="3">
        <v>0</v>
      </c>
      <c r="J59" s="3">
        <v>-8469</v>
      </c>
      <c r="K59" s="3">
        <v>-11873</v>
      </c>
      <c r="L59" s="3">
        <v>-8392</v>
      </c>
      <c r="M59" s="3">
        <v>-28734</v>
      </c>
      <c r="N59" s="3">
        <v>-7740</v>
      </c>
      <c r="O59" s="3">
        <v>0</v>
      </c>
      <c r="P59" s="3">
        <v>-12770</v>
      </c>
      <c r="Q59" s="3">
        <v>0</v>
      </c>
      <c r="R59" s="3">
        <v>-20510</v>
      </c>
      <c r="S59" s="3">
        <v>-12438</v>
      </c>
      <c r="T59" s="3">
        <v>0</v>
      </c>
      <c r="U59" s="3">
        <v>-11773</v>
      </c>
      <c r="V59" s="3">
        <v>-6116</v>
      </c>
      <c r="W59" s="3">
        <v>-30327</v>
      </c>
      <c r="X59" s="3">
        <v>-5887</v>
      </c>
      <c r="Y59" s="3">
        <v>-1188</v>
      </c>
      <c r="Z59" s="3">
        <v>-9465</v>
      </c>
      <c r="AA59" s="3">
        <v>-9007</v>
      </c>
      <c r="AB59" s="3">
        <v>-25547</v>
      </c>
    </row>
    <row r="60" spans="1:28">
      <c r="A60" s="21"/>
      <c r="B60" s="17" t="s">
        <v>191</v>
      </c>
      <c r="C60" s="17" t="s">
        <v>519</v>
      </c>
      <c r="D60" s="3">
        <v>0</v>
      </c>
      <c r="E60" s="3">
        <v>0</v>
      </c>
      <c r="F60" s="3">
        <v>0</v>
      </c>
      <c r="G60" s="3">
        <v>5954</v>
      </c>
      <c r="H60" s="3">
        <v>5954</v>
      </c>
      <c r="I60" s="3">
        <v>-3344</v>
      </c>
      <c r="J60" s="3">
        <v>-3493</v>
      </c>
      <c r="K60" s="3">
        <v>-17056</v>
      </c>
      <c r="L60" s="3">
        <v>817</v>
      </c>
      <c r="M60" s="3">
        <v>-23076</v>
      </c>
      <c r="N60" s="3">
        <v>1163</v>
      </c>
      <c r="O60" s="3">
        <v>181</v>
      </c>
      <c r="P60" s="3">
        <v>0</v>
      </c>
      <c r="Q60" s="3">
        <v>0</v>
      </c>
      <c r="R60" s="3">
        <v>1344</v>
      </c>
      <c r="S60" s="3"/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>
      <c r="A61" s="21"/>
      <c r="B61" s="17" t="s">
        <v>237</v>
      </c>
      <c r="C61" s="17" t="s">
        <v>520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-5281</v>
      </c>
      <c r="R61" s="3">
        <v>-5281</v>
      </c>
      <c r="S61" s="3">
        <v>-84</v>
      </c>
      <c r="T61" s="3">
        <v>-338</v>
      </c>
      <c r="U61" s="3">
        <v>-1027</v>
      </c>
      <c r="V61" s="3">
        <v>-734</v>
      </c>
      <c r="W61" s="3">
        <v>-2183</v>
      </c>
      <c r="X61" s="3">
        <v>-948</v>
      </c>
      <c r="Y61" s="3">
        <v>-2204</v>
      </c>
      <c r="Z61" s="3">
        <v>-1760</v>
      </c>
      <c r="AA61" s="3">
        <v>-2480</v>
      </c>
      <c r="AB61" s="3">
        <v>-7392</v>
      </c>
    </row>
    <row r="62" spans="1:28">
      <c r="A62" s="21"/>
      <c r="B62" s="17" t="s">
        <v>194</v>
      </c>
      <c r="C62" s="17" t="s">
        <v>521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100000</v>
      </c>
      <c r="M62" s="3">
        <v>100000</v>
      </c>
      <c r="N62" s="3">
        <v>0</v>
      </c>
      <c r="O62" s="3">
        <v>0</v>
      </c>
      <c r="P62" s="3">
        <v>0</v>
      </c>
      <c r="Q62" s="3">
        <v>130000</v>
      </c>
      <c r="R62" s="3">
        <v>130000</v>
      </c>
      <c r="S62" s="3">
        <v>0</v>
      </c>
      <c r="T62" s="3">
        <v>250000</v>
      </c>
      <c r="U62" s="3">
        <v>0</v>
      </c>
      <c r="V62" s="3">
        <v>0</v>
      </c>
      <c r="W62" s="3">
        <v>250000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>
      <c r="A63" s="21"/>
      <c r="B63" s="17" t="s">
        <v>195</v>
      </c>
      <c r="C63" s="17" t="s">
        <v>522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-36000</v>
      </c>
      <c r="K63" s="3">
        <v>0</v>
      </c>
      <c r="L63" s="3">
        <v>-36000</v>
      </c>
      <c r="M63" s="3">
        <v>-72000</v>
      </c>
      <c r="N63" s="3">
        <v>0</v>
      </c>
      <c r="O63" s="3">
        <v>-36000</v>
      </c>
      <c r="P63" s="3">
        <v>0</v>
      </c>
      <c r="Q63" s="3">
        <v>-36000</v>
      </c>
      <c r="R63" s="3">
        <v>-72000</v>
      </c>
      <c r="S63" s="3">
        <v>0</v>
      </c>
      <c r="T63" s="3">
        <v>-166000</v>
      </c>
      <c r="U63" s="3">
        <v>0</v>
      </c>
      <c r="V63" s="3">
        <v>-100000</v>
      </c>
      <c r="W63" s="3">
        <v>-266000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>
      <c r="A64" s="21"/>
      <c r="B64" s="17" t="s">
        <v>196</v>
      </c>
      <c r="C64" s="17" t="s">
        <v>523</v>
      </c>
      <c r="D64" s="3">
        <v>0</v>
      </c>
      <c r="E64" s="3">
        <v>-8852</v>
      </c>
      <c r="F64" s="3">
        <v>0</v>
      </c>
      <c r="G64" s="3">
        <v>-10394</v>
      </c>
      <c r="H64" s="3">
        <v>-19246</v>
      </c>
      <c r="I64" s="3">
        <v>0</v>
      </c>
      <c r="J64" s="3">
        <v>-11074</v>
      </c>
      <c r="K64" s="3">
        <v>0</v>
      </c>
      <c r="L64" s="3">
        <v>-9575</v>
      </c>
      <c r="M64" s="3">
        <v>-20649</v>
      </c>
      <c r="N64" s="3">
        <v>0</v>
      </c>
      <c r="O64" s="3">
        <v>-12004</v>
      </c>
      <c r="P64" s="3">
        <v>0</v>
      </c>
      <c r="Q64" s="3">
        <v>-7879</v>
      </c>
      <c r="R64" s="3">
        <v>-19883</v>
      </c>
      <c r="S64" s="3">
        <v>0</v>
      </c>
      <c r="T64" s="3">
        <v>-9009</v>
      </c>
      <c r="U64" s="3">
        <v>0</v>
      </c>
      <c r="V64" s="3">
        <v>-15747</v>
      </c>
      <c r="W64" s="3">
        <v>-24756</v>
      </c>
      <c r="X64" s="3">
        <v>0</v>
      </c>
      <c r="Y64" s="3">
        <v>-12938</v>
      </c>
      <c r="Z64" s="3">
        <v>0</v>
      </c>
      <c r="AA64" s="3">
        <v>-14444</v>
      </c>
      <c r="AB64" s="3">
        <v>-27382</v>
      </c>
    </row>
    <row r="65" spans="1:28">
      <c r="A65" s="21"/>
      <c r="B65" s="17" t="s">
        <v>238</v>
      </c>
      <c r="C65" s="17" t="s">
        <v>524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12000</v>
      </c>
      <c r="R65" s="3">
        <v>12000</v>
      </c>
      <c r="S65" s="3">
        <v>9500</v>
      </c>
      <c r="T65" s="3">
        <v>0</v>
      </c>
      <c r="U65" s="3">
        <v>0</v>
      </c>
      <c r="V65" s="3">
        <v>0</v>
      </c>
      <c r="W65" s="3">
        <v>9500</v>
      </c>
      <c r="X65" s="3">
        <v>5000</v>
      </c>
      <c r="Y65" s="3">
        <v>0</v>
      </c>
      <c r="Z65" s="3">
        <v>0</v>
      </c>
      <c r="AA65" s="3">
        <v>0</v>
      </c>
      <c r="AB65" s="3">
        <v>5000</v>
      </c>
    </row>
    <row r="66" spans="1:28">
      <c r="A66" s="21"/>
      <c r="B66" s="17" t="s">
        <v>198</v>
      </c>
      <c r="C66" s="17" t="s">
        <v>525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-143</v>
      </c>
      <c r="R66" s="3">
        <v>-143</v>
      </c>
      <c r="S66" s="3">
        <v>-229</v>
      </c>
      <c r="T66" s="3">
        <v>-356</v>
      </c>
      <c r="U66" s="3">
        <v>-345</v>
      </c>
      <c r="V66" s="3">
        <v>-345</v>
      </c>
      <c r="W66" s="3">
        <v>-1275</v>
      </c>
      <c r="X66" s="3">
        <v>-393</v>
      </c>
      <c r="Y66" s="3">
        <v>-425</v>
      </c>
      <c r="Z66" s="3">
        <v>-425</v>
      </c>
      <c r="AA66" s="3">
        <v>-413</v>
      </c>
      <c r="AB66" s="3">
        <v>-1656</v>
      </c>
    </row>
    <row r="67" spans="1:28">
      <c r="A67" s="21"/>
      <c r="B67" s="17" t="s">
        <v>199</v>
      </c>
      <c r="C67" s="17" t="s">
        <v>526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-1656</v>
      </c>
      <c r="AB67" s="3">
        <v>-1656</v>
      </c>
    </row>
    <row r="68" spans="1:28">
      <c r="A68" s="21"/>
      <c r="B68" s="17" t="s">
        <v>200</v>
      </c>
      <c r="C68" s="17" t="s">
        <v>527</v>
      </c>
      <c r="D68" s="3">
        <v>0</v>
      </c>
      <c r="E68" s="3">
        <v>0</v>
      </c>
      <c r="F68" s="3">
        <v>0</v>
      </c>
      <c r="G68" s="3">
        <v>202</v>
      </c>
      <c r="H68" s="3">
        <v>202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100132</v>
      </c>
      <c r="R68" s="3">
        <v>100132</v>
      </c>
      <c r="S68" s="3">
        <v>0</v>
      </c>
      <c r="T68" s="3">
        <v>0</v>
      </c>
      <c r="U68" s="3">
        <v>243</v>
      </c>
      <c r="V68" s="3">
        <v>-243</v>
      </c>
      <c r="W68" s="3">
        <v>0</v>
      </c>
      <c r="X68" s="3">
        <v>0</v>
      </c>
      <c r="Y68" s="3">
        <v>22360</v>
      </c>
      <c r="Z68" s="3">
        <v>0</v>
      </c>
      <c r="AA68" s="3">
        <v>24442</v>
      </c>
      <c r="AB68" s="3">
        <v>46802</v>
      </c>
    </row>
    <row r="69" spans="1:28">
      <c r="A69" s="21"/>
      <c r="B69" s="17" t="s">
        <v>201</v>
      </c>
      <c r="C69" s="17" t="s">
        <v>528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-16851</v>
      </c>
      <c r="AB69" s="3">
        <v>-16851</v>
      </c>
    </row>
    <row r="70" spans="1:28" ht="15" thickBot="1">
      <c r="A70" s="21"/>
      <c r="B70" s="17" t="s">
        <v>202</v>
      </c>
      <c r="C70" s="17" t="s">
        <v>529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-1394</v>
      </c>
      <c r="U70" s="3">
        <v>0</v>
      </c>
      <c r="V70" s="3">
        <v>-1617</v>
      </c>
      <c r="W70" s="3">
        <v>-3011</v>
      </c>
      <c r="X70" s="3">
        <v>-634</v>
      </c>
      <c r="Y70" s="3">
        <v>-905</v>
      </c>
      <c r="Z70" s="3">
        <v>0</v>
      </c>
      <c r="AA70" s="3">
        <v>-2330</v>
      </c>
      <c r="AB70" s="3">
        <v>-3869</v>
      </c>
    </row>
    <row r="71" spans="1:28" ht="15" thickBot="1">
      <c r="A71" s="21"/>
      <c r="B71" s="103" t="s">
        <v>203</v>
      </c>
      <c r="C71" s="103" t="s">
        <v>530</v>
      </c>
      <c r="D71" s="104">
        <f t="shared" ref="D71:AB71" si="4">SUM(D58:D70)</f>
        <v>-5614</v>
      </c>
      <c r="E71" s="104">
        <f t="shared" si="4"/>
        <v>-16378</v>
      </c>
      <c r="F71" s="104">
        <f t="shared" si="4"/>
        <v>-7050</v>
      </c>
      <c r="G71" s="104">
        <f t="shared" si="4"/>
        <v>-11320</v>
      </c>
      <c r="H71" s="105">
        <f t="shared" si="4"/>
        <v>-40362</v>
      </c>
      <c r="I71" s="105">
        <f t="shared" si="4"/>
        <v>-10313</v>
      </c>
      <c r="J71" s="105">
        <f t="shared" si="4"/>
        <v>-61296</v>
      </c>
      <c r="K71" s="105">
        <f t="shared" si="4"/>
        <v>-28929</v>
      </c>
      <c r="L71" s="105">
        <f t="shared" si="4"/>
        <v>44069</v>
      </c>
      <c r="M71" s="105">
        <f t="shared" si="4"/>
        <v>-56469</v>
      </c>
      <c r="N71" s="105">
        <f t="shared" si="4"/>
        <v>-9638</v>
      </c>
      <c r="O71" s="105">
        <f t="shared" si="4"/>
        <v>-113734</v>
      </c>
      <c r="P71" s="105">
        <f t="shared" si="4"/>
        <v>-17462</v>
      </c>
      <c r="Q71" s="105">
        <f t="shared" si="4"/>
        <v>177282</v>
      </c>
      <c r="R71" s="105">
        <f t="shared" si="4"/>
        <v>36448</v>
      </c>
      <c r="S71" s="105">
        <f t="shared" si="4"/>
        <v>-3251</v>
      </c>
      <c r="T71" s="105">
        <f t="shared" si="4"/>
        <v>54417</v>
      </c>
      <c r="U71" s="105">
        <f t="shared" si="4"/>
        <v>-18461</v>
      </c>
      <c r="V71" s="105">
        <f t="shared" si="4"/>
        <v>-135171</v>
      </c>
      <c r="W71" s="105">
        <f t="shared" si="4"/>
        <v>-102466</v>
      </c>
      <c r="X71" s="105">
        <f t="shared" si="4"/>
        <v>-13425</v>
      </c>
      <c r="Y71" s="105">
        <f t="shared" si="4"/>
        <v>-3252</v>
      </c>
      <c r="Z71" s="105">
        <f t="shared" si="4"/>
        <v>-18166</v>
      </c>
      <c r="AA71" s="105">
        <f t="shared" si="4"/>
        <v>-31221</v>
      </c>
      <c r="AB71" s="105">
        <f t="shared" si="4"/>
        <v>-66064</v>
      </c>
    </row>
    <row r="72" spans="1:28">
      <c r="A72" s="21"/>
      <c r="B72" s="17"/>
      <c r="C72" s="17"/>
    </row>
    <row r="73" spans="1:28">
      <c r="A73" s="21"/>
      <c r="B73" s="17" t="s">
        <v>207</v>
      </c>
      <c r="C73" s="17" t="s">
        <v>531</v>
      </c>
      <c r="D73" s="3">
        <v>-296</v>
      </c>
      <c r="E73" s="3">
        <v>-940</v>
      </c>
      <c r="F73" s="3">
        <v>202</v>
      </c>
      <c r="G73" s="3">
        <v>-934</v>
      </c>
      <c r="H73" s="3">
        <v>-1968</v>
      </c>
      <c r="I73" s="3">
        <v>566</v>
      </c>
      <c r="J73" s="3">
        <v>-902</v>
      </c>
      <c r="K73" s="3">
        <v>4145</v>
      </c>
      <c r="L73" s="3">
        <v>-1034</v>
      </c>
      <c r="M73" s="3">
        <v>2775</v>
      </c>
      <c r="N73" s="3">
        <v>-213</v>
      </c>
      <c r="O73" s="3">
        <v>835</v>
      </c>
      <c r="P73" s="3">
        <v>1075</v>
      </c>
      <c r="Q73" s="3">
        <v>2594</v>
      </c>
      <c r="R73" s="3">
        <v>4291</v>
      </c>
      <c r="S73" s="3">
        <v>1006</v>
      </c>
      <c r="T73" s="3">
        <v>7100</v>
      </c>
      <c r="U73" s="3">
        <v>-5528</v>
      </c>
      <c r="V73" s="3">
        <v>325</v>
      </c>
      <c r="W73" s="3">
        <v>2903</v>
      </c>
      <c r="X73" s="3">
        <v>1657</v>
      </c>
      <c r="Y73" s="3">
        <v>-1421</v>
      </c>
      <c r="Z73" s="3">
        <v>-415</v>
      </c>
      <c r="AA73" s="3">
        <v>-2343</v>
      </c>
      <c r="AB73" s="3">
        <v>-2522</v>
      </c>
    </row>
    <row r="74" spans="1:28" ht="15" thickBot="1">
      <c r="A74" s="21"/>
      <c r="B74" s="17"/>
      <c r="C74" s="17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15" thickBot="1">
      <c r="A75" s="21"/>
      <c r="B75" s="103" t="s">
        <v>204</v>
      </c>
      <c r="C75" s="103" t="s">
        <v>532</v>
      </c>
      <c r="D75" s="106">
        <f t="shared" ref="D75:AB75" si="5">D40+D55+D71+D73</f>
        <v>-20052</v>
      </c>
      <c r="E75" s="106">
        <f t="shared" si="5"/>
        <v>-12377</v>
      </c>
      <c r="F75" s="106">
        <f t="shared" si="5"/>
        <v>41484</v>
      </c>
      <c r="G75" s="106">
        <f t="shared" si="5"/>
        <v>22599</v>
      </c>
      <c r="H75" s="105">
        <f t="shared" si="5"/>
        <v>31654</v>
      </c>
      <c r="I75" s="105">
        <f t="shared" si="5"/>
        <v>-14978</v>
      </c>
      <c r="J75" s="105">
        <f t="shared" si="5"/>
        <v>-30518</v>
      </c>
      <c r="K75" s="105">
        <f t="shared" si="5"/>
        <v>15599</v>
      </c>
      <c r="L75" s="105">
        <f t="shared" si="5"/>
        <v>61933</v>
      </c>
      <c r="M75" s="105">
        <f t="shared" si="5"/>
        <v>32036</v>
      </c>
      <c r="N75" s="105">
        <f t="shared" si="5"/>
        <v>5735</v>
      </c>
      <c r="O75" s="105">
        <f t="shared" si="5"/>
        <v>-91042</v>
      </c>
      <c r="P75" s="105">
        <f t="shared" si="5"/>
        <v>13766</v>
      </c>
      <c r="Q75" s="105">
        <f t="shared" si="5"/>
        <v>19771</v>
      </c>
      <c r="R75" s="105">
        <f t="shared" si="5"/>
        <v>-51770</v>
      </c>
      <c r="S75" s="105">
        <f t="shared" si="5"/>
        <v>-16177</v>
      </c>
      <c r="T75" s="105">
        <f t="shared" si="5"/>
        <v>53397</v>
      </c>
      <c r="U75" s="105">
        <f t="shared" si="5"/>
        <v>100393</v>
      </c>
      <c r="V75" s="105">
        <f t="shared" si="5"/>
        <v>-101189</v>
      </c>
      <c r="W75" s="105">
        <f t="shared" si="5"/>
        <v>36424</v>
      </c>
      <c r="X75" s="105">
        <f t="shared" si="5"/>
        <v>3103</v>
      </c>
      <c r="Y75" s="105">
        <f t="shared" si="5"/>
        <v>-4185</v>
      </c>
      <c r="Z75" s="105">
        <f t="shared" si="5"/>
        <v>27403</v>
      </c>
      <c r="AA75" s="105">
        <f t="shared" si="5"/>
        <v>2542</v>
      </c>
      <c r="AB75" s="105">
        <f t="shared" si="5"/>
        <v>28863</v>
      </c>
    </row>
    <row r="76" spans="1:28" ht="15" thickTop="1">
      <c r="A76" s="21"/>
      <c r="B76" s="48"/>
      <c r="C76" s="48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</row>
    <row r="77" spans="1:28">
      <c r="A77" s="21"/>
      <c r="B77" s="48" t="s">
        <v>205</v>
      </c>
      <c r="C77" s="48" t="s">
        <v>533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</row>
    <row r="78" spans="1:28">
      <c r="A78" s="21"/>
      <c r="B78" s="17" t="s">
        <v>206</v>
      </c>
      <c r="C78" s="17" t="s">
        <v>534</v>
      </c>
      <c r="D78" s="3">
        <v>108090</v>
      </c>
      <c r="E78" s="3">
        <v>88038</v>
      </c>
      <c r="F78" s="3">
        <v>75661</v>
      </c>
      <c r="G78" s="3">
        <v>117145</v>
      </c>
      <c r="H78" s="3">
        <v>108090</v>
      </c>
      <c r="I78" s="3">
        <v>139744</v>
      </c>
      <c r="J78" s="3">
        <v>124766</v>
      </c>
      <c r="K78" s="3">
        <v>94248</v>
      </c>
      <c r="L78" s="3">
        <v>109847</v>
      </c>
      <c r="M78" s="3">
        <v>139744</v>
      </c>
      <c r="N78" s="3">
        <v>167549</v>
      </c>
      <c r="O78" s="3">
        <v>173284</v>
      </c>
      <c r="P78" s="3">
        <v>82242</v>
      </c>
      <c r="Q78" s="3">
        <v>96008</v>
      </c>
      <c r="R78" s="3">
        <v>167549</v>
      </c>
      <c r="S78" s="3">
        <v>115779</v>
      </c>
      <c r="T78" s="3">
        <v>99602</v>
      </c>
      <c r="U78" s="3">
        <v>152999</v>
      </c>
      <c r="V78" s="3">
        <v>253392</v>
      </c>
      <c r="W78" s="3">
        <v>115779</v>
      </c>
      <c r="X78" s="3">
        <v>152203</v>
      </c>
      <c r="Y78" s="3">
        <v>155306</v>
      </c>
      <c r="Z78" s="3">
        <v>151121</v>
      </c>
      <c r="AA78" s="3">
        <v>178524</v>
      </c>
      <c r="AB78" s="3">
        <v>152203</v>
      </c>
    </row>
    <row r="79" spans="1:28" ht="15" thickBot="1">
      <c r="A79" s="21"/>
      <c r="B79" s="17" t="s">
        <v>208</v>
      </c>
      <c r="C79" s="17" t="s">
        <v>535</v>
      </c>
      <c r="D79" s="53">
        <v>88038</v>
      </c>
      <c r="E79" s="53">
        <v>75661</v>
      </c>
      <c r="F79" s="53">
        <v>117145</v>
      </c>
      <c r="G79" s="53">
        <v>139744</v>
      </c>
      <c r="H79" s="3">
        <v>139744</v>
      </c>
      <c r="I79" s="3">
        <v>124766</v>
      </c>
      <c r="J79" s="3">
        <v>94248</v>
      </c>
      <c r="K79" s="3">
        <v>109847</v>
      </c>
      <c r="L79" s="3">
        <v>171780</v>
      </c>
      <c r="M79" s="3">
        <v>171780</v>
      </c>
      <c r="N79" s="3">
        <v>173284</v>
      </c>
      <c r="O79" s="3">
        <v>82242</v>
      </c>
      <c r="P79" s="3">
        <v>96008</v>
      </c>
      <c r="Q79" s="3">
        <v>115779</v>
      </c>
      <c r="R79" s="3">
        <f>W78</f>
        <v>115779</v>
      </c>
      <c r="S79" s="3">
        <v>99602</v>
      </c>
      <c r="T79" s="3">
        <v>152999</v>
      </c>
      <c r="U79" s="3">
        <v>253392</v>
      </c>
      <c r="V79" s="3">
        <v>152203</v>
      </c>
      <c r="W79" s="3">
        <f>X78</f>
        <v>152203</v>
      </c>
      <c r="X79" s="3">
        <v>155306</v>
      </c>
      <c r="Y79" s="3">
        <v>151121</v>
      </c>
      <c r="Z79" s="3">
        <v>178524</v>
      </c>
      <c r="AA79" s="3">
        <v>181066</v>
      </c>
      <c r="AB79" s="3">
        <v>181066</v>
      </c>
    </row>
    <row r="80" spans="1:28" ht="15" thickBot="1">
      <c r="A80" s="21"/>
      <c r="B80" s="17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ht="15" thickBot="1">
      <c r="B81" s="103" t="s">
        <v>204</v>
      </c>
      <c r="C81" s="103" t="s">
        <v>532</v>
      </c>
      <c r="D81" s="106">
        <f t="shared" ref="D81:AB81" si="6">D79-D78</f>
        <v>-20052</v>
      </c>
      <c r="E81" s="106">
        <f t="shared" si="6"/>
        <v>-12377</v>
      </c>
      <c r="F81" s="106">
        <f t="shared" si="6"/>
        <v>41484</v>
      </c>
      <c r="G81" s="106">
        <f t="shared" si="6"/>
        <v>22599</v>
      </c>
      <c r="H81" s="105">
        <f t="shared" si="6"/>
        <v>31654</v>
      </c>
      <c r="I81" s="105">
        <f t="shared" si="6"/>
        <v>-14978</v>
      </c>
      <c r="J81" s="105">
        <f t="shared" si="6"/>
        <v>-30518</v>
      </c>
      <c r="K81" s="105">
        <f t="shared" si="6"/>
        <v>15599</v>
      </c>
      <c r="L81" s="105">
        <f t="shared" si="6"/>
        <v>61933</v>
      </c>
      <c r="M81" s="105">
        <f t="shared" si="6"/>
        <v>32036</v>
      </c>
      <c r="N81" s="105">
        <f t="shared" si="6"/>
        <v>5735</v>
      </c>
      <c r="O81" s="105">
        <f t="shared" si="6"/>
        <v>-91042</v>
      </c>
      <c r="P81" s="105">
        <f t="shared" si="6"/>
        <v>13766</v>
      </c>
      <c r="Q81" s="105">
        <f t="shared" si="6"/>
        <v>19771</v>
      </c>
      <c r="R81" s="105">
        <f>R79-R78</f>
        <v>-51770</v>
      </c>
      <c r="S81" s="105">
        <f t="shared" si="6"/>
        <v>-16177</v>
      </c>
      <c r="T81" s="105">
        <f t="shared" si="6"/>
        <v>53397</v>
      </c>
      <c r="U81" s="105">
        <f t="shared" si="6"/>
        <v>100393</v>
      </c>
      <c r="V81" s="105">
        <f t="shared" si="6"/>
        <v>-101189</v>
      </c>
      <c r="W81" s="105">
        <f t="shared" si="6"/>
        <v>36424</v>
      </c>
      <c r="X81" s="105">
        <f t="shared" si="6"/>
        <v>3103</v>
      </c>
      <c r="Y81" s="105">
        <f t="shared" si="6"/>
        <v>-4185</v>
      </c>
      <c r="Z81" s="105">
        <f t="shared" si="6"/>
        <v>27403</v>
      </c>
      <c r="AA81" s="105">
        <f t="shared" si="6"/>
        <v>2542</v>
      </c>
      <c r="AB81" s="105">
        <f t="shared" si="6"/>
        <v>28863</v>
      </c>
    </row>
    <row r="82" spans="1:28" ht="15" thickTop="1">
      <c r="A82" s="21"/>
      <c r="B82" s="17"/>
      <c r="C82" s="17"/>
    </row>
    <row r="83" spans="1:28">
      <c r="A83" s="21"/>
      <c r="B83" s="46"/>
      <c r="C83" s="46"/>
      <c r="N83" s="54"/>
    </row>
    <row r="84" spans="1:28">
      <c r="A84" s="21"/>
      <c r="O84" s="18"/>
      <c r="P84" s="18"/>
      <c r="Q84" s="18"/>
    </row>
    <row r="85" spans="1:28">
      <c r="A85" s="21"/>
    </row>
    <row r="86" spans="1:28">
      <c r="A86" s="21"/>
      <c r="O86" s="3"/>
      <c r="Q86" s="3"/>
    </row>
    <row r="87" spans="1:28">
      <c r="A87" s="21"/>
    </row>
    <row r="88" spans="1:28">
      <c r="A88" s="21"/>
    </row>
    <row r="89" spans="1:28">
      <c r="A89" s="21"/>
    </row>
    <row r="90" spans="1:28">
      <c r="A90" s="21"/>
    </row>
    <row r="91" spans="1:28">
      <c r="A91" s="21"/>
    </row>
    <row r="92" spans="1:28">
      <c r="A92" s="21"/>
    </row>
    <row r="93" spans="1:28">
      <c r="A93" s="21"/>
    </row>
    <row r="94" spans="1:28">
      <c r="A94" s="21"/>
    </row>
    <row r="95" spans="1:28">
      <c r="A95" s="21"/>
    </row>
    <row r="96" spans="1:28">
      <c r="A96" s="21"/>
    </row>
    <row r="97" spans="1:1">
      <c r="A97" s="21"/>
    </row>
    <row r="98" spans="1:1">
      <c r="A98" s="21"/>
    </row>
    <row r="102" spans="1:1">
      <c r="A102" s="21"/>
    </row>
    <row r="103" spans="1:1">
      <c r="A103" s="21"/>
    </row>
    <row r="104" spans="1:1">
      <c r="A104" s="21"/>
    </row>
    <row r="105" spans="1:1">
      <c r="A105" s="21"/>
    </row>
    <row r="106" spans="1:1">
      <c r="A106" s="21"/>
    </row>
    <row r="107" spans="1:1">
      <c r="A107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/>
  <dimension ref="A1:J104"/>
  <sheetViews>
    <sheetView showGridLines="0" zoomScale="60" zoomScaleNormal="60" workbookViewId="0">
      <pane xSplit="3" ySplit="7" topLeftCell="D8" activePane="bottomRight" state="frozen"/>
      <selection activeCell="D47" sqref="D47"/>
      <selection pane="topRight" activeCell="D47" sqref="D47"/>
      <selection pane="bottomLeft" activeCell="D47" sqref="D47"/>
      <selection pane="bottomRight" activeCell="L14" sqref="L14"/>
    </sheetView>
  </sheetViews>
  <sheetFormatPr defaultRowHeight="14.5"/>
  <cols>
    <col min="1" max="1" width="1.54296875" style="1" customWidth="1"/>
    <col min="2" max="3" width="60.1796875" style="6" customWidth="1"/>
    <col min="4" max="4" width="9.26953125" style="6" bestFit="1" customWidth="1"/>
    <col min="5" max="6" width="10" style="6" bestFit="1" customWidth="1"/>
    <col min="7" max="7" width="9.26953125" style="6" bestFit="1" customWidth="1"/>
    <col min="8" max="8" width="10" style="6" bestFit="1" customWidth="1"/>
  </cols>
  <sheetData>
    <row r="1" spans="1:9" s="21" customFormat="1" ht="8.25" customHeight="1">
      <c r="B1" s="9"/>
      <c r="C1" s="9"/>
      <c r="D1" s="9"/>
      <c r="E1" s="9"/>
      <c r="F1" s="9"/>
      <c r="G1" s="9"/>
      <c r="H1" s="9"/>
      <c r="I1" s="9"/>
    </row>
    <row r="2" spans="1:9">
      <c r="A2" s="21"/>
    </row>
    <row r="3" spans="1:9">
      <c r="A3" s="21"/>
    </row>
    <row r="4" spans="1:9">
      <c r="A4" s="21"/>
    </row>
    <row r="5" spans="1:9">
      <c r="A5" s="21"/>
    </row>
    <row r="6" spans="1:9">
      <c r="A6" s="21"/>
      <c r="B6" s="101"/>
      <c r="C6" s="101"/>
      <c r="D6" s="102" t="s">
        <v>707</v>
      </c>
      <c r="E6" s="102" t="s">
        <v>708</v>
      </c>
      <c r="F6" s="102" t="s">
        <v>709</v>
      </c>
      <c r="G6" s="102" t="s">
        <v>710</v>
      </c>
      <c r="H6" s="102">
        <v>2015</v>
      </c>
    </row>
    <row r="7" spans="1:9" ht="16.5" customHeight="1">
      <c r="A7" s="21"/>
      <c r="B7" s="101"/>
      <c r="C7" s="101"/>
      <c r="D7" s="102" t="s">
        <v>58</v>
      </c>
      <c r="E7" s="102" t="s">
        <v>59</v>
      </c>
      <c r="F7" s="102" t="s">
        <v>60</v>
      </c>
      <c r="G7" s="102" t="s">
        <v>62</v>
      </c>
      <c r="H7" s="102">
        <v>2015</v>
      </c>
    </row>
    <row r="8" spans="1:9">
      <c r="A8" s="21"/>
      <c r="B8" s="48"/>
      <c r="C8" s="48"/>
    </row>
    <row r="9" spans="1:9">
      <c r="A9" s="21"/>
      <c r="B9" s="49" t="s">
        <v>144</v>
      </c>
      <c r="C9" s="49" t="s">
        <v>536</v>
      </c>
      <c r="D9" s="50">
        <v>53366</v>
      </c>
      <c r="E9" s="50">
        <v>36385</v>
      </c>
      <c r="F9" s="50">
        <v>67880</v>
      </c>
      <c r="G9" s="50">
        <v>21828</v>
      </c>
      <c r="H9" s="50">
        <f>SUM(D9:G9)</f>
        <v>179459</v>
      </c>
    </row>
    <row r="10" spans="1:9" ht="29">
      <c r="A10" s="21"/>
      <c r="B10" s="17" t="s">
        <v>145</v>
      </c>
      <c r="C10" s="17" t="s">
        <v>483</v>
      </c>
      <c r="D10" s="3"/>
      <c r="E10" s="3"/>
      <c r="F10" s="3"/>
      <c r="G10" s="3"/>
    </row>
    <row r="11" spans="1:9">
      <c r="A11" s="21"/>
      <c r="B11" s="17" t="s">
        <v>146</v>
      </c>
      <c r="C11" s="17" t="s">
        <v>484</v>
      </c>
      <c r="D11" s="3">
        <v>14252</v>
      </c>
      <c r="E11" s="3">
        <v>17365</v>
      </c>
      <c r="F11" s="3">
        <v>16278</v>
      </c>
      <c r="G11" s="3">
        <v>17333</v>
      </c>
      <c r="H11" s="3">
        <f t="shared" ref="H11:H41" si="0">SUM(D11:G11)</f>
        <v>65228</v>
      </c>
    </row>
    <row r="12" spans="1:9">
      <c r="A12" s="21"/>
      <c r="B12" s="17" t="s">
        <v>147</v>
      </c>
      <c r="C12" s="17" t="s">
        <v>485</v>
      </c>
      <c r="D12" s="3">
        <v>433</v>
      </c>
      <c r="E12" s="3">
        <v>1804</v>
      </c>
      <c r="F12" s="3">
        <v>2200</v>
      </c>
      <c r="G12" s="3">
        <v>12160</v>
      </c>
      <c r="H12" s="3">
        <f t="shared" si="0"/>
        <v>16597</v>
      </c>
    </row>
    <row r="13" spans="1:9">
      <c r="B13" s="17" t="s">
        <v>148</v>
      </c>
      <c r="C13" s="17" t="s">
        <v>486</v>
      </c>
      <c r="D13" s="3">
        <v>3955</v>
      </c>
      <c r="E13" s="3">
        <v>3432</v>
      </c>
      <c r="F13" s="3">
        <v>5279</v>
      </c>
      <c r="G13" s="3">
        <v>9737</v>
      </c>
      <c r="H13" s="3">
        <f t="shared" si="0"/>
        <v>22403</v>
      </c>
    </row>
    <row r="14" spans="1:9">
      <c r="A14" s="21"/>
      <c r="B14" s="51" t="s">
        <v>211</v>
      </c>
      <c r="C14" s="51" t="s">
        <v>487</v>
      </c>
      <c r="D14" s="3">
        <v>1110</v>
      </c>
      <c r="E14" s="3">
        <v>-1800</v>
      </c>
      <c r="F14" s="3">
        <v>4844</v>
      </c>
      <c r="G14" s="3">
        <v>-471</v>
      </c>
      <c r="H14" s="3">
        <f>SUM(D14:G14)</f>
        <v>3683</v>
      </c>
    </row>
    <row r="15" spans="1:9">
      <c r="A15" s="21"/>
      <c r="B15" s="17" t="s">
        <v>150</v>
      </c>
      <c r="C15" s="17" t="s">
        <v>488</v>
      </c>
      <c r="D15" s="3">
        <v>-342</v>
      </c>
      <c r="E15" s="3">
        <v>201</v>
      </c>
      <c r="F15" s="3">
        <v>925</v>
      </c>
      <c r="G15" s="3">
        <v>1731</v>
      </c>
      <c r="H15" s="3">
        <f t="shared" si="0"/>
        <v>2515</v>
      </c>
    </row>
    <row r="16" spans="1:9">
      <c r="A16" s="21"/>
      <c r="B16" s="17" t="s">
        <v>212</v>
      </c>
      <c r="C16" s="17" t="s">
        <v>489</v>
      </c>
      <c r="D16" s="3">
        <v>0</v>
      </c>
      <c r="E16" s="3">
        <v>0</v>
      </c>
      <c r="F16" s="3">
        <v>0</v>
      </c>
      <c r="G16" s="3">
        <v>-9000</v>
      </c>
      <c r="H16" s="3">
        <f t="shared" si="0"/>
        <v>-9000</v>
      </c>
    </row>
    <row r="17" spans="1:8">
      <c r="A17" s="21"/>
      <c r="B17" s="17" t="s">
        <v>2</v>
      </c>
      <c r="C17" s="17" t="s">
        <v>435</v>
      </c>
      <c r="D17" s="3">
        <v>0</v>
      </c>
      <c r="E17" s="3"/>
      <c r="F17" s="3">
        <v>0</v>
      </c>
      <c r="G17" s="3">
        <v>0</v>
      </c>
      <c r="H17" s="3">
        <f t="shared" si="0"/>
        <v>0</v>
      </c>
    </row>
    <row r="18" spans="1:8">
      <c r="A18" s="21"/>
      <c r="B18" s="17" t="s">
        <v>213</v>
      </c>
      <c r="C18" s="17" t="s">
        <v>490</v>
      </c>
      <c r="D18" s="3">
        <v>0</v>
      </c>
      <c r="E18" s="3"/>
      <c r="F18" s="3">
        <v>0</v>
      </c>
      <c r="G18" s="3">
        <v>0</v>
      </c>
      <c r="H18" s="3">
        <f t="shared" si="0"/>
        <v>0</v>
      </c>
    </row>
    <row r="19" spans="1:8">
      <c r="A19" s="21"/>
      <c r="B19" s="17" t="s">
        <v>154</v>
      </c>
      <c r="C19" s="17" t="s">
        <v>491</v>
      </c>
      <c r="D19" s="3">
        <v>-911</v>
      </c>
      <c r="E19" s="3">
        <v>-731</v>
      </c>
      <c r="F19" s="3">
        <v>-585</v>
      </c>
      <c r="G19" s="3">
        <v>-3218</v>
      </c>
      <c r="H19" s="3">
        <f t="shared" si="0"/>
        <v>-5445</v>
      </c>
    </row>
    <row r="20" spans="1:8">
      <c r="A20" s="21"/>
      <c r="B20" s="17" t="s">
        <v>215</v>
      </c>
      <c r="C20" s="17" t="s">
        <v>492</v>
      </c>
      <c r="D20" s="3">
        <v>8930</v>
      </c>
      <c r="E20" s="3">
        <v>11345</v>
      </c>
      <c r="F20" s="3">
        <v>13118</v>
      </c>
      <c r="G20" s="3">
        <v>14129</v>
      </c>
      <c r="H20" s="3">
        <f t="shared" si="0"/>
        <v>47522</v>
      </c>
    </row>
    <row r="21" spans="1:8">
      <c r="A21" s="21"/>
      <c r="B21" s="17" t="s">
        <v>160</v>
      </c>
      <c r="C21" s="17" t="s">
        <v>493</v>
      </c>
      <c r="D21" s="3">
        <v>0</v>
      </c>
      <c r="E21" s="3" t="s">
        <v>85</v>
      </c>
      <c r="F21" s="3">
        <v>0</v>
      </c>
      <c r="G21" s="3">
        <v>0</v>
      </c>
      <c r="H21" s="3">
        <f t="shared" si="0"/>
        <v>0</v>
      </c>
    </row>
    <row r="22" spans="1:8">
      <c r="A22" s="21"/>
      <c r="B22" s="17" t="s">
        <v>50</v>
      </c>
      <c r="C22" s="17" t="s">
        <v>450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</row>
    <row r="23" spans="1:8">
      <c r="A23" s="21"/>
      <c r="B23" s="17" t="s">
        <v>216</v>
      </c>
      <c r="C23" s="17" t="s">
        <v>494</v>
      </c>
      <c r="D23" s="3">
        <v>1154</v>
      </c>
      <c r="E23" s="3">
        <v>989</v>
      </c>
      <c r="F23" s="3">
        <v>680</v>
      </c>
      <c r="G23" s="3">
        <v>788</v>
      </c>
      <c r="H23" s="3">
        <f t="shared" si="0"/>
        <v>3611</v>
      </c>
    </row>
    <row r="24" spans="1:8">
      <c r="A24" s="21"/>
      <c r="B24" s="17" t="s">
        <v>159</v>
      </c>
      <c r="C24" s="17" t="s">
        <v>495</v>
      </c>
      <c r="D24" s="3">
        <v>0</v>
      </c>
      <c r="E24" s="3">
        <v>-6804</v>
      </c>
      <c r="F24" s="3">
        <v>-20540</v>
      </c>
      <c r="G24" s="3">
        <v>3204</v>
      </c>
      <c r="H24" s="3">
        <f t="shared" si="0"/>
        <v>-24140</v>
      </c>
    </row>
    <row r="25" spans="1:8">
      <c r="A25" s="21"/>
      <c r="B25" s="17" t="s">
        <v>217</v>
      </c>
      <c r="C25" s="17" t="s">
        <v>496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</row>
    <row r="26" spans="1:8">
      <c r="A26" s="21"/>
      <c r="B26" s="103" t="s">
        <v>164</v>
      </c>
      <c r="C26" s="103" t="s">
        <v>497</v>
      </c>
      <c r="D26" s="105">
        <f>SUM(D9:D25)</f>
        <v>81947</v>
      </c>
      <c r="E26" s="105">
        <f>SUM(E9:E25)</f>
        <v>62186</v>
      </c>
      <c r="F26" s="105">
        <f>SUM(F9:F25)</f>
        <v>90079</v>
      </c>
      <c r="G26" s="105">
        <f>SUM(G9:G25)</f>
        <v>68221</v>
      </c>
      <c r="H26" s="105">
        <f t="shared" si="0"/>
        <v>302433</v>
      </c>
    </row>
    <row r="27" spans="1:8">
      <c r="A27" s="21"/>
      <c r="B27" s="17"/>
      <c r="C27" s="17"/>
    </row>
    <row r="28" spans="1:8">
      <c r="A28" s="21"/>
      <c r="B28" s="17" t="s">
        <v>45</v>
      </c>
      <c r="C28" s="17" t="s">
        <v>498</v>
      </c>
      <c r="D28" s="3">
        <v>-12689</v>
      </c>
      <c r="E28" s="3">
        <v>-5665</v>
      </c>
      <c r="F28" s="3">
        <v>-3491</v>
      </c>
      <c r="G28" s="3">
        <v>17682</v>
      </c>
      <c r="H28" s="3">
        <f t="shared" si="0"/>
        <v>-4163</v>
      </c>
    </row>
    <row r="29" spans="1:8">
      <c r="A29" s="21"/>
      <c r="B29" s="17" t="s">
        <v>219</v>
      </c>
      <c r="C29" s="17" t="s">
        <v>420</v>
      </c>
      <c r="D29" s="3">
        <v>0</v>
      </c>
      <c r="E29" s="3">
        <v>0</v>
      </c>
      <c r="F29" s="3">
        <v>0</v>
      </c>
      <c r="G29" s="3">
        <v>-9314</v>
      </c>
      <c r="H29" s="3">
        <f t="shared" si="0"/>
        <v>-9314</v>
      </c>
    </row>
    <row r="30" spans="1:8">
      <c r="A30" s="21"/>
      <c r="B30" s="17" t="s">
        <v>28</v>
      </c>
      <c r="C30" s="17" t="s">
        <v>423</v>
      </c>
      <c r="D30" s="3">
        <v>-1263</v>
      </c>
      <c r="E30" s="3">
        <v>-8393</v>
      </c>
      <c r="F30" s="3">
        <v>429</v>
      </c>
      <c r="G30" s="3">
        <v>-4603</v>
      </c>
      <c r="H30" s="3">
        <f t="shared" si="0"/>
        <v>-13830</v>
      </c>
    </row>
    <row r="31" spans="1:8">
      <c r="A31" s="21"/>
      <c r="B31" s="17" t="s">
        <v>1</v>
      </c>
      <c r="C31" s="17" t="s">
        <v>424</v>
      </c>
      <c r="D31" s="3">
        <v>-15293</v>
      </c>
      <c r="E31" s="3">
        <v>-23303</v>
      </c>
      <c r="F31" s="3">
        <v>19514</v>
      </c>
      <c r="G31" s="3">
        <v>7660</v>
      </c>
      <c r="H31" s="3">
        <f t="shared" si="0"/>
        <v>-11422</v>
      </c>
    </row>
    <row r="32" spans="1:8">
      <c r="A32" s="21"/>
      <c r="B32" s="17" t="s">
        <v>3</v>
      </c>
      <c r="C32" s="17" t="s">
        <v>434</v>
      </c>
      <c r="D32" s="3">
        <v>-328</v>
      </c>
      <c r="E32" s="3">
        <v>341</v>
      </c>
      <c r="F32" s="3">
        <v>-4720</v>
      </c>
      <c r="G32" s="3">
        <v>2787</v>
      </c>
      <c r="H32" s="3">
        <f t="shared" si="0"/>
        <v>-1920</v>
      </c>
    </row>
    <row r="33" spans="1:8">
      <c r="A33" s="21"/>
      <c r="B33" s="17" t="s">
        <v>27</v>
      </c>
      <c r="C33" s="17" t="s">
        <v>426</v>
      </c>
      <c r="D33" s="3">
        <v>3059</v>
      </c>
      <c r="E33" s="3">
        <v>1267</v>
      </c>
      <c r="F33" s="3">
        <v>9059</v>
      </c>
      <c r="G33" s="3">
        <v>-13481</v>
      </c>
      <c r="H33" s="3">
        <f t="shared" si="0"/>
        <v>-96</v>
      </c>
    </row>
    <row r="34" spans="1:8">
      <c r="A34" s="21"/>
      <c r="B34" s="17" t="s">
        <v>31</v>
      </c>
      <c r="C34" s="17" t="s">
        <v>443</v>
      </c>
      <c r="D34" s="3">
        <v>8452</v>
      </c>
      <c r="E34" s="3">
        <v>-1133</v>
      </c>
      <c r="F34" s="3">
        <v>-10207</v>
      </c>
      <c r="G34" s="3">
        <v>37187</v>
      </c>
      <c r="H34" s="3">
        <f t="shared" si="0"/>
        <v>34299</v>
      </c>
    </row>
    <row r="35" spans="1:8">
      <c r="A35" s="21"/>
      <c r="B35" s="17" t="s">
        <v>32</v>
      </c>
      <c r="C35" s="17" t="s">
        <v>445</v>
      </c>
      <c r="D35" s="3">
        <v>-176</v>
      </c>
      <c r="E35" s="3">
        <v>5585</v>
      </c>
      <c r="F35" s="3">
        <v>13994</v>
      </c>
      <c r="G35" s="3">
        <v>-11877</v>
      </c>
      <c r="H35" s="3">
        <f t="shared" si="0"/>
        <v>7526</v>
      </c>
    </row>
    <row r="36" spans="1:8">
      <c r="A36" s="21"/>
      <c r="B36" s="17" t="s">
        <v>41</v>
      </c>
      <c r="C36" s="17" t="s">
        <v>446</v>
      </c>
      <c r="D36" s="3">
        <v>-1726</v>
      </c>
      <c r="E36" s="3">
        <v>2156</v>
      </c>
      <c r="F36" s="3">
        <v>-9096</v>
      </c>
      <c r="G36" s="3">
        <v>444</v>
      </c>
      <c r="H36" s="3">
        <f t="shared" si="0"/>
        <v>-8222</v>
      </c>
    </row>
    <row r="37" spans="1:8">
      <c r="A37" s="21"/>
      <c r="B37" s="17" t="s">
        <v>165</v>
      </c>
      <c r="C37" s="17" t="s">
        <v>499</v>
      </c>
      <c r="D37" s="3">
        <v>-8591</v>
      </c>
      <c r="E37" s="3">
        <v>-13775</v>
      </c>
      <c r="F37" s="3">
        <v>-11704</v>
      </c>
      <c r="G37" s="3">
        <v>-10771</v>
      </c>
      <c r="H37" s="3">
        <f t="shared" si="0"/>
        <v>-44841</v>
      </c>
    </row>
    <row r="38" spans="1:8">
      <c r="A38" s="21"/>
      <c r="B38" s="17" t="s">
        <v>34</v>
      </c>
      <c r="C38" s="17" t="s">
        <v>451</v>
      </c>
      <c r="D38" s="3">
        <v>-8680</v>
      </c>
      <c r="E38" s="3">
        <v>15585</v>
      </c>
      <c r="F38" s="3">
        <v>-3783</v>
      </c>
      <c r="G38" s="3">
        <v>-22683</v>
      </c>
      <c r="H38" s="3">
        <f t="shared" si="0"/>
        <v>-19561</v>
      </c>
    </row>
    <row r="39" spans="1:8">
      <c r="B39" s="103" t="s">
        <v>169</v>
      </c>
      <c r="C39" s="103" t="s">
        <v>500</v>
      </c>
      <c r="D39" s="105">
        <f>SUM(D28:D38)</f>
        <v>-37235</v>
      </c>
      <c r="E39" s="105">
        <f>SUM(E28:E38)</f>
        <v>-27335</v>
      </c>
      <c r="F39" s="105">
        <f>SUM(F28:F38)</f>
        <v>-5</v>
      </c>
      <c r="G39" s="105">
        <f>SUM(G28:G38)</f>
        <v>-6969</v>
      </c>
      <c r="H39" s="105">
        <f t="shared" si="0"/>
        <v>-71544</v>
      </c>
    </row>
    <row r="40" spans="1:8">
      <c r="A40" s="21"/>
      <c r="B40" s="17"/>
      <c r="C40" s="17"/>
    </row>
    <row r="41" spans="1:8">
      <c r="A41" s="21"/>
      <c r="B41" s="103" t="s">
        <v>170</v>
      </c>
      <c r="C41" s="103" t="s">
        <v>170</v>
      </c>
      <c r="D41" s="105">
        <f>D26+D39</f>
        <v>44712</v>
      </c>
      <c r="E41" s="105">
        <f>E26+E39</f>
        <v>34851</v>
      </c>
      <c r="F41" s="105">
        <f>F26+F39</f>
        <v>90074</v>
      </c>
      <c r="G41" s="105">
        <f>G26+G39</f>
        <v>61252</v>
      </c>
      <c r="H41" s="105">
        <f t="shared" si="0"/>
        <v>230889</v>
      </c>
    </row>
    <row r="42" spans="1:8">
      <c r="A42" s="21"/>
      <c r="B42" s="17"/>
      <c r="C42" s="17"/>
    </row>
    <row r="43" spans="1:8">
      <c r="A43" s="21"/>
      <c r="B43" s="48" t="s">
        <v>171</v>
      </c>
      <c r="C43" s="48" t="s">
        <v>502</v>
      </c>
    </row>
    <row r="44" spans="1:8">
      <c r="A44" s="21"/>
      <c r="B44" s="17" t="s">
        <v>172</v>
      </c>
      <c r="C44" s="17" t="s">
        <v>503</v>
      </c>
      <c r="D44" s="3">
        <v>-14016</v>
      </c>
      <c r="E44" s="3">
        <v>-18979</v>
      </c>
      <c r="F44" s="3">
        <v>-15411</v>
      </c>
      <c r="G44" s="3">
        <v>-18141</v>
      </c>
      <c r="H44" s="3">
        <f t="shared" ref="H44:H60" si="1">SUM(D44:G44)</f>
        <v>-66547</v>
      </c>
    </row>
    <row r="45" spans="1:8">
      <c r="A45" s="21"/>
      <c r="B45" s="17" t="s">
        <v>173</v>
      </c>
      <c r="C45" s="17" t="s">
        <v>504</v>
      </c>
      <c r="D45" s="3">
        <v>-5926</v>
      </c>
      <c r="E45" s="3">
        <v>-3797</v>
      </c>
      <c r="F45" s="3">
        <v>-10064</v>
      </c>
      <c r="G45" s="3">
        <v>-17399</v>
      </c>
      <c r="H45" s="3">
        <f t="shared" si="1"/>
        <v>-37186</v>
      </c>
    </row>
    <row r="46" spans="1:8">
      <c r="A46" s="21"/>
      <c r="B46" s="51" t="s">
        <v>221</v>
      </c>
      <c r="C46" s="51" t="s">
        <v>537</v>
      </c>
      <c r="D46" s="3"/>
      <c r="E46" s="3"/>
      <c r="F46" s="3">
        <v>-394551</v>
      </c>
      <c r="G46" s="3">
        <v>394551</v>
      </c>
      <c r="H46" s="3">
        <f t="shared" si="1"/>
        <v>0</v>
      </c>
    </row>
    <row r="47" spans="1:8">
      <c r="A47" s="21"/>
      <c r="B47" s="17" t="s">
        <v>222</v>
      </c>
      <c r="C47" s="17" t="s">
        <v>505</v>
      </c>
      <c r="D47" s="3">
        <v>1780</v>
      </c>
      <c r="E47" s="3">
        <v>1293</v>
      </c>
      <c r="F47" s="3">
        <v>0</v>
      </c>
      <c r="G47" s="3">
        <v>1328</v>
      </c>
      <c r="H47" s="3">
        <f t="shared" si="1"/>
        <v>4401</v>
      </c>
    </row>
    <row r="48" spans="1:8">
      <c r="A48" s="21"/>
      <c r="B48" s="17" t="s">
        <v>223</v>
      </c>
      <c r="C48" s="17" t="s">
        <v>506</v>
      </c>
      <c r="D48" s="3">
        <v>0</v>
      </c>
      <c r="E48" s="3">
        <v>0</v>
      </c>
      <c r="F48" s="3">
        <v>0</v>
      </c>
      <c r="G48" s="3">
        <v>0</v>
      </c>
      <c r="H48" s="3">
        <f t="shared" si="1"/>
        <v>0</v>
      </c>
    </row>
    <row r="49" spans="1:8">
      <c r="A49" s="21"/>
      <c r="B49" s="17" t="s">
        <v>224</v>
      </c>
      <c r="C49" s="17" t="s">
        <v>507</v>
      </c>
      <c r="D49" s="3">
        <v>0</v>
      </c>
      <c r="E49" s="3">
        <v>0</v>
      </c>
      <c r="F49" s="3">
        <v>0</v>
      </c>
      <c r="G49" s="3">
        <v>0</v>
      </c>
      <c r="H49" s="3">
        <f t="shared" si="1"/>
        <v>0</v>
      </c>
    </row>
    <row r="50" spans="1:8">
      <c r="A50" s="21"/>
      <c r="B50" s="17" t="s">
        <v>225</v>
      </c>
      <c r="C50" s="17" t="s">
        <v>508</v>
      </c>
      <c r="D50" s="3">
        <v>0</v>
      </c>
      <c r="E50" s="3">
        <v>0</v>
      </c>
      <c r="F50" s="3">
        <v>0</v>
      </c>
      <c r="G50" s="3">
        <v>0</v>
      </c>
      <c r="H50" s="3">
        <f t="shared" si="1"/>
        <v>0</v>
      </c>
    </row>
    <row r="51" spans="1:8">
      <c r="A51" s="21"/>
      <c r="B51" s="17" t="s">
        <v>226</v>
      </c>
      <c r="C51" s="17" t="s">
        <v>538</v>
      </c>
      <c r="D51" s="3">
        <v>0</v>
      </c>
      <c r="E51" s="3">
        <v>0</v>
      </c>
      <c r="F51" s="3">
        <v>0</v>
      </c>
      <c r="G51" s="3">
        <v>-280</v>
      </c>
      <c r="H51" s="3">
        <f t="shared" si="1"/>
        <v>-280</v>
      </c>
    </row>
    <row r="52" spans="1:8">
      <c r="A52" s="21"/>
      <c r="B52" s="17" t="s">
        <v>227</v>
      </c>
      <c r="C52" s="17" t="s">
        <v>539</v>
      </c>
      <c r="D52" s="3">
        <v>0</v>
      </c>
      <c r="E52" s="3">
        <v>0</v>
      </c>
      <c r="F52" s="3">
        <v>0</v>
      </c>
      <c r="G52" s="3">
        <v>-1120</v>
      </c>
      <c r="H52" s="3">
        <f t="shared" si="1"/>
        <v>-1120</v>
      </c>
    </row>
    <row r="53" spans="1:8">
      <c r="A53" s="21"/>
      <c r="B53" s="17" t="s">
        <v>228</v>
      </c>
      <c r="C53" s="17" t="s">
        <v>540</v>
      </c>
      <c r="D53" s="3">
        <v>0</v>
      </c>
      <c r="E53" s="3">
        <v>0</v>
      </c>
      <c r="F53" s="3">
        <v>0</v>
      </c>
      <c r="G53" s="3">
        <v>-338506</v>
      </c>
      <c r="H53" s="3">
        <f t="shared" si="1"/>
        <v>-338506</v>
      </c>
    </row>
    <row r="54" spans="1:8">
      <c r="B54" s="17" t="s">
        <v>229</v>
      </c>
      <c r="C54" s="17" t="s">
        <v>509</v>
      </c>
      <c r="D54" s="3">
        <v>0</v>
      </c>
      <c r="E54" s="3">
        <v>0</v>
      </c>
      <c r="F54" s="3">
        <v>0</v>
      </c>
      <c r="G54" s="3">
        <v>0</v>
      </c>
      <c r="H54" s="3">
        <f t="shared" si="1"/>
        <v>0</v>
      </c>
    </row>
    <row r="55" spans="1:8">
      <c r="A55" s="21"/>
      <c r="B55" s="17" t="s">
        <v>230</v>
      </c>
      <c r="C55" s="17" t="s">
        <v>510</v>
      </c>
      <c r="D55" s="3">
        <v>0</v>
      </c>
      <c r="E55" s="3">
        <v>0</v>
      </c>
      <c r="F55" s="3">
        <v>0</v>
      </c>
      <c r="G55" s="3">
        <v>0</v>
      </c>
      <c r="H55" s="3">
        <f t="shared" si="1"/>
        <v>0</v>
      </c>
    </row>
    <row r="56" spans="1:8">
      <c r="A56" s="21"/>
      <c r="B56" s="17" t="s">
        <v>231</v>
      </c>
      <c r="C56" s="17" t="s">
        <v>511</v>
      </c>
      <c r="D56" s="3">
        <v>-22297</v>
      </c>
      <c r="E56" s="3">
        <v>0</v>
      </c>
      <c r="F56" s="3">
        <v>0</v>
      </c>
      <c r="G56" s="3">
        <v>0</v>
      </c>
      <c r="H56" s="3">
        <f t="shared" si="1"/>
        <v>-22297</v>
      </c>
    </row>
    <row r="57" spans="1:8">
      <c r="A57" s="21"/>
      <c r="B57" s="17" t="s">
        <v>232</v>
      </c>
      <c r="C57" s="17" t="s">
        <v>512</v>
      </c>
      <c r="D57" s="3">
        <v>0</v>
      </c>
      <c r="E57" s="3">
        <v>0</v>
      </c>
      <c r="F57" s="3">
        <v>0</v>
      </c>
      <c r="G57" s="3">
        <v>0</v>
      </c>
      <c r="H57" s="3">
        <f t="shared" si="1"/>
        <v>0</v>
      </c>
    </row>
    <row r="58" spans="1:8">
      <c r="A58" s="21"/>
      <c r="B58" s="17" t="s">
        <v>233</v>
      </c>
      <c r="C58" s="17" t="s">
        <v>513</v>
      </c>
      <c r="D58" s="3">
        <v>0</v>
      </c>
      <c r="E58" s="3">
        <v>0</v>
      </c>
      <c r="F58" s="3">
        <v>0</v>
      </c>
      <c r="G58" s="3">
        <v>0</v>
      </c>
      <c r="H58" s="3">
        <f t="shared" si="1"/>
        <v>0</v>
      </c>
    </row>
    <row r="59" spans="1:8">
      <c r="A59" s="21"/>
      <c r="B59" s="28" t="s">
        <v>234</v>
      </c>
      <c r="C59" s="28" t="s">
        <v>514</v>
      </c>
      <c r="D59" s="3">
        <v>0</v>
      </c>
      <c r="E59" s="3">
        <v>-123465</v>
      </c>
      <c r="F59" s="3">
        <v>0</v>
      </c>
      <c r="G59" s="3">
        <v>0</v>
      </c>
      <c r="H59" s="3">
        <f t="shared" si="1"/>
        <v>-123465</v>
      </c>
    </row>
    <row r="60" spans="1:8">
      <c r="A60" s="21"/>
      <c r="B60" s="103" t="s">
        <v>186</v>
      </c>
      <c r="C60" s="103" t="s">
        <v>515</v>
      </c>
      <c r="D60" s="105">
        <f>SUM(D44:D59)</f>
        <v>-40459</v>
      </c>
      <c r="E60" s="105">
        <f>SUM(E44:E59)</f>
        <v>-144948</v>
      </c>
      <c r="F60" s="105">
        <f>SUM(F44:F59)</f>
        <v>-420026</v>
      </c>
      <c r="G60" s="105">
        <f>SUM(G44:G59)</f>
        <v>20433</v>
      </c>
      <c r="H60" s="105">
        <f t="shared" si="1"/>
        <v>-585000</v>
      </c>
    </row>
    <row r="61" spans="1:8">
      <c r="A61" s="21"/>
      <c r="B61" s="17"/>
      <c r="C61" s="17"/>
    </row>
    <row r="62" spans="1:8">
      <c r="A62" s="21"/>
      <c r="B62" s="48" t="s">
        <v>187</v>
      </c>
      <c r="C62" s="48" t="s">
        <v>516</v>
      </c>
    </row>
    <row r="63" spans="1:8">
      <c r="A63" s="21"/>
      <c r="B63" s="17" t="s">
        <v>188</v>
      </c>
      <c r="C63" s="17" t="s">
        <v>517</v>
      </c>
      <c r="D63" s="3">
        <v>-4830</v>
      </c>
      <c r="E63" s="3">
        <v>-10238</v>
      </c>
      <c r="F63" s="3">
        <v>-8853</v>
      </c>
      <c r="G63" s="3">
        <v>-6541</v>
      </c>
      <c r="H63" s="3">
        <f t="shared" ref="H63:H82" si="2">SUM(D63:G63)</f>
        <v>-30462</v>
      </c>
    </row>
    <row r="64" spans="1:8">
      <c r="A64" s="21"/>
      <c r="B64" s="17" t="s">
        <v>190</v>
      </c>
      <c r="C64" s="17" t="s">
        <v>518</v>
      </c>
      <c r="D64" s="3">
        <v>-10900</v>
      </c>
      <c r="E64" s="3">
        <v>-2064</v>
      </c>
      <c r="F64" s="3">
        <v>-4862</v>
      </c>
      <c r="G64" s="3">
        <v>-11773</v>
      </c>
      <c r="H64" s="3">
        <f t="shared" si="2"/>
        <v>-29599</v>
      </c>
    </row>
    <row r="65" spans="1:8">
      <c r="A65" s="21"/>
      <c r="B65" s="51" t="s">
        <v>235</v>
      </c>
      <c r="C65" s="51" t="s">
        <v>541</v>
      </c>
      <c r="D65" s="3"/>
      <c r="E65" s="3"/>
      <c r="F65" s="3">
        <v>-2065</v>
      </c>
      <c r="G65" s="3">
        <v>-2575</v>
      </c>
      <c r="H65" s="3">
        <f t="shared" si="2"/>
        <v>-4640</v>
      </c>
    </row>
    <row r="66" spans="1:8">
      <c r="A66" s="21"/>
      <c r="B66" s="51" t="s">
        <v>236</v>
      </c>
      <c r="C66" s="51" t="s">
        <v>542</v>
      </c>
      <c r="D66" s="3"/>
      <c r="E66" s="3"/>
      <c r="F66" s="3">
        <v>386243</v>
      </c>
      <c r="G66" s="3">
        <v>-5423</v>
      </c>
      <c r="H66" s="3">
        <f t="shared" si="2"/>
        <v>380820</v>
      </c>
    </row>
    <row r="67" spans="1:8">
      <c r="A67" s="21"/>
      <c r="B67" s="17" t="s">
        <v>191</v>
      </c>
      <c r="C67" s="17" t="s">
        <v>519</v>
      </c>
      <c r="D67" s="3">
        <v>0</v>
      </c>
      <c r="E67" s="3">
        <v>0</v>
      </c>
      <c r="F67" s="3">
        <v>0</v>
      </c>
      <c r="G67" s="3">
        <v>0</v>
      </c>
      <c r="H67" s="3">
        <f t="shared" si="2"/>
        <v>0</v>
      </c>
    </row>
    <row r="68" spans="1:8">
      <c r="A68" s="21"/>
      <c r="B68" s="17" t="s">
        <v>237</v>
      </c>
      <c r="C68" s="17" t="s">
        <v>520</v>
      </c>
      <c r="D68" s="3">
        <v>-1766</v>
      </c>
      <c r="E68" s="3">
        <v>-1315</v>
      </c>
      <c r="F68" s="3">
        <v>-1480</v>
      </c>
      <c r="G68" s="3">
        <v>-3367</v>
      </c>
      <c r="H68" s="3">
        <f t="shared" si="2"/>
        <v>-7928</v>
      </c>
    </row>
    <row r="69" spans="1:8">
      <c r="A69" s="21"/>
      <c r="B69" s="17" t="s">
        <v>194</v>
      </c>
      <c r="C69" s="17" t="s">
        <v>521</v>
      </c>
      <c r="D69" s="3">
        <v>0</v>
      </c>
      <c r="E69" s="3">
        <v>62500</v>
      </c>
      <c r="F69" s="3">
        <v>0</v>
      </c>
      <c r="G69" s="3">
        <v>0</v>
      </c>
      <c r="H69" s="3">
        <f t="shared" si="2"/>
        <v>62500</v>
      </c>
    </row>
    <row r="70" spans="1:8">
      <c r="A70" s="21"/>
      <c r="B70" s="17" t="s">
        <v>195</v>
      </c>
      <c r="C70" s="17" t="s">
        <v>522</v>
      </c>
      <c r="D70" s="3">
        <v>0</v>
      </c>
      <c r="E70" s="3">
        <v>-62500</v>
      </c>
      <c r="F70" s="3">
        <v>0</v>
      </c>
      <c r="G70" s="3">
        <v>0</v>
      </c>
      <c r="H70" s="3">
        <f t="shared" si="2"/>
        <v>-62500</v>
      </c>
    </row>
    <row r="71" spans="1:8">
      <c r="A71" s="21"/>
      <c r="B71" s="17" t="s">
        <v>196</v>
      </c>
      <c r="C71" s="17" t="s">
        <v>523</v>
      </c>
      <c r="D71" s="3">
        <v>0</v>
      </c>
      <c r="E71" s="3">
        <v>-15149</v>
      </c>
      <c r="F71" s="3">
        <v>0</v>
      </c>
      <c r="G71" s="3">
        <v>-18042</v>
      </c>
      <c r="H71" s="3">
        <f t="shared" si="2"/>
        <v>-33191</v>
      </c>
    </row>
    <row r="72" spans="1:8">
      <c r="A72" s="21"/>
      <c r="B72" s="17" t="s">
        <v>238</v>
      </c>
      <c r="C72" s="17" t="s">
        <v>524</v>
      </c>
      <c r="D72" s="3">
        <v>0</v>
      </c>
      <c r="E72" s="3">
        <v>0</v>
      </c>
      <c r="F72" s="3">
        <v>0</v>
      </c>
      <c r="G72" s="3">
        <v>0</v>
      </c>
      <c r="H72" s="3">
        <f t="shared" si="2"/>
        <v>0</v>
      </c>
    </row>
    <row r="73" spans="1:8">
      <c r="A73" s="21"/>
      <c r="B73" s="17" t="s">
        <v>198</v>
      </c>
      <c r="C73" s="17" t="s">
        <v>525</v>
      </c>
      <c r="D73" s="3">
        <v>-409</v>
      </c>
      <c r="E73" s="3">
        <v>-412</v>
      </c>
      <c r="F73" s="3">
        <v>-390</v>
      </c>
      <c r="G73" s="3">
        <v>-355</v>
      </c>
      <c r="H73" s="3">
        <f t="shared" si="2"/>
        <v>-1566</v>
      </c>
    </row>
    <row r="74" spans="1:8">
      <c r="A74" s="21"/>
      <c r="B74" s="17" t="s">
        <v>199</v>
      </c>
      <c r="C74" s="17" t="s">
        <v>526</v>
      </c>
      <c r="D74" s="3">
        <v>-1656</v>
      </c>
      <c r="E74" s="3">
        <v>-1657</v>
      </c>
      <c r="F74" s="3">
        <v>-1631</v>
      </c>
      <c r="G74" s="3">
        <v>-1660</v>
      </c>
      <c r="H74" s="3">
        <f t="shared" si="2"/>
        <v>-6604</v>
      </c>
    </row>
    <row r="75" spans="1:8">
      <c r="A75" s="21"/>
      <c r="B75" s="17" t="s">
        <v>200</v>
      </c>
      <c r="C75" s="17" t="s">
        <v>527</v>
      </c>
      <c r="D75" s="3">
        <v>26812</v>
      </c>
      <c r="E75" s="3">
        <v>166144</v>
      </c>
      <c r="F75" s="3">
        <v>0</v>
      </c>
      <c r="G75" s="3">
        <v>0</v>
      </c>
      <c r="H75" s="3">
        <f t="shared" si="2"/>
        <v>192956</v>
      </c>
    </row>
    <row r="76" spans="1:8">
      <c r="A76" s="21"/>
      <c r="B76" s="17" t="s">
        <v>201</v>
      </c>
      <c r="C76" s="17" t="s">
        <v>528</v>
      </c>
      <c r="D76" s="3">
        <v>0</v>
      </c>
      <c r="E76" s="3">
        <v>-20922</v>
      </c>
      <c r="F76" s="3">
        <v>0</v>
      </c>
      <c r="G76" s="3">
        <v>-27054</v>
      </c>
      <c r="H76" s="3">
        <f t="shared" si="2"/>
        <v>-47976</v>
      </c>
    </row>
    <row r="77" spans="1:8">
      <c r="A77" s="21"/>
      <c r="B77" s="17" t="s">
        <v>202</v>
      </c>
      <c r="C77" s="17" t="s">
        <v>529</v>
      </c>
      <c r="D77" s="3">
        <v>-2</v>
      </c>
      <c r="E77" s="3">
        <v>-3068</v>
      </c>
      <c r="F77" s="3">
        <v>-1103</v>
      </c>
      <c r="G77" s="3">
        <v>-3013</v>
      </c>
      <c r="H77" s="3">
        <f t="shared" si="2"/>
        <v>-7186</v>
      </c>
    </row>
    <row r="78" spans="1:8">
      <c r="B78" s="103" t="s">
        <v>203</v>
      </c>
      <c r="C78" s="103" t="s">
        <v>530</v>
      </c>
      <c r="D78" s="105">
        <f>SUM(D63:D77)</f>
        <v>7249</v>
      </c>
      <c r="E78" s="105">
        <f>SUM(E63:E77)</f>
        <v>111319</v>
      </c>
      <c r="F78" s="105">
        <f>SUM(F63:F77)</f>
        <v>365859</v>
      </c>
      <c r="G78" s="105">
        <f>SUM(G63:G77)</f>
        <v>-79803</v>
      </c>
      <c r="H78" s="105">
        <f t="shared" si="2"/>
        <v>404624</v>
      </c>
    </row>
    <row r="79" spans="1:8">
      <c r="A79" s="21"/>
      <c r="B79" s="17"/>
      <c r="C79" s="17"/>
    </row>
    <row r="80" spans="1:8">
      <c r="A80" s="21"/>
      <c r="B80" s="17" t="s">
        <v>207</v>
      </c>
      <c r="C80" s="17" t="s">
        <v>531</v>
      </c>
      <c r="D80" s="3">
        <v>-4348</v>
      </c>
      <c r="E80" s="3">
        <v>3653</v>
      </c>
      <c r="F80" s="3">
        <v>16245</v>
      </c>
      <c r="G80" s="3">
        <v>-5846</v>
      </c>
      <c r="H80" s="3">
        <f t="shared" si="2"/>
        <v>9704</v>
      </c>
    </row>
    <row r="81" spans="1:10">
      <c r="A81" s="21"/>
      <c r="B81" s="17"/>
      <c r="C81" s="17"/>
    </row>
    <row r="82" spans="1:10">
      <c r="A82" s="21"/>
      <c r="B82" s="103" t="s">
        <v>204</v>
      </c>
      <c r="C82" s="103" t="s">
        <v>532</v>
      </c>
      <c r="D82" s="105">
        <f>D41+D60+D78+D80</f>
        <v>7154</v>
      </c>
      <c r="E82" s="105">
        <f>E41+E60+E78+E80</f>
        <v>4875</v>
      </c>
      <c r="F82" s="105">
        <f>F41+F60+F78+F80</f>
        <v>52152</v>
      </c>
      <c r="G82" s="105">
        <f>G41+G60+G78+G80</f>
        <v>-3964</v>
      </c>
      <c r="H82" s="105">
        <f t="shared" si="2"/>
        <v>60217</v>
      </c>
    </row>
    <row r="83" spans="1:10">
      <c r="A83" s="21"/>
      <c r="B83" s="48"/>
      <c r="C83" s="48"/>
    </row>
    <row r="84" spans="1:10">
      <c r="A84" s="21"/>
      <c r="B84" s="48" t="s">
        <v>205</v>
      </c>
      <c r="C84" s="48" t="s">
        <v>533</v>
      </c>
    </row>
    <row r="85" spans="1:10">
      <c r="A85" s="21"/>
      <c r="B85" s="17" t="s">
        <v>206</v>
      </c>
      <c r="C85" s="17" t="s">
        <v>534</v>
      </c>
      <c r="D85" s="3">
        <v>181066</v>
      </c>
      <c r="E85" s="3">
        <v>188220</v>
      </c>
      <c r="F85" s="3">
        <v>193095</v>
      </c>
      <c r="G85" s="3">
        <v>245247</v>
      </c>
      <c r="H85" s="3">
        <v>181066</v>
      </c>
      <c r="J85" s="45"/>
    </row>
    <row r="86" spans="1:10">
      <c r="A86" s="21"/>
      <c r="B86" s="17" t="s">
        <v>208</v>
      </c>
      <c r="C86" s="17" t="s">
        <v>535</v>
      </c>
      <c r="D86" s="3">
        <v>188220</v>
      </c>
      <c r="E86" s="3">
        <v>193095</v>
      </c>
      <c r="F86" s="3">
        <v>245247</v>
      </c>
      <c r="G86" s="3">
        <v>241283</v>
      </c>
      <c r="H86" s="3">
        <v>241283</v>
      </c>
    </row>
    <row r="87" spans="1:10">
      <c r="A87" s="21"/>
      <c r="B87" s="17"/>
      <c r="C87" s="17"/>
    </row>
    <row r="88" spans="1:10">
      <c r="A88" s="21"/>
      <c r="B88" s="103" t="s">
        <v>204</v>
      </c>
      <c r="C88" s="103" t="s">
        <v>532</v>
      </c>
      <c r="D88" s="105">
        <f>D86-D85</f>
        <v>7154</v>
      </c>
      <c r="E88" s="105">
        <f>E86-E85</f>
        <v>4875</v>
      </c>
      <c r="F88" s="105">
        <f>F86-F85</f>
        <v>52152</v>
      </c>
      <c r="G88" s="105">
        <f>G86-G85</f>
        <v>-3964</v>
      </c>
      <c r="H88" s="105">
        <f>SUM(D88:G88)</f>
        <v>60217</v>
      </c>
    </row>
    <row r="89" spans="1:10">
      <c r="A89" s="21"/>
      <c r="B89" s="17"/>
      <c r="C89" s="17"/>
    </row>
    <row r="90" spans="1:10">
      <c r="A90" s="21"/>
      <c r="B90" s="46"/>
      <c r="C90" s="46"/>
    </row>
    <row r="91" spans="1:10">
      <c r="A91" s="21"/>
    </row>
    <row r="92" spans="1:10">
      <c r="A92" s="21"/>
    </row>
    <row r="93" spans="1:10">
      <c r="A93" s="21"/>
    </row>
    <row r="94" spans="1:10">
      <c r="A94" s="21"/>
    </row>
    <row r="95" spans="1:10">
      <c r="A95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/>
  <dimension ref="A1:J104"/>
  <sheetViews>
    <sheetView showGridLines="0" zoomScale="60" zoomScaleNormal="60" workbookViewId="0">
      <pane xSplit="3" ySplit="7" topLeftCell="D8" activePane="bottomRight" state="frozen"/>
      <selection activeCell="D47" sqref="D47"/>
      <selection pane="topRight" activeCell="D47" sqref="D47"/>
      <selection pane="bottomLeft" activeCell="D47" sqref="D47"/>
      <selection pane="bottomRight"/>
    </sheetView>
  </sheetViews>
  <sheetFormatPr defaultRowHeight="14.5"/>
  <cols>
    <col min="1" max="1" width="1.54296875" style="1" customWidth="1"/>
    <col min="2" max="3" width="60.1796875" style="6" customWidth="1"/>
    <col min="4" max="9" width="12.7265625" style="6" customWidth="1"/>
  </cols>
  <sheetData>
    <row r="1" spans="1:10" s="21" customFormat="1" ht="8.25" customHeight="1">
      <c r="B1" s="9"/>
      <c r="C1" s="9"/>
      <c r="D1" s="9"/>
      <c r="E1" s="9"/>
      <c r="F1" s="9"/>
      <c r="G1" s="9"/>
      <c r="H1" s="9"/>
      <c r="I1" s="9"/>
    </row>
    <row r="2" spans="1:10">
      <c r="A2" s="21"/>
    </row>
    <row r="3" spans="1:10">
      <c r="A3" s="21"/>
    </row>
    <row r="4" spans="1:10">
      <c r="A4" s="21"/>
    </row>
    <row r="5" spans="1:10">
      <c r="A5" s="21"/>
    </row>
    <row r="6" spans="1:10">
      <c r="A6" s="21"/>
      <c r="B6" s="101"/>
      <c r="C6" s="101"/>
      <c r="D6" s="102" t="s">
        <v>711</v>
      </c>
      <c r="E6" s="102" t="s">
        <v>712</v>
      </c>
      <c r="F6" s="102" t="s">
        <v>713</v>
      </c>
      <c r="G6" s="102" t="s">
        <v>714</v>
      </c>
      <c r="H6" s="102" t="s">
        <v>209</v>
      </c>
      <c r="I6" s="102">
        <v>2016</v>
      </c>
    </row>
    <row r="7" spans="1:10" ht="18" customHeight="1">
      <c r="A7" s="21"/>
      <c r="B7" s="101"/>
      <c r="C7" s="101"/>
      <c r="D7" s="102" t="s">
        <v>69</v>
      </c>
      <c r="E7" s="102" t="s">
        <v>70</v>
      </c>
      <c r="F7" s="102" t="s">
        <v>72</v>
      </c>
      <c r="G7" s="102" t="s">
        <v>73</v>
      </c>
      <c r="H7" s="102" t="s">
        <v>209</v>
      </c>
      <c r="I7" s="102">
        <v>2016</v>
      </c>
      <c r="J7" s="47"/>
    </row>
    <row r="8" spans="1:10">
      <c r="A8" s="21"/>
      <c r="B8" s="48"/>
      <c r="C8" s="48"/>
    </row>
    <row r="9" spans="1:10">
      <c r="A9" s="21"/>
      <c r="B9" s="49" t="s">
        <v>144</v>
      </c>
      <c r="C9" s="49" t="s">
        <v>543</v>
      </c>
      <c r="D9" s="50">
        <v>19056</v>
      </c>
      <c r="E9" s="50">
        <v>-3681</v>
      </c>
      <c r="F9" s="50">
        <f>H9-E9-D9</f>
        <v>70899</v>
      </c>
      <c r="G9" s="50">
        <f>I9-D9-E9-F9</f>
        <v>23192</v>
      </c>
      <c r="H9" s="50">
        <v>86274</v>
      </c>
      <c r="I9" s="50">
        <v>109466</v>
      </c>
    </row>
    <row r="10" spans="1:10" ht="29">
      <c r="A10" s="21"/>
      <c r="B10" s="17" t="s">
        <v>145</v>
      </c>
      <c r="C10" s="17" t="s">
        <v>483</v>
      </c>
    </row>
    <row r="11" spans="1:10">
      <c r="A11" s="21"/>
      <c r="B11" s="17" t="s">
        <v>146</v>
      </c>
      <c r="C11" s="17" t="s">
        <v>484</v>
      </c>
      <c r="D11" s="3">
        <v>17309</v>
      </c>
      <c r="E11" s="3">
        <v>16779</v>
      </c>
      <c r="F11" s="3">
        <v>17409</v>
      </c>
      <c r="G11" s="3">
        <v>18967</v>
      </c>
      <c r="H11" s="3">
        <v>51497</v>
      </c>
      <c r="I11" s="3">
        <v>70464</v>
      </c>
    </row>
    <row r="12" spans="1:10">
      <c r="A12" s="21"/>
      <c r="B12" s="17" t="s">
        <v>147</v>
      </c>
      <c r="C12" s="17" t="s">
        <v>544</v>
      </c>
      <c r="D12" s="3">
        <v>1730</v>
      </c>
      <c r="E12" s="3">
        <v>813</v>
      </c>
      <c r="F12" s="3">
        <v>1124</v>
      </c>
      <c r="G12" s="3">
        <v>2814</v>
      </c>
      <c r="H12" s="3">
        <v>3667</v>
      </c>
      <c r="I12" s="3">
        <v>6481</v>
      </c>
    </row>
    <row r="13" spans="1:10">
      <c r="B13" s="17" t="s">
        <v>148</v>
      </c>
      <c r="C13" s="17" t="s">
        <v>486</v>
      </c>
      <c r="D13" s="3">
        <v>11576</v>
      </c>
      <c r="E13" s="3">
        <v>10261</v>
      </c>
      <c r="F13" s="3">
        <v>9618</v>
      </c>
      <c r="G13" s="3">
        <v>10228</v>
      </c>
      <c r="H13" s="3">
        <v>31455</v>
      </c>
      <c r="I13" s="3">
        <v>41683</v>
      </c>
    </row>
    <row r="14" spans="1:10">
      <c r="A14" s="21"/>
      <c r="B14" s="17" t="s">
        <v>210</v>
      </c>
      <c r="C14" s="17" t="s">
        <v>545</v>
      </c>
      <c r="D14" s="3">
        <v>785</v>
      </c>
      <c r="E14" s="3">
        <v>387</v>
      </c>
      <c r="F14" s="3">
        <v>358</v>
      </c>
      <c r="G14" s="3">
        <v>0</v>
      </c>
      <c r="H14" s="3">
        <v>1530</v>
      </c>
      <c r="I14" s="3">
        <v>1530</v>
      </c>
    </row>
    <row r="15" spans="1:10">
      <c r="A15" s="21"/>
      <c r="B15" s="51" t="s">
        <v>211</v>
      </c>
      <c r="C15" s="51" t="s">
        <v>546</v>
      </c>
      <c r="D15" s="13">
        <v>-4031</v>
      </c>
      <c r="E15" s="13">
        <v>1056</v>
      </c>
      <c r="F15" s="13">
        <v>1037</v>
      </c>
      <c r="G15" s="13">
        <v>-653</v>
      </c>
      <c r="H15" s="3">
        <v>-1938</v>
      </c>
      <c r="I15" s="3">
        <v>-2591</v>
      </c>
    </row>
    <row r="16" spans="1:10">
      <c r="A16" s="21"/>
      <c r="B16" s="17" t="s">
        <v>150</v>
      </c>
      <c r="C16" s="17" t="s">
        <v>547</v>
      </c>
      <c r="D16" s="13">
        <v>210</v>
      </c>
      <c r="E16" s="13">
        <v>174</v>
      </c>
      <c r="F16" s="13">
        <v>3006</v>
      </c>
      <c r="G16" s="13">
        <v>14032</v>
      </c>
      <c r="H16" s="3">
        <v>3390</v>
      </c>
      <c r="I16" s="3">
        <v>17422</v>
      </c>
    </row>
    <row r="17" spans="1:10">
      <c r="A17" s="21"/>
      <c r="B17" s="17" t="s">
        <v>212</v>
      </c>
      <c r="C17" s="17" t="s">
        <v>548</v>
      </c>
      <c r="D17" s="3">
        <v>0</v>
      </c>
      <c r="E17" s="3">
        <v>5400</v>
      </c>
      <c r="F17" s="3">
        <v>0</v>
      </c>
      <c r="G17" s="3">
        <v>6783</v>
      </c>
      <c r="H17" s="3">
        <v>5400</v>
      </c>
      <c r="I17" s="3">
        <v>12183</v>
      </c>
    </row>
    <row r="18" spans="1:10">
      <c r="A18" s="21"/>
      <c r="B18" s="17" t="s">
        <v>2</v>
      </c>
      <c r="C18" s="17" t="s">
        <v>549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</row>
    <row r="19" spans="1:10">
      <c r="A19" s="21"/>
      <c r="B19" s="17" t="s">
        <v>213</v>
      </c>
      <c r="C19" s="17" t="s">
        <v>550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10">
      <c r="A20" s="21"/>
      <c r="B20" s="17" t="s">
        <v>214</v>
      </c>
      <c r="C20" s="17" t="s">
        <v>551</v>
      </c>
      <c r="D20" s="3">
        <v>0</v>
      </c>
      <c r="E20" s="3">
        <v>0</v>
      </c>
      <c r="F20" s="3">
        <v>-40081</v>
      </c>
      <c r="G20" s="3">
        <v>0</v>
      </c>
      <c r="H20" s="3">
        <v>-40081</v>
      </c>
      <c r="I20" s="3">
        <v>-40081</v>
      </c>
    </row>
    <row r="21" spans="1:10">
      <c r="A21" s="21"/>
      <c r="B21" s="17" t="s">
        <v>154</v>
      </c>
      <c r="C21" s="17" t="s">
        <v>552</v>
      </c>
      <c r="D21" s="3">
        <v>-1100</v>
      </c>
      <c r="E21" s="3">
        <v>-805</v>
      </c>
      <c r="F21" s="3">
        <v>-34</v>
      </c>
      <c r="G21" s="3">
        <v>0</v>
      </c>
      <c r="H21" s="3">
        <v>-1939</v>
      </c>
      <c r="I21" s="3">
        <v>-1939</v>
      </c>
    </row>
    <row r="22" spans="1:10">
      <c r="A22" s="21"/>
      <c r="B22" s="17" t="s">
        <v>215</v>
      </c>
      <c r="C22" s="17" t="s">
        <v>553</v>
      </c>
      <c r="D22" s="3">
        <v>12497</v>
      </c>
      <c r="E22" s="3">
        <v>12660</v>
      </c>
      <c r="F22" s="3">
        <v>19646</v>
      </c>
      <c r="G22" s="3">
        <v>18765</v>
      </c>
      <c r="H22" s="3">
        <v>44803</v>
      </c>
      <c r="I22" s="3">
        <v>63568</v>
      </c>
    </row>
    <row r="23" spans="1:10">
      <c r="A23" s="21"/>
      <c r="B23" s="17" t="s">
        <v>160</v>
      </c>
      <c r="C23" s="17" t="s">
        <v>554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</row>
    <row r="24" spans="1:10">
      <c r="A24" s="21"/>
      <c r="B24" s="17" t="s">
        <v>50</v>
      </c>
      <c r="C24" s="17" t="s">
        <v>450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</row>
    <row r="25" spans="1:10">
      <c r="A25" s="21"/>
      <c r="B25" s="17" t="s">
        <v>216</v>
      </c>
      <c r="C25" s="17" t="s">
        <v>555</v>
      </c>
      <c r="D25" s="3">
        <v>595</v>
      </c>
      <c r="E25" s="3">
        <v>424</v>
      </c>
      <c r="F25" s="3">
        <v>261</v>
      </c>
      <c r="G25" s="3">
        <v>154</v>
      </c>
      <c r="H25" s="3">
        <v>1280</v>
      </c>
      <c r="I25" s="3">
        <v>1434</v>
      </c>
    </row>
    <row r="26" spans="1:10">
      <c r="A26" s="21"/>
      <c r="B26" s="17" t="s">
        <v>159</v>
      </c>
      <c r="C26" s="17" t="s">
        <v>556</v>
      </c>
      <c r="D26" s="3">
        <v>4907</v>
      </c>
      <c r="E26" s="3">
        <v>-1223</v>
      </c>
      <c r="F26" s="3">
        <v>111</v>
      </c>
      <c r="G26" s="3">
        <v>-1010</v>
      </c>
      <c r="H26" s="3">
        <v>3795</v>
      </c>
      <c r="I26" s="3">
        <v>2785</v>
      </c>
    </row>
    <row r="27" spans="1:10">
      <c r="A27" s="21"/>
      <c r="B27" s="17" t="s">
        <v>217</v>
      </c>
      <c r="C27" s="17" t="s">
        <v>557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10">
      <c r="A28" s="21"/>
      <c r="B28" s="17" t="s">
        <v>218</v>
      </c>
      <c r="C28" s="17" t="s">
        <v>558</v>
      </c>
      <c r="D28" s="3">
        <v>0</v>
      </c>
      <c r="E28" s="3">
        <v>0</v>
      </c>
      <c r="F28" s="3">
        <v>0</v>
      </c>
      <c r="G28" s="3">
        <v>302</v>
      </c>
      <c r="H28" s="3"/>
      <c r="I28" s="3">
        <v>302</v>
      </c>
    </row>
    <row r="29" spans="1:10">
      <c r="A29" s="21"/>
      <c r="B29" s="103" t="s">
        <v>164</v>
      </c>
      <c r="C29" s="103" t="s">
        <v>559</v>
      </c>
      <c r="D29" s="105">
        <f t="shared" ref="D29:I29" si="0">SUM(D9:D28)</f>
        <v>63534</v>
      </c>
      <c r="E29" s="105">
        <f t="shared" si="0"/>
        <v>42245</v>
      </c>
      <c r="F29" s="105">
        <f t="shared" si="0"/>
        <v>83354</v>
      </c>
      <c r="G29" s="105">
        <f>SUM(G9:G28)</f>
        <v>93574</v>
      </c>
      <c r="H29" s="105">
        <f t="shared" si="0"/>
        <v>189133</v>
      </c>
      <c r="I29" s="105">
        <f t="shared" si="0"/>
        <v>282707</v>
      </c>
      <c r="J29" s="45"/>
    </row>
    <row r="30" spans="1:10">
      <c r="A30" s="21"/>
      <c r="B30" s="17"/>
      <c r="C30" s="17"/>
    </row>
    <row r="31" spans="1:10">
      <c r="A31" s="21"/>
      <c r="B31" s="17" t="s">
        <v>45</v>
      </c>
      <c r="C31" s="17" t="s">
        <v>560</v>
      </c>
      <c r="D31" s="3">
        <v>-17120</v>
      </c>
      <c r="E31" s="3">
        <v>-9530</v>
      </c>
      <c r="F31" s="3">
        <v>2842</v>
      </c>
      <c r="G31" s="3">
        <v>28020</v>
      </c>
      <c r="H31" s="3">
        <v>-23808</v>
      </c>
      <c r="I31" s="3">
        <v>4212</v>
      </c>
    </row>
    <row r="32" spans="1:10">
      <c r="A32" s="21"/>
      <c r="B32" s="17" t="s">
        <v>219</v>
      </c>
      <c r="C32" s="17" t="s">
        <v>561</v>
      </c>
      <c r="D32" s="3">
        <v>5140</v>
      </c>
      <c r="E32" s="3">
        <v>-264</v>
      </c>
      <c r="F32" s="3">
        <v>-5096</v>
      </c>
      <c r="G32" s="3">
        <v>1567</v>
      </c>
      <c r="H32" s="3">
        <v>-220</v>
      </c>
      <c r="I32" s="3">
        <v>1347</v>
      </c>
    </row>
    <row r="33" spans="1:9">
      <c r="A33" s="21"/>
      <c r="B33" s="17" t="s">
        <v>28</v>
      </c>
      <c r="C33" s="17" t="s">
        <v>562</v>
      </c>
      <c r="D33" s="3">
        <v>-6634</v>
      </c>
      <c r="E33" s="3">
        <v>-441</v>
      </c>
      <c r="F33" s="3">
        <v>1794</v>
      </c>
      <c r="G33" s="3">
        <v>-3947</v>
      </c>
      <c r="H33" s="3">
        <v>-5281</v>
      </c>
      <c r="I33" s="3">
        <v>-9228</v>
      </c>
    </row>
    <row r="34" spans="1:9">
      <c r="A34" s="21"/>
      <c r="B34" s="17" t="s">
        <v>1</v>
      </c>
      <c r="C34" s="17" t="s">
        <v>424</v>
      </c>
      <c r="D34" s="3">
        <v>-3729</v>
      </c>
      <c r="E34" s="3">
        <v>10765</v>
      </c>
      <c r="F34" s="3">
        <v>7326</v>
      </c>
      <c r="G34" s="3">
        <v>18451</v>
      </c>
      <c r="H34" s="3">
        <v>14362</v>
      </c>
      <c r="I34" s="3">
        <v>32813</v>
      </c>
    </row>
    <row r="35" spans="1:9">
      <c r="A35" s="21"/>
      <c r="B35" s="17" t="s">
        <v>3</v>
      </c>
      <c r="C35" s="17" t="s">
        <v>563</v>
      </c>
      <c r="D35" s="3">
        <v>-194</v>
      </c>
      <c r="E35" s="3">
        <v>145</v>
      </c>
      <c r="F35" s="3">
        <v>-3327</v>
      </c>
      <c r="G35" s="3">
        <v>-2445</v>
      </c>
      <c r="H35" s="3">
        <v>-3376</v>
      </c>
      <c r="I35" s="3">
        <v>-5821</v>
      </c>
    </row>
    <row r="36" spans="1:9">
      <c r="A36" s="21"/>
      <c r="B36" s="17" t="s">
        <v>27</v>
      </c>
      <c r="C36" s="17" t="s">
        <v>564</v>
      </c>
      <c r="D36" s="3">
        <v>-3779</v>
      </c>
      <c r="E36" s="3">
        <v>-12515</v>
      </c>
      <c r="F36" s="3">
        <v>7340</v>
      </c>
      <c r="G36" s="3">
        <v>4216</v>
      </c>
      <c r="H36" s="3">
        <v>-8954</v>
      </c>
      <c r="I36" s="3">
        <v>-4738</v>
      </c>
    </row>
    <row r="37" spans="1:9">
      <c r="A37" s="21"/>
      <c r="B37" s="17" t="s">
        <v>31</v>
      </c>
      <c r="C37" s="17" t="s">
        <v>443</v>
      </c>
      <c r="D37" s="3">
        <v>-19929</v>
      </c>
      <c r="E37" s="3">
        <v>31006</v>
      </c>
      <c r="F37" s="3">
        <v>-5309</v>
      </c>
      <c r="G37" s="3">
        <v>-19381</v>
      </c>
      <c r="H37" s="3">
        <v>5768</v>
      </c>
      <c r="I37" s="3">
        <v>-13613</v>
      </c>
    </row>
    <row r="38" spans="1:9">
      <c r="A38" s="21"/>
      <c r="B38" s="17" t="s">
        <v>32</v>
      </c>
      <c r="C38" s="17" t="s">
        <v>565</v>
      </c>
      <c r="D38" s="3">
        <v>12606</v>
      </c>
      <c r="E38" s="3">
        <v>-8139</v>
      </c>
      <c r="F38" s="3">
        <v>8312</v>
      </c>
      <c r="G38" s="3">
        <v>-15831</v>
      </c>
      <c r="H38" s="3">
        <v>12779</v>
      </c>
      <c r="I38" s="3">
        <v>-3052</v>
      </c>
    </row>
    <row r="39" spans="1:9">
      <c r="B39" s="17" t="s">
        <v>41</v>
      </c>
      <c r="C39" s="17" t="s">
        <v>566</v>
      </c>
      <c r="D39" s="3">
        <v>870</v>
      </c>
      <c r="E39" s="3">
        <v>-2048</v>
      </c>
      <c r="F39" s="3">
        <v>-7031</v>
      </c>
      <c r="G39" s="3">
        <v>-7811</v>
      </c>
      <c r="H39" s="3">
        <v>-8209</v>
      </c>
      <c r="I39" s="3">
        <v>-16020</v>
      </c>
    </row>
    <row r="40" spans="1:9">
      <c r="A40" s="21"/>
      <c r="B40" s="17" t="s">
        <v>165</v>
      </c>
      <c r="C40" s="17" t="s">
        <v>567</v>
      </c>
      <c r="D40" s="3">
        <v>-7403</v>
      </c>
      <c r="E40" s="3">
        <v>-5728</v>
      </c>
      <c r="F40" s="3">
        <v>-15770</v>
      </c>
      <c r="G40" s="3">
        <v>-8319</v>
      </c>
      <c r="H40" s="3">
        <v>-28901</v>
      </c>
      <c r="I40" s="3">
        <v>-37220</v>
      </c>
    </row>
    <row r="41" spans="1:9">
      <c r="A41" s="21"/>
      <c r="B41" s="17" t="s">
        <v>34</v>
      </c>
      <c r="C41" s="17" t="s">
        <v>568</v>
      </c>
      <c r="D41" s="3">
        <v>2029</v>
      </c>
      <c r="E41" s="3">
        <v>-10825</v>
      </c>
      <c r="F41" s="3">
        <v>-4792</v>
      </c>
      <c r="G41" s="3">
        <v>5305</v>
      </c>
      <c r="H41" s="3">
        <v>-13588</v>
      </c>
      <c r="I41" s="3">
        <v>-8283</v>
      </c>
    </row>
    <row r="42" spans="1:9">
      <c r="A42" s="21"/>
      <c r="B42" s="103" t="s">
        <v>169</v>
      </c>
      <c r="C42" s="103" t="s">
        <v>569</v>
      </c>
      <c r="D42" s="105">
        <f t="shared" ref="D42:I42" si="1">SUM(D31:D41)</f>
        <v>-38143</v>
      </c>
      <c r="E42" s="105">
        <f t="shared" si="1"/>
        <v>-7574</v>
      </c>
      <c r="F42" s="105">
        <f t="shared" si="1"/>
        <v>-13711</v>
      </c>
      <c r="G42" s="105">
        <f t="shared" si="1"/>
        <v>-175</v>
      </c>
      <c r="H42" s="105">
        <f t="shared" si="1"/>
        <v>-59428</v>
      </c>
      <c r="I42" s="105">
        <f t="shared" si="1"/>
        <v>-59603</v>
      </c>
    </row>
    <row r="43" spans="1:9">
      <c r="A43" s="21"/>
      <c r="B43" s="17"/>
      <c r="C43" s="17"/>
    </row>
    <row r="44" spans="1:9">
      <c r="A44" s="21"/>
      <c r="B44" s="103" t="s">
        <v>170</v>
      </c>
      <c r="C44" s="103" t="s">
        <v>570</v>
      </c>
      <c r="D44" s="105">
        <f>D29+D42</f>
        <v>25391</v>
      </c>
      <c r="E44" s="105">
        <f>E29+E42</f>
        <v>34671</v>
      </c>
      <c r="F44" s="105">
        <f>H44-E44-D44</f>
        <v>69643</v>
      </c>
      <c r="G44" s="105">
        <f>I44-D44-E44-F44</f>
        <v>93399</v>
      </c>
      <c r="H44" s="105">
        <f>H29+H42</f>
        <v>129705</v>
      </c>
      <c r="I44" s="105">
        <f>I29+I42</f>
        <v>223104</v>
      </c>
    </row>
    <row r="45" spans="1:9">
      <c r="A45" s="21"/>
      <c r="B45" s="17"/>
      <c r="C45" s="17"/>
    </row>
    <row r="46" spans="1:9">
      <c r="A46" s="21"/>
      <c r="B46" s="48" t="s">
        <v>171</v>
      </c>
      <c r="C46" s="48" t="s">
        <v>571</v>
      </c>
    </row>
    <row r="47" spans="1:9">
      <c r="A47" s="21"/>
      <c r="B47" s="17" t="s">
        <v>172</v>
      </c>
      <c r="C47" s="17" t="s">
        <v>572</v>
      </c>
      <c r="D47" s="3">
        <v>-26777</v>
      </c>
      <c r="E47" s="3">
        <v>-4255</v>
      </c>
      <c r="F47" s="3">
        <v>-18709</v>
      </c>
      <c r="G47" s="3">
        <v>-14353</v>
      </c>
      <c r="H47" s="3">
        <v>-49741</v>
      </c>
      <c r="I47" s="3">
        <v>-64094</v>
      </c>
    </row>
    <row r="48" spans="1:9">
      <c r="A48" s="21"/>
      <c r="B48" s="17" t="s">
        <v>173</v>
      </c>
      <c r="C48" s="17" t="s">
        <v>573</v>
      </c>
      <c r="D48" s="3">
        <v>-813</v>
      </c>
      <c r="E48" s="3">
        <v>-8715</v>
      </c>
      <c r="F48" s="3">
        <v>-9732</v>
      </c>
      <c r="G48" s="3">
        <v>-14070</v>
      </c>
      <c r="H48" s="3">
        <v>-19260</v>
      </c>
      <c r="I48" s="3">
        <v>-33330</v>
      </c>
    </row>
    <row r="49" spans="1:9">
      <c r="A49" s="21"/>
      <c r="B49" s="17" t="s">
        <v>220</v>
      </c>
      <c r="C49" s="17" t="s">
        <v>574</v>
      </c>
      <c r="D49" s="3">
        <v>0</v>
      </c>
      <c r="E49" s="3">
        <v>0</v>
      </c>
      <c r="F49" s="3">
        <v>66988</v>
      </c>
      <c r="G49" s="3">
        <v>0</v>
      </c>
      <c r="H49" s="3">
        <v>66988</v>
      </c>
      <c r="I49" s="3">
        <v>66988</v>
      </c>
    </row>
    <row r="50" spans="1:9">
      <c r="A50" s="21"/>
      <c r="B50" s="51" t="s">
        <v>221</v>
      </c>
      <c r="C50" s="51" t="s">
        <v>575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>
      <c r="A51" s="21"/>
      <c r="B51" s="17" t="s">
        <v>222</v>
      </c>
      <c r="C51" s="17" t="s">
        <v>576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>
      <c r="A52" s="21"/>
      <c r="B52" s="17" t="s">
        <v>176</v>
      </c>
      <c r="C52" s="17" t="s">
        <v>577</v>
      </c>
      <c r="D52" s="3">
        <v>-600</v>
      </c>
      <c r="E52" s="3">
        <v>600</v>
      </c>
      <c r="F52" s="3">
        <v>0</v>
      </c>
      <c r="G52" s="3">
        <v>0</v>
      </c>
      <c r="H52" s="3">
        <v>0</v>
      </c>
      <c r="I52" s="3">
        <v>0</v>
      </c>
    </row>
    <row r="53" spans="1:9">
      <c r="A53" s="21"/>
      <c r="B53" s="17" t="s">
        <v>223</v>
      </c>
      <c r="C53" s="17" t="s">
        <v>578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>
      <c r="B54" s="17" t="s">
        <v>224</v>
      </c>
      <c r="C54" s="17" t="s">
        <v>579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>
      <c r="A55" s="21"/>
      <c r="B55" s="17" t="s">
        <v>225</v>
      </c>
      <c r="C55" s="17" t="s">
        <v>580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>
      <c r="A56" s="21"/>
      <c r="B56" s="17" t="s">
        <v>226</v>
      </c>
      <c r="C56" s="17" t="s">
        <v>581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</row>
    <row r="57" spans="1:9">
      <c r="A57" s="21"/>
      <c r="B57" s="17" t="s">
        <v>227</v>
      </c>
      <c r="C57" s="17" t="s">
        <v>582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1:9">
      <c r="A58" s="21"/>
      <c r="B58" s="17" t="s">
        <v>228</v>
      </c>
      <c r="C58" s="17" t="s">
        <v>583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>
      <c r="A59" s="21"/>
      <c r="B59" s="17" t="s">
        <v>229</v>
      </c>
      <c r="C59" s="17" t="s">
        <v>584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</row>
    <row r="60" spans="1:9">
      <c r="A60" s="21"/>
      <c r="B60" s="17" t="s">
        <v>230</v>
      </c>
      <c r="C60" s="17" t="s">
        <v>585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1:9">
      <c r="A61" s="21"/>
      <c r="B61" s="17" t="s">
        <v>231</v>
      </c>
      <c r="C61" s="17" t="s">
        <v>586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</row>
    <row r="62" spans="1:9">
      <c r="A62" s="21"/>
      <c r="B62" s="17" t="s">
        <v>232</v>
      </c>
      <c r="C62" s="17" t="s">
        <v>587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1:9">
      <c r="A63" s="21"/>
      <c r="B63" s="17" t="s">
        <v>233</v>
      </c>
      <c r="C63" s="17" t="s">
        <v>588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</row>
    <row r="64" spans="1:9">
      <c r="A64" s="21"/>
      <c r="B64" s="17" t="s">
        <v>234</v>
      </c>
      <c r="C64" s="17" t="s">
        <v>589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</row>
    <row r="65" spans="1:9">
      <c r="A65" s="21"/>
      <c r="B65" s="103" t="s">
        <v>186</v>
      </c>
      <c r="C65" s="103" t="s">
        <v>590</v>
      </c>
      <c r="D65" s="105">
        <f t="shared" ref="D65:I65" si="2">SUM(D47:D64)</f>
        <v>-28190</v>
      </c>
      <c r="E65" s="105">
        <f t="shared" si="2"/>
        <v>-12370</v>
      </c>
      <c r="F65" s="105">
        <f t="shared" si="2"/>
        <v>38547</v>
      </c>
      <c r="G65" s="105">
        <f t="shared" si="2"/>
        <v>-28423</v>
      </c>
      <c r="H65" s="105">
        <f t="shared" si="2"/>
        <v>-2013</v>
      </c>
      <c r="I65" s="105">
        <f t="shared" si="2"/>
        <v>-30436</v>
      </c>
    </row>
    <row r="66" spans="1:9">
      <c r="A66" s="21"/>
      <c r="B66" s="17"/>
      <c r="C66" s="17"/>
    </row>
    <row r="67" spans="1:9">
      <c r="A67" s="21"/>
      <c r="B67" s="48" t="s">
        <v>187</v>
      </c>
      <c r="C67" s="48" t="s">
        <v>591</v>
      </c>
    </row>
    <row r="68" spans="1:9">
      <c r="A68" s="21"/>
      <c r="B68" s="17" t="s">
        <v>188</v>
      </c>
      <c r="C68" s="17" t="s">
        <v>592</v>
      </c>
      <c r="D68" s="3">
        <v>-8218</v>
      </c>
      <c r="E68" s="3">
        <v>-16092</v>
      </c>
      <c r="F68" s="3">
        <v>0</v>
      </c>
      <c r="G68" s="3">
        <v>0</v>
      </c>
      <c r="H68" s="3">
        <v>-24310</v>
      </c>
      <c r="I68" s="3">
        <v>-24310</v>
      </c>
    </row>
    <row r="69" spans="1:9">
      <c r="A69" s="21"/>
      <c r="B69" s="17" t="s">
        <v>190</v>
      </c>
      <c r="C69" s="17" t="s">
        <v>593</v>
      </c>
      <c r="D69" s="3">
        <v>-4797</v>
      </c>
      <c r="E69" s="3">
        <v>0</v>
      </c>
      <c r="F69" s="3">
        <v>-15217</v>
      </c>
      <c r="G69" s="3">
        <v>-17258</v>
      </c>
      <c r="H69" s="3">
        <v>-20014</v>
      </c>
      <c r="I69" s="3">
        <v>-37272</v>
      </c>
    </row>
    <row r="70" spans="1:9">
      <c r="A70" s="21"/>
      <c r="B70" s="51" t="s">
        <v>235</v>
      </c>
      <c r="C70" s="51" t="s">
        <v>594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</row>
    <row r="71" spans="1:9">
      <c r="A71" s="21"/>
      <c r="B71" s="51" t="s">
        <v>236</v>
      </c>
      <c r="C71" s="51" t="s">
        <v>595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</row>
    <row r="72" spans="1:9">
      <c r="A72" s="21"/>
      <c r="B72" s="17" t="s">
        <v>191</v>
      </c>
      <c r="C72" s="17" t="s">
        <v>596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</row>
    <row r="73" spans="1:9">
      <c r="A73" s="21"/>
      <c r="B73" s="17" t="s">
        <v>237</v>
      </c>
      <c r="C73" s="17" t="s">
        <v>597</v>
      </c>
      <c r="D73" s="3">
        <v>-1796</v>
      </c>
      <c r="E73" s="3">
        <v>-3191</v>
      </c>
      <c r="F73" s="3">
        <v>-2797</v>
      </c>
      <c r="G73" s="3">
        <v>-2714</v>
      </c>
      <c r="H73" s="3">
        <v>-7784</v>
      </c>
      <c r="I73" s="3">
        <v>-10498</v>
      </c>
    </row>
    <row r="74" spans="1:9">
      <c r="A74" s="21"/>
      <c r="B74" s="17" t="s">
        <v>194</v>
      </c>
      <c r="C74" s="17" t="s">
        <v>598</v>
      </c>
      <c r="D74" s="3">
        <v>0</v>
      </c>
      <c r="E74" s="3">
        <v>0</v>
      </c>
      <c r="F74" s="3">
        <v>199613</v>
      </c>
      <c r="G74" s="3">
        <v>0</v>
      </c>
      <c r="H74" s="3">
        <v>199613</v>
      </c>
      <c r="I74" s="3">
        <v>199613</v>
      </c>
    </row>
    <row r="75" spans="1:9">
      <c r="A75" s="21"/>
      <c r="B75" s="17" t="s">
        <v>195</v>
      </c>
      <c r="C75" s="17" t="s">
        <v>599</v>
      </c>
      <c r="D75" s="3">
        <v>0</v>
      </c>
      <c r="E75" s="3">
        <v>-62500</v>
      </c>
      <c r="F75" s="3">
        <v>0</v>
      </c>
      <c r="G75" s="3">
        <v>0</v>
      </c>
      <c r="H75" s="3">
        <v>-62500</v>
      </c>
      <c r="I75" s="3">
        <v>-62500</v>
      </c>
    </row>
    <row r="76" spans="1:9">
      <c r="A76" s="21"/>
      <c r="B76" s="17" t="s">
        <v>196</v>
      </c>
      <c r="C76" s="17" t="s">
        <v>600</v>
      </c>
      <c r="D76" s="3">
        <v>0</v>
      </c>
      <c r="E76" s="3">
        <v>-17893</v>
      </c>
      <c r="F76" s="3">
        <v>0</v>
      </c>
      <c r="G76" s="3">
        <v>-29479</v>
      </c>
      <c r="H76" s="3">
        <v>-17893</v>
      </c>
      <c r="I76" s="3">
        <v>-47372</v>
      </c>
    </row>
    <row r="77" spans="1:9">
      <c r="A77" s="21"/>
      <c r="B77" s="17" t="s">
        <v>238</v>
      </c>
      <c r="C77" s="17" t="s">
        <v>601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</row>
    <row r="78" spans="1:9">
      <c r="B78" s="17" t="s">
        <v>198</v>
      </c>
      <c r="C78" s="17" t="s">
        <v>602</v>
      </c>
      <c r="D78" s="3">
        <v>-326</v>
      </c>
      <c r="E78" s="3">
        <v>-299</v>
      </c>
      <c r="F78" s="3">
        <v>-269</v>
      </c>
      <c r="G78" s="3">
        <v>-237</v>
      </c>
      <c r="H78" s="3">
        <v>-894</v>
      </c>
      <c r="I78" s="3">
        <v>-1131</v>
      </c>
    </row>
    <row r="79" spans="1:9">
      <c r="A79" s="21"/>
      <c r="B79" s="17" t="s">
        <v>199</v>
      </c>
      <c r="C79" s="17" t="s">
        <v>603</v>
      </c>
      <c r="D79" s="3">
        <v>-1665</v>
      </c>
      <c r="E79" s="3">
        <v>-1671</v>
      </c>
      <c r="F79" s="3">
        <v>-1677</v>
      </c>
      <c r="G79" s="3">
        <v>-1683</v>
      </c>
      <c r="H79" s="3">
        <v>-5013</v>
      </c>
      <c r="I79" s="3">
        <v>-6696</v>
      </c>
    </row>
    <row r="80" spans="1:9">
      <c r="A80" s="21"/>
      <c r="B80" s="17" t="s">
        <v>200</v>
      </c>
      <c r="C80" s="17" t="s">
        <v>604</v>
      </c>
      <c r="D80" s="3">
        <v>0</v>
      </c>
      <c r="E80" s="3">
        <v>34772</v>
      </c>
      <c r="F80" s="3">
        <v>22723</v>
      </c>
      <c r="G80" s="3">
        <v>0</v>
      </c>
      <c r="H80" s="3">
        <v>57495</v>
      </c>
      <c r="I80" s="3">
        <v>57495</v>
      </c>
    </row>
    <row r="81" spans="1:9">
      <c r="A81" s="21"/>
      <c r="B81" s="17" t="s">
        <v>201</v>
      </c>
      <c r="C81" s="17" t="s">
        <v>605</v>
      </c>
      <c r="D81" s="3">
        <v>-1635</v>
      </c>
      <c r="E81" s="3">
        <v>-32631</v>
      </c>
      <c r="F81" s="3">
        <v>-4068</v>
      </c>
      <c r="G81" s="3">
        <v>-39133</v>
      </c>
      <c r="H81" s="3">
        <v>-38334</v>
      </c>
      <c r="I81" s="3">
        <v>-77467</v>
      </c>
    </row>
    <row r="82" spans="1:9">
      <c r="A82" s="21"/>
      <c r="B82" s="17" t="s">
        <v>202</v>
      </c>
      <c r="C82" s="17" t="s">
        <v>606</v>
      </c>
      <c r="D82" s="3">
        <v>-1183</v>
      </c>
      <c r="E82" s="3">
        <v>-8517</v>
      </c>
      <c r="F82" s="3">
        <v>-1887</v>
      </c>
      <c r="G82" s="3">
        <v>-2875</v>
      </c>
      <c r="H82" s="3">
        <v>-11587</v>
      </c>
      <c r="I82" s="3">
        <v>-14462</v>
      </c>
    </row>
    <row r="83" spans="1:9">
      <c r="A83" s="21"/>
      <c r="B83" s="103" t="s">
        <v>203</v>
      </c>
      <c r="C83" s="103" t="s">
        <v>607</v>
      </c>
      <c r="D83" s="105">
        <f t="shared" ref="D83:I83" si="3">SUM(D68:D82)</f>
        <v>-19620</v>
      </c>
      <c r="E83" s="105">
        <f t="shared" si="3"/>
        <v>-108022</v>
      </c>
      <c r="F83" s="105">
        <f t="shared" si="3"/>
        <v>196421</v>
      </c>
      <c r="G83" s="105">
        <f t="shared" si="3"/>
        <v>-93379</v>
      </c>
      <c r="H83" s="105">
        <f t="shared" si="3"/>
        <v>68779</v>
      </c>
      <c r="I83" s="105">
        <f t="shared" si="3"/>
        <v>-24600</v>
      </c>
    </row>
    <row r="84" spans="1:9">
      <c r="A84" s="21"/>
      <c r="B84" s="17"/>
      <c r="C84" s="17"/>
    </row>
    <row r="85" spans="1:9">
      <c r="A85" s="21"/>
      <c r="B85" s="103" t="s">
        <v>204</v>
      </c>
      <c r="C85" s="103" t="s">
        <v>608</v>
      </c>
      <c r="D85" s="105">
        <v>-22419</v>
      </c>
      <c r="E85" s="105">
        <v>-85721</v>
      </c>
      <c r="F85" s="105">
        <v>304611</v>
      </c>
      <c r="G85" s="105">
        <v>-28403</v>
      </c>
      <c r="H85" s="105">
        <v>196471</v>
      </c>
      <c r="I85" s="105">
        <v>168068</v>
      </c>
    </row>
    <row r="86" spans="1:9">
      <c r="A86" s="21"/>
      <c r="B86" s="48"/>
      <c r="C86" s="48"/>
    </row>
    <row r="87" spans="1:9">
      <c r="A87" s="21"/>
      <c r="B87" s="48" t="s">
        <v>205</v>
      </c>
      <c r="C87" s="48" t="s">
        <v>609</v>
      </c>
    </row>
    <row r="88" spans="1:9">
      <c r="A88" s="21"/>
      <c r="B88" s="17" t="s">
        <v>206</v>
      </c>
      <c r="C88" s="17" t="s">
        <v>610</v>
      </c>
      <c r="D88" s="3">
        <v>241283</v>
      </c>
      <c r="E88" s="3">
        <v>210805</v>
      </c>
      <c r="F88" s="3">
        <v>119816</v>
      </c>
      <c r="G88" s="3">
        <v>423028</v>
      </c>
      <c r="H88" s="3">
        <v>241284</v>
      </c>
      <c r="I88" s="3">
        <f>D88</f>
        <v>241283</v>
      </c>
    </row>
    <row r="89" spans="1:9">
      <c r="A89" s="21"/>
      <c r="B89" s="17" t="s">
        <v>207</v>
      </c>
      <c r="C89" s="17" t="s">
        <v>611</v>
      </c>
      <c r="D89" s="3">
        <v>-8059</v>
      </c>
      <c r="E89" s="3">
        <v>-5268</v>
      </c>
      <c r="F89" s="3">
        <v>-1399</v>
      </c>
      <c r="G89" s="3">
        <v>152</v>
      </c>
      <c r="H89" s="3">
        <v>-14726</v>
      </c>
      <c r="I89" s="3">
        <v>-14574</v>
      </c>
    </row>
    <row r="90" spans="1:9">
      <c r="A90" s="21"/>
      <c r="B90" s="17" t="s">
        <v>208</v>
      </c>
      <c r="C90" s="17" t="s">
        <v>612</v>
      </c>
      <c r="D90" s="3">
        <v>210805</v>
      </c>
      <c r="E90" s="3">
        <v>119816</v>
      </c>
      <c r="F90" s="3">
        <v>423028</v>
      </c>
      <c r="G90" s="3">
        <v>394777</v>
      </c>
      <c r="H90" s="3">
        <v>423028</v>
      </c>
      <c r="I90" s="3">
        <f>G90</f>
        <v>394777</v>
      </c>
    </row>
    <row r="91" spans="1:9">
      <c r="A91" s="21"/>
      <c r="B91" s="17"/>
      <c r="C91" s="17"/>
    </row>
    <row r="92" spans="1:9">
      <c r="A92" s="21"/>
      <c r="B92" s="103" t="s">
        <v>204</v>
      </c>
      <c r="C92" s="103" t="s">
        <v>608</v>
      </c>
      <c r="D92" s="105">
        <v>-22419</v>
      </c>
      <c r="E92" s="105">
        <v>-85721</v>
      </c>
      <c r="F92" s="105">
        <f>H92-E92-D92</f>
        <v>304611</v>
      </c>
      <c r="G92" s="105">
        <f>G85</f>
        <v>-28403</v>
      </c>
      <c r="H92" s="105">
        <v>196471</v>
      </c>
      <c r="I92" s="105">
        <f>I85</f>
        <v>168068</v>
      </c>
    </row>
    <row r="93" spans="1:9">
      <c r="A93" s="21"/>
      <c r="B93" s="17"/>
      <c r="C93" s="17"/>
    </row>
    <row r="94" spans="1:9">
      <c r="A94" s="21"/>
      <c r="B94" s="46"/>
      <c r="C94" s="46"/>
    </row>
    <row r="95" spans="1:9">
      <c r="A95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0"/>
  <dimension ref="A1:AV112"/>
  <sheetViews>
    <sheetView showGridLines="0" topLeftCell="A7" zoomScale="70" zoomScaleNormal="70" workbookViewId="0">
      <pane xSplit="3" ySplit="5" topLeftCell="AP12" activePane="bottomRight" state="frozen"/>
      <selection activeCell="A7" sqref="A7"/>
      <selection pane="topRight" activeCell="D7" sqref="D7"/>
      <selection pane="bottomLeft" activeCell="A12" sqref="A12"/>
      <selection pane="bottomRight" activeCell="AS15" sqref="AS15"/>
    </sheetView>
  </sheetViews>
  <sheetFormatPr defaultRowHeight="14.5" outlineLevelCol="1"/>
  <cols>
    <col min="1" max="1" width="1.54296875" style="1" customWidth="1"/>
    <col min="2" max="3" width="65" style="6" customWidth="1"/>
    <col min="4" max="6" width="14.7265625" style="6" customWidth="1" outlineLevel="1"/>
    <col min="7" max="7" width="14.7265625" style="1" customWidth="1" outlineLevel="1"/>
    <col min="8" max="8" width="14.7265625" style="1" customWidth="1"/>
    <col min="9" max="11" width="14.7265625" style="1" customWidth="1" outlineLevel="1"/>
    <col min="12" max="12" width="14.7265625" customWidth="1" outlineLevel="1"/>
    <col min="13" max="13" width="14.7265625" customWidth="1"/>
    <col min="14" max="17" width="14.7265625" customWidth="1" outlineLevel="1"/>
    <col min="18" max="18" width="14.7265625" customWidth="1"/>
    <col min="19" max="22" width="14.7265625" customWidth="1" outlineLevel="1"/>
    <col min="23" max="23" width="14.7265625" customWidth="1"/>
    <col min="24" max="27" width="14.7265625" customWidth="1" outlineLevel="1"/>
    <col min="28" max="44" width="14.7265625" customWidth="1"/>
    <col min="45" max="45" width="14.7265625" style="6" customWidth="1" outlineLevel="1"/>
  </cols>
  <sheetData>
    <row r="1" spans="1:45" s="21" customFormat="1" ht="8.25" customHeight="1">
      <c r="B1" s="9"/>
      <c r="C1" s="9"/>
      <c r="D1" s="42"/>
      <c r="E1" s="42"/>
      <c r="F1" s="42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29"/>
      <c r="AA1" s="41"/>
      <c r="AB1" s="41"/>
      <c r="AC1" s="29"/>
      <c r="AD1" s="29"/>
      <c r="AE1" s="29"/>
      <c r="AF1" s="29"/>
      <c r="AG1" s="29"/>
      <c r="AH1" s="29"/>
      <c r="AI1" s="41"/>
      <c r="AJ1" s="41"/>
      <c r="AK1" s="41"/>
      <c r="AL1" s="41"/>
      <c r="AM1" s="41"/>
      <c r="AN1" s="41"/>
      <c r="AO1" s="41"/>
      <c r="AP1" s="41"/>
      <c r="AS1" s="42"/>
    </row>
    <row r="2" spans="1:45">
      <c r="A2" s="21"/>
      <c r="D2" s="30"/>
      <c r="E2" s="30"/>
      <c r="F2" s="30"/>
      <c r="G2" s="162"/>
      <c r="H2" s="162"/>
      <c r="I2" s="162"/>
      <c r="J2" s="162"/>
      <c r="K2" s="162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S2" s="30"/>
    </row>
    <row r="3" spans="1:45">
      <c r="A3" s="21"/>
      <c r="D3" s="30"/>
      <c r="E3" s="30"/>
      <c r="F3" s="30"/>
      <c r="G3" s="162"/>
      <c r="H3" s="162"/>
      <c r="I3" s="162"/>
      <c r="J3" s="162"/>
      <c r="K3" s="162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S3" s="30"/>
    </row>
    <row r="4" spans="1:45">
      <c r="A4" s="21"/>
      <c r="D4" s="30"/>
      <c r="E4" s="30"/>
      <c r="F4" s="30"/>
      <c r="G4" s="162"/>
      <c r="H4" s="162"/>
      <c r="I4" s="162"/>
      <c r="J4" s="162"/>
      <c r="K4" s="162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S4" s="30"/>
    </row>
    <row r="5" spans="1:45">
      <c r="A5" s="21"/>
      <c r="D5" s="30"/>
      <c r="E5" s="30"/>
      <c r="F5" s="30"/>
      <c r="G5" s="162"/>
      <c r="H5" s="162"/>
      <c r="I5" s="162"/>
      <c r="J5" s="162"/>
      <c r="K5" s="162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S5" s="30"/>
    </row>
    <row r="6" spans="1:45">
      <c r="A6" s="21"/>
      <c r="D6" s="30"/>
      <c r="E6" s="30"/>
      <c r="F6" s="30"/>
      <c r="G6" s="162"/>
      <c r="H6" s="162"/>
      <c r="I6" s="162"/>
      <c r="J6" s="162"/>
      <c r="K6" s="162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S6" s="30"/>
    </row>
    <row r="7" spans="1:45">
      <c r="A7" s="21"/>
      <c r="D7" s="30"/>
      <c r="E7" s="30"/>
      <c r="F7" s="30"/>
      <c r="G7" s="162"/>
      <c r="H7" s="162"/>
      <c r="I7" s="162"/>
      <c r="J7" s="162"/>
      <c r="K7" s="162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S7" s="30"/>
    </row>
    <row r="8" spans="1:45">
      <c r="A8" s="21"/>
      <c r="D8" s="30"/>
      <c r="E8" s="30"/>
      <c r="F8" s="30"/>
      <c r="G8" s="162"/>
      <c r="H8" s="162"/>
      <c r="I8" s="162"/>
      <c r="J8" s="162"/>
      <c r="K8" s="162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S8" s="30"/>
    </row>
    <row r="9" spans="1:45">
      <c r="A9" s="21"/>
      <c r="D9" s="30"/>
      <c r="E9" s="30"/>
      <c r="F9" s="30"/>
      <c r="G9" s="162"/>
      <c r="H9" s="162"/>
      <c r="I9" s="162"/>
      <c r="J9" s="162"/>
      <c r="K9" s="162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S9" s="30"/>
    </row>
    <row r="10" spans="1:45" ht="17.5">
      <c r="A10" s="21"/>
      <c r="B10" s="43"/>
      <c r="C10" s="43"/>
      <c r="D10" s="24" t="s">
        <v>715</v>
      </c>
      <c r="E10" s="24" t="s">
        <v>716</v>
      </c>
      <c r="F10" s="24" t="s">
        <v>717</v>
      </c>
      <c r="G10" s="24" t="s">
        <v>718</v>
      </c>
      <c r="H10" s="24">
        <v>2017</v>
      </c>
      <c r="I10" s="24" t="s">
        <v>719</v>
      </c>
      <c r="J10" s="24" t="s">
        <v>720</v>
      </c>
      <c r="K10" s="24" t="s">
        <v>721</v>
      </c>
      <c r="L10" s="24" t="s">
        <v>722</v>
      </c>
      <c r="M10" s="24">
        <v>2018</v>
      </c>
      <c r="N10" s="24" t="s">
        <v>723</v>
      </c>
      <c r="O10" s="24" t="s">
        <v>724</v>
      </c>
      <c r="P10" s="24" t="s">
        <v>725</v>
      </c>
      <c r="Q10" s="24" t="s">
        <v>726</v>
      </c>
      <c r="R10" s="24" t="s">
        <v>125</v>
      </c>
      <c r="S10" s="24" t="s">
        <v>727</v>
      </c>
      <c r="T10" s="24" t="s">
        <v>728</v>
      </c>
      <c r="U10" s="24" t="s">
        <v>729</v>
      </c>
      <c r="V10" s="24" t="s">
        <v>730</v>
      </c>
      <c r="W10" s="24" t="s">
        <v>124</v>
      </c>
      <c r="X10" s="24" t="s">
        <v>731</v>
      </c>
      <c r="Y10" s="24" t="s">
        <v>732</v>
      </c>
      <c r="Z10" s="24" t="s">
        <v>733</v>
      </c>
      <c r="AA10" s="24" t="s">
        <v>734</v>
      </c>
      <c r="AB10" s="24" t="s">
        <v>141</v>
      </c>
      <c r="AC10" s="24" t="s">
        <v>735</v>
      </c>
      <c r="AD10" s="24" t="s">
        <v>736</v>
      </c>
      <c r="AE10" s="24" t="s">
        <v>737</v>
      </c>
      <c r="AF10" s="24" t="s">
        <v>738</v>
      </c>
      <c r="AG10" s="24" t="s">
        <v>740</v>
      </c>
      <c r="AH10" s="24" t="s">
        <v>741</v>
      </c>
      <c r="AI10" s="24" t="s">
        <v>742</v>
      </c>
      <c r="AJ10" s="24" t="s">
        <v>743</v>
      </c>
      <c r="AK10" s="24" t="s">
        <v>744</v>
      </c>
      <c r="AL10" s="24" t="s">
        <v>745</v>
      </c>
      <c r="AM10" s="24" t="s">
        <v>746</v>
      </c>
      <c r="AN10" s="24" t="s">
        <v>747</v>
      </c>
      <c r="AO10" s="24" t="s">
        <v>748</v>
      </c>
      <c r="AP10" s="24" t="s">
        <v>749</v>
      </c>
      <c r="AQ10" s="24" t="s">
        <v>750</v>
      </c>
      <c r="AR10" s="24" t="s">
        <v>751</v>
      </c>
      <c r="AS10" s="24" t="s">
        <v>777</v>
      </c>
    </row>
    <row r="11" spans="1:45" ht="16.5" customHeight="1">
      <c r="A11" s="21"/>
      <c r="B11" s="43"/>
      <c r="C11" s="43"/>
      <c r="D11" s="24" t="s">
        <v>74</v>
      </c>
      <c r="E11" s="24" t="s">
        <v>75</v>
      </c>
      <c r="F11" s="24" t="s">
        <v>77</v>
      </c>
      <c r="G11" s="24" t="s">
        <v>79</v>
      </c>
      <c r="H11" s="24">
        <v>2017</v>
      </c>
      <c r="I11" s="24" t="s">
        <v>80</v>
      </c>
      <c r="J11" s="24" t="s">
        <v>81</v>
      </c>
      <c r="K11" s="24" t="s">
        <v>82</v>
      </c>
      <c r="L11" s="24" t="s">
        <v>83</v>
      </c>
      <c r="M11" s="24">
        <v>2018</v>
      </c>
      <c r="N11" s="24" t="s">
        <v>127</v>
      </c>
      <c r="O11" s="24" t="s">
        <v>128</v>
      </c>
      <c r="P11" s="24" t="s">
        <v>129</v>
      </c>
      <c r="Q11" s="24" t="s">
        <v>130</v>
      </c>
      <c r="R11" s="24" t="s">
        <v>131</v>
      </c>
      <c r="S11" s="24" t="s">
        <v>132</v>
      </c>
      <c r="T11" s="24" t="s">
        <v>133</v>
      </c>
      <c r="U11" s="24" t="s">
        <v>134</v>
      </c>
      <c r="V11" s="24" t="s">
        <v>135</v>
      </c>
      <c r="W11" s="24" t="s">
        <v>136</v>
      </c>
      <c r="X11" s="24" t="s">
        <v>137</v>
      </c>
      <c r="Y11" s="24" t="s">
        <v>138</v>
      </c>
      <c r="Z11" s="24" t="s">
        <v>139</v>
      </c>
      <c r="AA11" s="24" t="s">
        <v>140</v>
      </c>
      <c r="AB11" s="24" t="s">
        <v>141</v>
      </c>
      <c r="AC11" s="24" t="s">
        <v>142</v>
      </c>
      <c r="AD11" s="24" t="s">
        <v>143</v>
      </c>
      <c r="AE11" s="24" t="s">
        <v>303</v>
      </c>
      <c r="AF11" s="24" t="s">
        <v>306</v>
      </c>
      <c r="AG11" s="24" t="s">
        <v>310</v>
      </c>
      <c r="AH11" s="24" t="s">
        <v>315</v>
      </c>
      <c r="AI11" s="24" t="s">
        <v>318</v>
      </c>
      <c r="AJ11" s="24" t="s">
        <v>321</v>
      </c>
      <c r="AK11" s="24" t="s">
        <v>352</v>
      </c>
      <c r="AL11" s="24" t="s">
        <v>373</v>
      </c>
      <c r="AM11" s="24" t="s">
        <v>374</v>
      </c>
      <c r="AN11" s="24" t="s">
        <v>372</v>
      </c>
      <c r="AO11" s="24" t="s">
        <v>363</v>
      </c>
      <c r="AP11" s="24" t="s">
        <v>364</v>
      </c>
      <c r="AQ11" s="24" t="s">
        <v>377</v>
      </c>
      <c r="AR11" s="24" t="s">
        <v>390</v>
      </c>
      <c r="AS11" s="24" t="s">
        <v>782</v>
      </c>
    </row>
    <row r="12" spans="1:45" ht="14.25" customHeight="1">
      <c r="A12" s="21"/>
      <c r="B12" s="44"/>
      <c r="C12" s="44"/>
      <c r="D12" s="163"/>
      <c r="E12" s="164"/>
      <c r="F12" s="164"/>
      <c r="G12" s="164"/>
      <c r="H12" s="164"/>
      <c r="I12" s="164"/>
      <c r="J12" s="164"/>
      <c r="K12" s="164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163"/>
    </row>
    <row r="13" spans="1:45" ht="14.25" customHeight="1">
      <c r="A13" s="21"/>
      <c r="B13" s="48" t="s">
        <v>144</v>
      </c>
      <c r="C13" s="48" t="s">
        <v>543</v>
      </c>
      <c r="D13" s="50">
        <v>7231</v>
      </c>
      <c r="E13" s="50">
        <v>7750</v>
      </c>
      <c r="F13" s="50">
        <v>25555</v>
      </c>
      <c r="G13" s="50">
        <v>23876</v>
      </c>
      <c r="H13" s="50">
        <v>64412</v>
      </c>
      <c r="I13" s="50">
        <f>I40-SUM(I14:I34)</f>
        <v>32212</v>
      </c>
      <c r="J13" s="50">
        <v>22867</v>
      </c>
      <c r="K13" s="50">
        <v>35462</v>
      </c>
      <c r="L13" s="50">
        <v>35892</v>
      </c>
      <c r="M13" s="50">
        <v>126433</v>
      </c>
      <c r="N13" s="50">
        <v>23007</v>
      </c>
      <c r="O13" s="50">
        <v>11896</v>
      </c>
      <c r="P13" s="50">
        <v>44492</v>
      </c>
      <c r="Q13" s="50">
        <v>-9571</v>
      </c>
      <c r="R13" s="50">
        <v>69824</v>
      </c>
      <c r="S13" s="50">
        <v>8452</v>
      </c>
      <c r="T13" s="50">
        <v>-159065</v>
      </c>
      <c r="U13" s="50">
        <v>-2899</v>
      </c>
      <c r="V13" s="50">
        <v>-40989.000000000007</v>
      </c>
      <c r="W13" s="50">
        <v>-194501</v>
      </c>
      <c r="X13" s="50">
        <v>1479</v>
      </c>
      <c r="Y13" s="50">
        <v>-22730</v>
      </c>
      <c r="Z13" s="50">
        <v>58965</v>
      </c>
      <c r="AA13" s="50">
        <v>29918</v>
      </c>
      <c r="AB13" s="50">
        <f>SUM(X13:AA13)</f>
        <v>67632</v>
      </c>
      <c r="AC13" s="50">
        <v>-24408</v>
      </c>
      <c r="AD13" s="50">
        <v>21813</v>
      </c>
      <c r="AE13" s="50">
        <v>21731</v>
      </c>
      <c r="AF13" s="50">
        <v>15083</v>
      </c>
      <c r="AG13" s="50">
        <v>82581</v>
      </c>
      <c r="AH13" s="50">
        <v>70644</v>
      </c>
      <c r="AI13" s="50">
        <v>87864</v>
      </c>
      <c r="AJ13" s="50">
        <v>32074</v>
      </c>
      <c r="AK13" s="50">
        <v>170073</v>
      </c>
      <c r="AL13" s="50">
        <v>88291</v>
      </c>
      <c r="AM13" s="50">
        <v>110874.40999999992</v>
      </c>
      <c r="AN13" s="50">
        <v>66657</v>
      </c>
      <c r="AO13" s="50">
        <v>86329</v>
      </c>
      <c r="AP13" s="50">
        <v>32542</v>
      </c>
      <c r="AQ13" s="50">
        <f>'DRE Op Continuada'!Z27</f>
        <v>58283.704678436741</v>
      </c>
      <c r="AR13" s="50">
        <f>'DRE Op Continuada'!AA27</f>
        <v>57123.328942657681</v>
      </c>
      <c r="AS13" s="50">
        <f>'DRE Op Continuada'!AB27</f>
        <v>87785.790000000037</v>
      </c>
    </row>
    <row r="14" spans="1:45" ht="30" customHeight="1">
      <c r="B14" s="17" t="s">
        <v>145</v>
      </c>
      <c r="C14" s="17" t="s">
        <v>483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>
      <c r="A15" s="21"/>
      <c r="B15" s="17" t="s">
        <v>146</v>
      </c>
      <c r="C15" s="17" t="s">
        <v>484</v>
      </c>
      <c r="D15" s="3">
        <v>17970</v>
      </c>
      <c r="E15" s="3">
        <v>18127</v>
      </c>
      <c r="F15" s="3">
        <v>14219</v>
      </c>
      <c r="G15" s="3">
        <v>17145</v>
      </c>
      <c r="H15" s="3">
        <v>67461</v>
      </c>
      <c r="I15" s="3">
        <v>16861</v>
      </c>
      <c r="J15" s="3">
        <v>17948</v>
      </c>
      <c r="K15" s="3">
        <v>18286</v>
      </c>
      <c r="L15" s="3">
        <v>18164</v>
      </c>
      <c r="M15" s="3">
        <v>71259</v>
      </c>
      <c r="N15" s="3">
        <v>20995</v>
      </c>
      <c r="O15" s="3">
        <v>21950</v>
      </c>
      <c r="P15" s="3">
        <v>22044</v>
      </c>
      <c r="Q15" s="3">
        <v>21950</v>
      </c>
      <c r="R15" s="3">
        <v>86939</v>
      </c>
      <c r="S15" s="3">
        <v>21680</v>
      </c>
      <c r="T15" s="3">
        <v>23423</v>
      </c>
      <c r="U15" s="3">
        <v>25152</v>
      </c>
      <c r="V15" s="3">
        <v>24253</v>
      </c>
      <c r="W15" s="3">
        <v>94508</v>
      </c>
      <c r="X15" s="3">
        <v>21182</v>
      </c>
      <c r="Y15" s="3">
        <v>20019.000000000004</v>
      </c>
      <c r="Z15" s="3">
        <v>20988</v>
      </c>
      <c r="AA15" s="3">
        <v>25204</v>
      </c>
      <c r="AB15" s="3">
        <f t="shared" ref="AB15:AB77" si="0">SUM(X15:AA15)</f>
        <v>87393</v>
      </c>
      <c r="AC15" s="3">
        <v>22001</v>
      </c>
      <c r="AD15" s="3">
        <v>21672</v>
      </c>
      <c r="AE15" s="3">
        <v>13726</v>
      </c>
      <c r="AF15" s="3">
        <v>18412</v>
      </c>
      <c r="AG15" s="3">
        <v>14200</v>
      </c>
      <c r="AH15" s="3">
        <v>13627</v>
      </c>
      <c r="AI15" s="3">
        <v>15970</v>
      </c>
      <c r="AJ15" s="3">
        <v>15756</v>
      </c>
      <c r="AK15" s="3">
        <v>12745</v>
      </c>
      <c r="AL15" s="3">
        <v>12119</v>
      </c>
      <c r="AM15" s="3">
        <v>12828</v>
      </c>
      <c r="AN15" s="3">
        <v>14910</v>
      </c>
      <c r="AO15" s="3">
        <v>14722</v>
      </c>
      <c r="AP15" s="3">
        <v>14771</v>
      </c>
      <c r="AQ15" s="19">
        <v>16313</v>
      </c>
      <c r="AR15" s="19">
        <v>18486</v>
      </c>
      <c r="AS15" s="3">
        <v>13408</v>
      </c>
    </row>
    <row r="16" spans="1:45" ht="15" customHeight="1">
      <c r="A16" s="21"/>
      <c r="B16" s="17" t="s">
        <v>147</v>
      </c>
      <c r="C16" s="17" t="s">
        <v>544</v>
      </c>
      <c r="D16" s="3">
        <v>89</v>
      </c>
      <c r="E16" s="3">
        <v>5504</v>
      </c>
      <c r="F16" s="3">
        <v>173</v>
      </c>
      <c r="G16" s="3">
        <v>-45</v>
      </c>
      <c r="H16" s="3">
        <v>5721</v>
      </c>
      <c r="I16" s="3">
        <v>240</v>
      </c>
      <c r="J16" s="3">
        <v>63</v>
      </c>
      <c r="K16" s="3">
        <v>1049</v>
      </c>
      <c r="L16" s="3">
        <v>3491</v>
      </c>
      <c r="M16" s="3">
        <v>4843</v>
      </c>
      <c r="N16" s="3">
        <v>1020</v>
      </c>
      <c r="O16" s="3">
        <v>1856</v>
      </c>
      <c r="P16" s="3">
        <v>1163</v>
      </c>
      <c r="Q16" s="3">
        <v>2151</v>
      </c>
      <c r="R16" s="3">
        <v>6190</v>
      </c>
      <c r="S16" s="3">
        <v>5888</v>
      </c>
      <c r="T16" s="3">
        <v>5541</v>
      </c>
      <c r="U16" s="3">
        <v>10099</v>
      </c>
      <c r="V16" s="3">
        <v>5293.0000000000027</v>
      </c>
      <c r="W16" s="3">
        <v>26821</v>
      </c>
      <c r="X16" s="3">
        <v>5470</v>
      </c>
      <c r="Y16" s="3">
        <v>-3720.9999999999995</v>
      </c>
      <c r="Z16" s="3">
        <v>738.00000000000023</v>
      </c>
      <c r="AA16" s="3">
        <v>9366</v>
      </c>
      <c r="AB16" s="3">
        <f t="shared" si="0"/>
        <v>11853</v>
      </c>
      <c r="AC16" s="3">
        <v>4118</v>
      </c>
      <c r="AD16" s="3">
        <v>2692</v>
      </c>
      <c r="AE16" s="3">
        <v>485</v>
      </c>
      <c r="AF16" s="3">
        <v>5362</v>
      </c>
      <c r="AG16" s="3">
        <v>190</v>
      </c>
      <c r="AH16" s="3">
        <v>1835</v>
      </c>
      <c r="AI16" s="3">
        <v>793</v>
      </c>
      <c r="AJ16" s="3">
        <v>16525</v>
      </c>
      <c r="AK16" s="3">
        <v>1055</v>
      </c>
      <c r="AL16" s="3">
        <v>1878</v>
      </c>
      <c r="AM16" s="3">
        <v>374</v>
      </c>
      <c r="AN16" s="3">
        <v>1125</v>
      </c>
      <c r="AO16" s="3">
        <v>1802</v>
      </c>
      <c r="AP16" s="3">
        <v>-22819</v>
      </c>
      <c r="AQ16" s="19">
        <v>124</v>
      </c>
      <c r="AR16" s="19">
        <v>2860</v>
      </c>
      <c r="AS16" s="3">
        <v>8108</v>
      </c>
    </row>
    <row r="17" spans="1:45">
      <c r="A17" s="21"/>
      <c r="B17" s="17" t="s">
        <v>148</v>
      </c>
      <c r="C17" s="17" t="s">
        <v>486</v>
      </c>
      <c r="D17" s="3">
        <v>10198</v>
      </c>
      <c r="E17" s="3">
        <v>11844</v>
      </c>
      <c r="F17" s="3">
        <v>11692</v>
      </c>
      <c r="G17" s="3">
        <v>11722</v>
      </c>
      <c r="H17" s="3">
        <v>45456</v>
      </c>
      <c r="I17" s="3">
        <v>12000</v>
      </c>
      <c r="J17" s="3">
        <v>13303</v>
      </c>
      <c r="K17" s="3">
        <v>9717</v>
      </c>
      <c r="L17" s="3">
        <v>10824</v>
      </c>
      <c r="M17" s="3">
        <v>45844</v>
      </c>
      <c r="N17" s="3">
        <v>11827</v>
      </c>
      <c r="O17" s="3">
        <v>12329</v>
      </c>
      <c r="P17" s="3">
        <v>12019</v>
      </c>
      <c r="Q17" s="3">
        <v>12236</v>
      </c>
      <c r="R17" s="3">
        <v>48411</v>
      </c>
      <c r="S17" s="3">
        <v>12682</v>
      </c>
      <c r="T17" s="3">
        <v>13850</v>
      </c>
      <c r="U17" s="3">
        <v>13879</v>
      </c>
      <c r="V17" s="3">
        <v>17240.650000000001</v>
      </c>
      <c r="W17" s="3">
        <v>57652</v>
      </c>
      <c r="X17" s="3">
        <v>15188</v>
      </c>
      <c r="Y17" s="3">
        <v>16609.179340000002</v>
      </c>
      <c r="Z17" s="3">
        <v>16148.999999999998</v>
      </c>
      <c r="AA17" s="3">
        <v>17827</v>
      </c>
      <c r="AB17" s="3">
        <f t="shared" si="0"/>
        <v>65773.179340000002</v>
      </c>
      <c r="AC17" s="3">
        <v>16404</v>
      </c>
      <c r="AD17" s="3">
        <v>16513.999799999998</v>
      </c>
      <c r="AE17" s="3">
        <v>15074.000000000007</v>
      </c>
      <c r="AF17" s="3">
        <v>20470</v>
      </c>
      <c r="AG17" s="3">
        <v>14944.9998</v>
      </c>
      <c r="AH17" s="3">
        <v>14613.999999999998</v>
      </c>
      <c r="AI17" s="3">
        <v>15018.78315000001</v>
      </c>
      <c r="AJ17" s="3">
        <v>16808.136849999988</v>
      </c>
      <c r="AK17" s="3">
        <v>13121.257799999999</v>
      </c>
      <c r="AL17" s="3">
        <v>12657.741999999998</v>
      </c>
      <c r="AM17" s="3">
        <v>12525</v>
      </c>
      <c r="AN17" s="3">
        <v>12428.356212999999</v>
      </c>
      <c r="AO17" s="3">
        <v>11002</v>
      </c>
      <c r="AP17" s="3">
        <v>14690</v>
      </c>
      <c r="AQ17" s="19">
        <v>15689.532137838927</v>
      </c>
      <c r="AR17" s="19">
        <v>12867.467862161073</v>
      </c>
      <c r="AS17" s="3">
        <v>14010.98244</v>
      </c>
    </row>
    <row r="18" spans="1:45" ht="15" customHeight="1">
      <c r="A18" s="21"/>
      <c r="B18" s="17" t="s">
        <v>149</v>
      </c>
      <c r="C18" s="17" t="s">
        <v>613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174</v>
      </c>
      <c r="P18" s="3">
        <v>77</v>
      </c>
      <c r="Q18" s="3">
        <v>91</v>
      </c>
      <c r="R18" s="3">
        <v>342</v>
      </c>
      <c r="S18" s="3">
        <v>0</v>
      </c>
      <c r="T18" s="3">
        <v>0</v>
      </c>
      <c r="U18" s="3">
        <v>-256</v>
      </c>
      <c r="V18" s="3">
        <v>67</v>
      </c>
      <c r="W18" s="3">
        <v>-189</v>
      </c>
      <c r="X18" s="3">
        <v>-1250</v>
      </c>
      <c r="Y18" s="3">
        <v>102.99999999999999</v>
      </c>
      <c r="Z18" s="3">
        <v>-68.999999999999943</v>
      </c>
      <c r="AA18" s="3">
        <v>-4</v>
      </c>
      <c r="AB18" s="3">
        <f t="shared" si="0"/>
        <v>-1220</v>
      </c>
      <c r="AC18" s="3">
        <v>0</v>
      </c>
      <c r="AD18" s="3">
        <v>-19</v>
      </c>
      <c r="AE18" s="3">
        <v>-618</v>
      </c>
      <c r="AF18" s="3">
        <v>-381</v>
      </c>
      <c r="AG18" s="3">
        <v>-1228</v>
      </c>
      <c r="AH18" s="3">
        <v>36</v>
      </c>
      <c r="AI18" s="3">
        <v>68</v>
      </c>
      <c r="AJ18" s="3">
        <v>129</v>
      </c>
      <c r="AK18" s="3">
        <v>135</v>
      </c>
      <c r="AL18" s="3">
        <v>47</v>
      </c>
      <c r="AM18" s="3">
        <v>175</v>
      </c>
      <c r="AN18" s="3">
        <v>46</v>
      </c>
      <c r="AO18" s="3">
        <v>4223</v>
      </c>
      <c r="AP18" s="3">
        <v>1311</v>
      </c>
      <c r="AQ18" s="19">
        <v>394</v>
      </c>
      <c r="AR18" s="19">
        <v>-1669</v>
      </c>
      <c r="AS18" s="3">
        <v>1137</v>
      </c>
    </row>
    <row r="19" spans="1:45">
      <c r="A19" s="21"/>
      <c r="B19" s="17" t="s">
        <v>43</v>
      </c>
      <c r="C19" s="17" t="s">
        <v>454</v>
      </c>
      <c r="D19" s="3">
        <v>-424</v>
      </c>
      <c r="E19" s="3">
        <v>-384</v>
      </c>
      <c r="F19" s="3">
        <v>2626</v>
      </c>
      <c r="G19" s="3">
        <v>-1160</v>
      </c>
      <c r="H19" s="3">
        <v>658</v>
      </c>
      <c r="I19" s="3">
        <v>-421</v>
      </c>
      <c r="J19" s="3">
        <v>185</v>
      </c>
      <c r="K19" s="3">
        <v>-672</v>
      </c>
      <c r="L19" s="3">
        <v>455</v>
      </c>
      <c r="M19" s="3">
        <v>-453</v>
      </c>
      <c r="N19" s="3">
        <v>-68</v>
      </c>
      <c r="O19" s="3">
        <v>4966</v>
      </c>
      <c r="P19" s="3">
        <v>873</v>
      </c>
      <c r="Q19" s="3">
        <v>620</v>
      </c>
      <c r="R19" s="3">
        <v>6391</v>
      </c>
      <c r="S19" s="3">
        <v>1009</v>
      </c>
      <c r="T19" s="3">
        <v>60</v>
      </c>
      <c r="U19" s="3">
        <v>1528</v>
      </c>
      <c r="V19" s="3">
        <v>1981.9999999999998</v>
      </c>
      <c r="W19" s="3">
        <v>4579</v>
      </c>
      <c r="X19" s="3">
        <v>347</v>
      </c>
      <c r="Y19" s="3">
        <v>24198.999999999996</v>
      </c>
      <c r="Z19" s="3">
        <v>4690.0000000000009</v>
      </c>
      <c r="AA19" s="3">
        <v>1907</v>
      </c>
      <c r="AB19" s="3">
        <f t="shared" si="0"/>
        <v>31142.999999999996</v>
      </c>
      <c r="AC19" s="3">
        <v>2371</v>
      </c>
      <c r="AD19" s="3">
        <v>5744</v>
      </c>
      <c r="AE19" s="3">
        <v>3490</v>
      </c>
      <c r="AF19" s="3">
        <v>12602</v>
      </c>
      <c r="AG19" s="3">
        <v>9437</v>
      </c>
      <c r="AH19" s="3">
        <v>5416</v>
      </c>
      <c r="AI19" s="3">
        <v>3529</v>
      </c>
      <c r="AJ19" s="3">
        <v>12386</v>
      </c>
      <c r="AK19" s="3">
        <v>6444</v>
      </c>
      <c r="AL19" s="3">
        <v>-22220</v>
      </c>
      <c r="AM19" s="3">
        <v>1081</v>
      </c>
      <c r="AN19" s="3">
        <v>5604</v>
      </c>
      <c r="AO19" s="3">
        <v>981</v>
      </c>
      <c r="AP19" s="3">
        <v>6192</v>
      </c>
      <c r="AQ19" s="19">
        <v>14564</v>
      </c>
      <c r="AR19" s="19">
        <v>228</v>
      </c>
      <c r="AS19" s="3">
        <v>-1182</v>
      </c>
    </row>
    <row r="20" spans="1:45">
      <c r="A20" s="21"/>
      <c r="B20" s="17" t="s">
        <v>150</v>
      </c>
      <c r="C20" s="17" t="s">
        <v>547</v>
      </c>
      <c r="D20" s="3">
        <v>-124</v>
      </c>
      <c r="E20" s="3">
        <v>-1603</v>
      </c>
      <c r="F20" s="3">
        <v>408</v>
      </c>
      <c r="G20" s="3">
        <v>163</v>
      </c>
      <c r="H20" s="3">
        <v>-1156</v>
      </c>
      <c r="I20" s="3">
        <v>-1985</v>
      </c>
      <c r="J20" s="3">
        <v>1949</v>
      </c>
      <c r="K20" s="3">
        <v>10196</v>
      </c>
      <c r="L20" s="3">
        <v>-5902</v>
      </c>
      <c r="M20" s="3">
        <v>4258</v>
      </c>
      <c r="N20" s="3">
        <v>-2055</v>
      </c>
      <c r="O20" s="3">
        <v>915</v>
      </c>
      <c r="P20" s="3">
        <v>2965</v>
      </c>
      <c r="Q20" s="3">
        <v>558</v>
      </c>
      <c r="R20" s="3">
        <v>2383</v>
      </c>
      <c r="S20" s="3">
        <v>-339</v>
      </c>
      <c r="T20" s="3">
        <v>72</v>
      </c>
      <c r="U20" s="3">
        <v>-905</v>
      </c>
      <c r="V20" s="3">
        <v>29304.000000000004</v>
      </c>
      <c r="W20" s="3">
        <v>28132</v>
      </c>
      <c r="X20" s="3">
        <v>-1862</v>
      </c>
      <c r="Y20" s="3">
        <v>23999.000000000004</v>
      </c>
      <c r="Z20" s="3">
        <v>1379.9999999999991</v>
      </c>
      <c r="AA20" s="3">
        <v>-10851</v>
      </c>
      <c r="AB20" s="3">
        <f t="shared" si="0"/>
        <v>12666.000000000004</v>
      </c>
      <c r="AC20" s="3">
        <v>1403</v>
      </c>
      <c r="AD20" s="3">
        <v>1809</v>
      </c>
      <c r="AE20" s="3">
        <v>-11298</v>
      </c>
      <c r="AF20" s="3">
        <v>-10203</v>
      </c>
      <c r="AG20" s="3">
        <v>3397</v>
      </c>
      <c r="AH20" s="3">
        <v>686</v>
      </c>
      <c r="AI20" s="3">
        <v>-20182</v>
      </c>
      <c r="AJ20" s="3">
        <v>-3377</v>
      </c>
      <c r="AK20" s="3">
        <v>-969</v>
      </c>
      <c r="AL20" s="3">
        <v>-1356</v>
      </c>
      <c r="AM20" s="3">
        <v>1255</v>
      </c>
      <c r="AN20" s="3">
        <v>8113</v>
      </c>
      <c r="AO20" s="3">
        <v>-1317</v>
      </c>
      <c r="AP20" s="3">
        <v>567</v>
      </c>
      <c r="AQ20" s="19">
        <v>519</v>
      </c>
      <c r="AR20" s="19">
        <v>2798</v>
      </c>
      <c r="AS20" s="3">
        <v>3440</v>
      </c>
    </row>
    <row r="21" spans="1:45">
      <c r="A21" s="21"/>
      <c r="B21" s="17" t="s">
        <v>151</v>
      </c>
      <c r="C21" s="17" t="s">
        <v>614</v>
      </c>
      <c r="D21" s="3">
        <v>-253</v>
      </c>
      <c r="E21" s="3">
        <v>-5643</v>
      </c>
      <c r="F21" s="3">
        <v>-239</v>
      </c>
      <c r="G21" s="3">
        <v>-1512</v>
      </c>
      <c r="H21" s="3">
        <v>-7647</v>
      </c>
      <c r="I21" s="3">
        <v>0</v>
      </c>
      <c r="J21" s="3">
        <v>-217</v>
      </c>
      <c r="K21" s="3">
        <v>0</v>
      </c>
      <c r="L21" s="3">
        <v>1587</v>
      </c>
      <c r="M21" s="3">
        <v>1370</v>
      </c>
      <c r="N21" s="3">
        <v>0</v>
      </c>
      <c r="O21" s="3">
        <v>0</v>
      </c>
      <c r="P21" s="3">
        <v>0</v>
      </c>
      <c r="Q21" s="3">
        <v>-266</v>
      </c>
      <c r="R21" s="3">
        <v>-266</v>
      </c>
      <c r="S21" s="3">
        <v>0</v>
      </c>
      <c r="T21" s="3">
        <v>8824</v>
      </c>
      <c r="U21" s="3">
        <v>-8824</v>
      </c>
      <c r="V21" s="3">
        <v>8350</v>
      </c>
      <c r="W21" s="3">
        <v>8350</v>
      </c>
      <c r="X21" s="3">
        <v>-1890</v>
      </c>
      <c r="Y21" s="3">
        <v>0</v>
      </c>
      <c r="Z21" s="3">
        <v>-396</v>
      </c>
      <c r="AA21" s="3">
        <v>0</v>
      </c>
      <c r="AB21" s="3">
        <f t="shared" si="0"/>
        <v>-2286</v>
      </c>
      <c r="AC21" s="3">
        <v>-319</v>
      </c>
      <c r="AD21" s="3">
        <v>54736</v>
      </c>
      <c r="AE21" s="3">
        <v>0</v>
      </c>
      <c r="AF21" s="3">
        <v>-54417</v>
      </c>
      <c r="AG21" s="3">
        <v>0</v>
      </c>
      <c r="AH21" s="3">
        <v>0</v>
      </c>
      <c r="AI21" s="3">
        <v>0</v>
      </c>
      <c r="AJ21" s="3">
        <v>0</v>
      </c>
      <c r="AK21" s="3" t="s">
        <v>350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19">
        <v>0</v>
      </c>
      <c r="AR21" s="19">
        <v>0</v>
      </c>
      <c r="AS21" s="3">
        <v>-3366</v>
      </c>
    </row>
    <row r="22" spans="1:45">
      <c r="A22" s="21"/>
      <c r="B22" s="17" t="s">
        <v>152</v>
      </c>
      <c r="C22" s="17" t="s">
        <v>615</v>
      </c>
      <c r="D22" s="3">
        <v>-533</v>
      </c>
      <c r="E22" s="3">
        <v>517</v>
      </c>
      <c r="F22" s="3">
        <v>920</v>
      </c>
      <c r="G22" s="3">
        <v>123</v>
      </c>
      <c r="H22" s="3">
        <v>1027</v>
      </c>
      <c r="I22" s="3">
        <v>-857</v>
      </c>
      <c r="J22" s="3">
        <v>1297</v>
      </c>
      <c r="K22" s="3">
        <v>882</v>
      </c>
      <c r="L22" s="3">
        <v>-2735</v>
      </c>
      <c r="M22" s="3">
        <v>-1413</v>
      </c>
      <c r="N22" s="3">
        <v>0</v>
      </c>
      <c r="O22" s="3">
        <v>167</v>
      </c>
      <c r="P22" s="3">
        <v>662</v>
      </c>
      <c r="Q22" s="3">
        <v>-236</v>
      </c>
      <c r="R22" s="3">
        <v>593</v>
      </c>
      <c r="S22" s="3">
        <v>151</v>
      </c>
      <c r="T22" s="3">
        <f>1128-S22</f>
        <v>977</v>
      </c>
      <c r="U22" s="3">
        <f>2145-SUM(S22:T22)</f>
        <v>1017</v>
      </c>
      <c r="V22" s="3">
        <v>5780</v>
      </c>
      <c r="W22" s="3">
        <v>7925</v>
      </c>
      <c r="X22" s="3">
        <v>0</v>
      </c>
      <c r="Y22" s="3">
        <v>439.99999999999994</v>
      </c>
      <c r="Z22" s="3">
        <v>-788</v>
      </c>
      <c r="AA22" s="3">
        <v>619</v>
      </c>
      <c r="AB22" s="3">
        <f t="shared" si="0"/>
        <v>270.99999999999994</v>
      </c>
      <c r="AC22" s="3">
        <v>-1222</v>
      </c>
      <c r="AD22" s="3">
        <v>445</v>
      </c>
      <c r="AE22" s="3">
        <v>158</v>
      </c>
      <c r="AF22" s="3">
        <v>158</v>
      </c>
      <c r="AG22" s="3">
        <v>186</v>
      </c>
      <c r="AH22" s="3">
        <v>4030</v>
      </c>
      <c r="AI22" s="3">
        <v>-1334</v>
      </c>
      <c r="AJ22" s="3">
        <v>-1314</v>
      </c>
      <c r="AK22" s="3">
        <v>-1110</v>
      </c>
      <c r="AL22" s="3">
        <v>16</v>
      </c>
      <c r="AM22" s="3">
        <v>3991</v>
      </c>
      <c r="AN22" s="3">
        <v>-1509</v>
      </c>
      <c r="AO22" s="3">
        <v>22</v>
      </c>
      <c r="AP22" s="3">
        <v>-161</v>
      </c>
      <c r="AQ22" s="19">
        <v>6639</v>
      </c>
      <c r="AR22" s="19">
        <v>-7272</v>
      </c>
      <c r="AS22" s="3">
        <v>0</v>
      </c>
    </row>
    <row r="23" spans="1:45">
      <c r="A23" s="21"/>
      <c r="B23" s="17" t="s">
        <v>153</v>
      </c>
      <c r="C23" s="17" t="s">
        <v>153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44886</v>
      </c>
      <c r="R23" s="3">
        <v>44886</v>
      </c>
      <c r="S23" s="3">
        <v>0</v>
      </c>
      <c r="T23" s="3">
        <v>113088</v>
      </c>
      <c r="U23" s="3">
        <v>0</v>
      </c>
      <c r="V23" s="3">
        <v>22292</v>
      </c>
      <c r="W23" s="3">
        <v>135380</v>
      </c>
      <c r="X23" s="3">
        <v>0</v>
      </c>
      <c r="Y23" s="3">
        <v>0</v>
      </c>
      <c r="Z23" s="3">
        <v>0</v>
      </c>
      <c r="AA23" s="3">
        <v>8884</v>
      </c>
      <c r="AB23" s="3">
        <f t="shared" si="0"/>
        <v>8884</v>
      </c>
      <c r="AC23" s="3">
        <v>0</v>
      </c>
      <c r="AD23" s="3">
        <v>0</v>
      </c>
      <c r="AE23" s="3">
        <v>0</v>
      </c>
      <c r="AF23" s="3">
        <v>24832.325000000001</v>
      </c>
      <c r="AG23" s="3">
        <v>0</v>
      </c>
      <c r="AH23" s="3">
        <v>0</v>
      </c>
      <c r="AI23" s="3">
        <v>0</v>
      </c>
      <c r="AJ23" s="3">
        <v>22729</v>
      </c>
      <c r="AK23" s="3">
        <v>24043</v>
      </c>
      <c r="AL23" s="3">
        <v>-14</v>
      </c>
      <c r="AM23" s="3">
        <v>0</v>
      </c>
      <c r="AN23" s="3">
        <v>0</v>
      </c>
      <c r="AO23" s="3">
        <v>0</v>
      </c>
      <c r="AP23" s="3">
        <v>0</v>
      </c>
      <c r="AQ23" s="19">
        <v>0</v>
      </c>
      <c r="AR23" s="19">
        <v>0</v>
      </c>
      <c r="AS23" s="3">
        <v>0</v>
      </c>
    </row>
    <row r="24" spans="1:45">
      <c r="A24" s="21"/>
      <c r="B24" s="17" t="s">
        <v>154</v>
      </c>
      <c r="C24" s="17" t="s">
        <v>552</v>
      </c>
      <c r="D24" s="3">
        <v>0</v>
      </c>
      <c r="E24" s="3">
        <v>0</v>
      </c>
      <c r="F24" s="3">
        <v>311</v>
      </c>
      <c r="G24" s="3">
        <v>1348</v>
      </c>
      <c r="H24" s="3">
        <v>1659</v>
      </c>
      <c r="I24" s="3">
        <v>278</v>
      </c>
      <c r="J24" s="3">
        <v>976</v>
      </c>
      <c r="K24" s="3">
        <v>791</v>
      </c>
      <c r="L24" s="3">
        <v>632</v>
      </c>
      <c r="M24" s="3">
        <v>2677</v>
      </c>
      <c r="N24" s="3">
        <v>218</v>
      </c>
      <c r="O24" s="3">
        <v>549</v>
      </c>
      <c r="P24" s="3">
        <v>14</v>
      </c>
      <c r="Q24" s="3">
        <v>-3127</v>
      </c>
      <c r="R24" s="3">
        <v>-2346</v>
      </c>
      <c r="S24" s="3">
        <v>156</v>
      </c>
      <c r="T24" s="3">
        <v>1731</v>
      </c>
      <c r="U24" s="3">
        <v>-691</v>
      </c>
      <c r="V24" s="3">
        <v>-1997</v>
      </c>
      <c r="W24" s="3">
        <v>-801</v>
      </c>
      <c r="X24" s="3">
        <v>-36</v>
      </c>
      <c r="Y24" s="3">
        <v>386.99999999999994</v>
      </c>
      <c r="Z24" s="3">
        <v>681</v>
      </c>
      <c r="AA24" s="3">
        <v>1596</v>
      </c>
      <c r="AB24" s="3">
        <f t="shared" si="0"/>
        <v>2628</v>
      </c>
      <c r="AC24" s="3">
        <v>354</v>
      </c>
      <c r="AD24" s="3">
        <v>876</v>
      </c>
      <c r="AE24" s="3">
        <v>630</v>
      </c>
      <c r="AF24" s="3">
        <v>1586</v>
      </c>
      <c r="AG24" s="3">
        <v>1022</v>
      </c>
      <c r="AH24" s="3">
        <v>534</v>
      </c>
      <c r="AI24" s="3">
        <v>-671</v>
      </c>
      <c r="AJ24" s="3">
        <v>-658</v>
      </c>
      <c r="AK24" s="3">
        <v>1728</v>
      </c>
      <c r="AL24" s="3">
        <v>-105</v>
      </c>
      <c r="AM24" s="3">
        <v>283</v>
      </c>
      <c r="AN24" s="3">
        <v>52</v>
      </c>
      <c r="AO24" s="3">
        <v>-708</v>
      </c>
      <c r="AP24" s="3">
        <v>51</v>
      </c>
      <c r="AQ24" s="19">
        <v>-141</v>
      </c>
      <c r="AR24" s="19">
        <v>121</v>
      </c>
      <c r="AS24" s="3">
        <v>-208</v>
      </c>
    </row>
    <row r="25" spans="1:45">
      <c r="A25" s="21"/>
      <c r="B25" s="17" t="s">
        <v>155</v>
      </c>
      <c r="C25" s="17" t="s">
        <v>616</v>
      </c>
      <c r="D25" s="3">
        <v>16972</v>
      </c>
      <c r="E25" s="3">
        <v>15722</v>
      </c>
      <c r="F25" s="3">
        <v>14235</v>
      </c>
      <c r="G25" s="3">
        <v>12512</v>
      </c>
      <c r="H25" s="3">
        <v>59441</v>
      </c>
      <c r="I25" s="3">
        <v>11880</v>
      </c>
      <c r="J25" s="3">
        <v>13366</v>
      </c>
      <c r="K25" s="3">
        <v>15284</v>
      </c>
      <c r="L25" s="3">
        <v>13627</v>
      </c>
      <c r="M25" s="3">
        <v>54157</v>
      </c>
      <c r="N25" s="3">
        <v>12417</v>
      </c>
      <c r="O25" s="3">
        <v>13637</v>
      </c>
      <c r="P25" s="3">
        <v>13856</v>
      </c>
      <c r="Q25" s="3">
        <v>12057</v>
      </c>
      <c r="R25" s="3">
        <v>51967</v>
      </c>
      <c r="S25" s="3">
        <v>10838</v>
      </c>
      <c r="T25" s="3">
        <v>15185</v>
      </c>
      <c r="U25" s="3">
        <v>16446</v>
      </c>
      <c r="V25" s="3">
        <v>14519.999999999996</v>
      </c>
      <c r="W25" s="3">
        <v>56989</v>
      </c>
      <c r="X25" s="3">
        <v>13666</v>
      </c>
      <c r="Y25" s="3">
        <v>21950.999999999996</v>
      </c>
      <c r="Z25" s="3">
        <v>25062.000000000004</v>
      </c>
      <c r="AA25" s="3">
        <v>24341</v>
      </c>
      <c r="AB25" s="3">
        <f t="shared" si="0"/>
        <v>85020</v>
      </c>
      <c r="AC25" s="3">
        <v>32090</v>
      </c>
      <c r="AD25" s="3">
        <v>36589</v>
      </c>
      <c r="AE25" s="3">
        <v>39011</v>
      </c>
      <c r="AF25" s="3">
        <v>44750</v>
      </c>
      <c r="AG25" s="3">
        <v>28081</v>
      </c>
      <c r="AH25" s="3">
        <v>26603</v>
      </c>
      <c r="AI25" s="3">
        <v>23441</v>
      </c>
      <c r="AJ25" s="3">
        <v>22491</v>
      </c>
      <c r="AK25" s="3">
        <v>19276</v>
      </c>
      <c r="AL25" s="3">
        <v>21395</v>
      </c>
      <c r="AM25" s="3">
        <v>17917</v>
      </c>
      <c r="AN25" s="3">
        <v>16799</v>
      </c>
      <c r="AO25" s="3">
        <v>17185</v>
      </c>
      <c r="AP25" s="3">
        <v>18742</v>
      </c>
      <c r="AQ25" s="19">
        <v>20323</v>
      </c>
      <c r="AR25" s="19">
        <v>19642</v>
      </c>
      <c r="AS25" s="3">
        <v>24749</v>
      </c>
    </row>
    <row r="26" spans="1:45">
      <c r="A26" s="21"/>
      <c r="B26" s="17" t="s">
        <v>156</v>
      </c>
      <c r="C26" s="17" t="s">
        <v>617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157</v>
      </c>
      <c r="O26" s="3">
        <v>157</v>
      </c>
      <c r="P26" s="3">
        <v>-314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f t="shared" si="0"/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26">
        <v>0</v>
      </c>
      <c r="AP26" s="3">
        <v>0</v>
      </c>
      <c r="AQ26" s="19">
        <v>0</v>
      </c>
      <c r="AR26" s="19">
        <v>0</v>
      </c>
      <c r="AS26" s="3">
        <v>0</v>
      </c>
    </row>
    <row r="27" spans="1:45">
      <c r="A27" s="25"/>
      <c r="B27" s="17" t="s">
        <v>157</v>
      </c>
      <c r="C27" s="17" t="s">
        <v>618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86</v>
      </c>
      <c r="J27" s="3">
        <v>0</v>
      </c>
      <c r="K27" s="3">
        <v>0</v>
      </c>
      <c r="L27" s="3">
        <v>0</v>
      </c>
      <c r="M27" s="3">
        <v>0</v>
      </c>
      <c r="N27" s="3">
        <v>1925</v>
      </c>
      <c r="O27" s="3">
        <v>1521</v>
      </c>
      <c r="P27" s="3">
        <v>981</v>
      </c>
      <c r="Q27" s="3">
        <v>-1275</v>
      </c>
      <c r="R27" s="3">
        <v>3152</v>
      </c>
      <c r="S27" s="3">
        <v>1143</v>
      </c>
      <c r="T27" s="3">
        <v>1459</v>
      </c>
      <c r="U27" s="3">
        <v>1105</v>
      </c>
      <c r="V27" s="3">
        <v>0</v>
      </c>
      <c r="W27" s="3">
        <v>3702</v>
      </c>
      <c r="X27" s="3">
        <v>2089</v>
      </c>
      <c r="Y27" s="3">
        <v>1084</v>
      </c>
      <c r="Z27" s="3">
        <v>1291.0000000000005</v>
      </c>
      <c r="AA27" s="3">
        <v>-66</v>
      </c>
      <c r="AB27" s="3">
        <f t="shared" si="0"/>
        <v>4398</v>
      </c>
      <c r="AC27" s="3">
        <v>1003</v>
      </c>
      <c r="AD27" s="3">
        <v>1053</v>
      </c>
      <c r="AE27" s="3">
        <v>1811</v>
      </c>
      <c r="AF27" s="3">
        <v>293</v>
      </c>
      <c r="AG27" s="3">
        <v>496</v>
      </c>
      <c r="AH27" s="3">
        <v>634</v>
      </c>
      <c r="AI27" s="3">
        <v>610</v>
      </c>
      <c r="AJ27" s="3">
        <v>456</v>
      </c>
      <c r="AK27" s="3">
        <v>256</v>
      </c>
      <c r="AL27" s="3">
        <v>-599</v>
      </c>
      <c r="AM27" s="3">
        <v>396</v>
      </c>
      <c r="AN27" s="3">
        <v>718</v>
      </c>
      <c r="AO27" s="3">
        <v>456</v>
      </c>
      <c r="AP27" s="3">
        <v>358</v>
      </c>
      <c r="AQ27" s="19">
        <v>587</v>
      </c>
      <c r="AR27" s="19">
        <v>689</v>
      </c>
      <c r="AS27" s="3">
        <v>688</v>
      </c>
    </row>
    <row r="28" spans="1:45">
      <c r="A28" s="21"/>
      <c r="B28" s="17" t="s">
        <v>158</v>
      </c>
      <c r="C28" s="17" t="s">
        <v>556</v>
      </c>
      <c r="D28" s="3">
        <v>287</v>
      </c>
      <c r="E28" s="3">
        <v>-7033</v>
      </c>
      <c r="F28" s="3">
        <v>-10806</v>
      </c>
      <c r="G28" s="3">
        <v>-5130</v>
      </c>
      <c r="H28" s="3">
        <v>-22682</v>
      </c>
      <c r="I28" s="3">
        <v>-8708</v>
      </c>
      <c r="J28" s="3">
        <v>7276</v>
      </c>
      <c r="K28" s="3">
        <v>145</v>
      </c>
      <c r="L28" s="3">
        <v>419</v>
      </c>
      <c r="M28" s="3">
        <v>-782</v>
      </c>
      <c r="N28" s="3">
        <v>0</v>
      </c>
      <c r="O28" s="3">
        <v>425</v>
      </c>
      <c r="P28" s="3">
        <v>0</v>
      </c>
      <c r="Q28" s="3">
        <v>-425</v>
      </c>
      <c r="R28" s="3">
        <v>0</v>
      </c>
      <c r="S28" s="3">
        <v>0</v>
      </c>
      <c r="T28" s="3">
        <v>275</v>
      </c>
      <c r="U28" s="3">
        <v>0</v>
      </c>
      <c r="V28" s="3">
        <v>-6007.0000000000009</v>
      </c>
      <c r="W28" s="3">
        <v>-5732</v>
      </c>
      <c r="X28" s="3">
        <v>3613</v>
      </c>
      <c r="Y28" s="3">
        <v>-3522</v>
      </c>
      <c r="Z28" s="3">
        <v>656</v>
      </c>
      <c r="AA28" s="3">
        <v>581</v>
      </c>
      <c r="AB28" s="3">
        <f t="shared" si="0"/>
        <v>1328</v>
      </c>
      <c r="AC28" s="3">
        <v>510</v>
      </c>
      <c r="AD28" s="3">
        <v>2332</v>
      </c>
      <c r="AE28" s="3">
        <v>4964</v>
      </c>
      <c r="AF28" s="3">
        <v>-6842</v>
      </c>
      <c r="AG28" s="3">
        <v>-2412</v>
      </c>
      <c r="AH28" s="3">
        <v>-69</v>
      </c>
      <c r="AI28" s="3">
        <v>2624</v>
      </c>
      <c r="AJ28" s="3">
        <v>-792</v>
      </c>
      <c r="AK28" s="3">
        <v>667</v>
      </c>
      <c r="AL28" s="3">
        <v>382</v>
      </c>
      <c r="AM28" s="3">
        <v>35</v>
      </c>
      <c r="AN28" s="3">
        <v>5204</v>
      </c>
      <c r="AO28" s="3">
        <v>-4901</v>
      </c>
      <c r="AP28" s="3">
        <v>-4673</v>
      </c>
      <c r="AQ28" s="19">
        <v>-681</v>
      </c>
      <c r="AR28" s="19">
        <v>1626</v>
      </c>
      <c r="AS28" s="3">
        <v>-2649</v>
      </c>
    </row>
    <row r="29" spans="1:45">
      <c r="A29" s="21"/>
      <c r="B29" s="17" t="s">
        <v>159</v>
      </c>
      <c r="C29" s="17" t="s">
        <v>619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568</v>
      </c>
      <c r="J29" s="3">
        <v>-2417</v>
      </c>
      <c r="K29" s="3">
        <v>-387</v>
      </c>
      <c r="L29" s="3">
        <v>-1161</v>
      </c>
      <c r="M29" s="3">
        <v>-3397</v>
      </c>
      <c r="N29" s="3">
        <v>-1186</v>
      </c>
      <c r="O29" s="3">
        <v>1186</v>
      </c>
      <c r="P29" s="3">
        <v>185</v>
      </c>
      <c r="Q29" s="3">
        <v>-678</v>
      </c>
      <c r="R29" s="3">
        <v>-493</v>
      </c>
      <c r="S29" s="3">
        <v>-553</v>
      </c>
      <c r="T29" s="3">
        <v>577</v>
      </c>
      <c r="U29" s="3">
        <v>1392</v>
      </c>
      <c r="V29" s="3">
        <v>1543.0000000000002</v>
      </c>
      <c r="W29" s="3">
        <v>2959</v>
      </c>
      <c r="X29" s="3">
        <v>-957</v>
      </c>
      <c r="Y29" s="3">
        <v>32662.999999999996</v>
      </c>
      <c r="Z29" s="3">
        <v>-25125.999999999996</v>
      </c>
      <c r="AA29" s="3">
        <v>-4107</v>
      </c>
      <c r="AB29" s="3">
        <f t="shared" si="0"/>
        <v>2473</v>
      </c>
      <c r="AC29" s="3">
        <v>60243</v>
      </c>
      <c r="AD29" s="3">
        <v>-15289</v>
      </c>
      <c r="AE29" s="3">
        <v>9115</v>
      </c>
      <c r="AF29" s="3">
        <v>-12131</v>
      </c>
      <c r="AG29" s="3">
        <v>-1065</v>
      </c>
      <c r="AH29" s="3">
        <v>1732</v>
      </c>
      <c r="AI29" s="3">
        <v>-869</v>
      </c>
      <c r="AJ29" s="3">
        <v>-241</v>
      </c>
      <c r="AK29" s="3">
        <v>-485</v>
      </c>
      <c r="AL29" s="3">
        <v>741</v>
      </c>
      <c r="AM29" s="3">
        <v>610</v>
      </c>
      <c r="AN29" s="3">
        <v>-305</v>
      </c>
      <c r="AO29" s="3">
        <v>-154</v>
      </c>
      <c r="AP29" s="3">
        <v>756</v>
      </c>
      <c r="AQ29" s="19">
        <v>67</v>
      </c>
      <c r="AR29" s="19">
        <v>113</v>
      </c>
      <c r="AS29" s="3">
        <v>162</v>
      </c>
    </row>
    <row r="30" spans="1:45">
      <c r="A30" s="21"/>
      <c r="B30" s="17" t="s">
        <v>160</v>
      </c>
      <c r="C30" s="17" t="s">
        <v>620</v>
      </c>
      <c r="D30" s="3">
        <v>0</v>
      </c>
      <c r="E30" s="3">
        <v>0</v>
      </c>
      <c r="F30" s="3">
        <v>677</v>
      </c>
      <c r="G30" s="3">
        <v>679</v>
      </c>
      <c r="H30" s="3">
        <v>1356</v>
      </c>
      <c r="I30" s="3">
        <v>678</v>
      </c>
      <c r="J30" s="3">
        <v>679</v>
      </c>
      <c r="K30" s="3">
        <v>739</v>
      </c>
      <c r="L30" s="3">
        <v>739</v>
      </c>
      <c r="M30" s="3">
        <v>2835</v>
      </c>
      <c r="N30" s="3">
        <v>924</v>
      </c>
      <c r="O30" s="3">
        <v>1291</v>
      </c>
      <c r="P30" s="3">
        <v>0</v>
      </c>
      <c r="Q30" s="3">
        <v>0</v>
      </c>
      <c r="R30" s="3">
        <v>2215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4584</v>
      </c>
      <c r="AA30" s="3">
        <v>690</v>
      </c>
      <c r="AB30" s="3">
        <f t="shared" si="0"/>
        <v>5274</v>
      </c>
      <c r="AC30" s="3">
        <v>882</v>
      </c>
      <c r="AD30" s="3">
        <v>603</v>
      </c>
      <c r="AE30" s="3">
        <v>425</v>
      </c>
      <c r="AF30" s="3">
        <v>1763</v>
      </c>
      <c r="AG30" s="3">
        <v>418</v>
      </c>
      <c r="AH30" s="3">
        <v>128.38632999999993</v>
      </c>
      <c r="AI30" s="3">
        <v>1912</v>
      </c>
      <c r="AJ30" s="3">
        <v>838</v>
      </c>
      <c r="AK30" s="3">
        <v>1669</v>
      </c>
      <c r="AL30" s="3">
        <v>-339</v>
      </c>
      <c r="AM30" s="3">
        <v>1257</v>
      </c>
      <c r="AN30" s="3">
        <v>749</v>
      </c>
      <c r="AO30" s="3">
        <v>1557</v>
      </c>
      <c r="AP30" s="3">
        <v>-3268</v>
      </c>
      <c r="AQ30" s="19">
        <v>2495</v>
      </c>
      <c r="AR30" s="19">
        <v>7891</v>
      </c>
      <c r="AS30" s="3">
        <v>4057</v>
      </c>
    </row>
    <row r="31" spans="1:45">
      <c r="A31" s="21"/>
      <c r="B31" s="17" t="s">
        <v>353</v>
      </c>
      <c r="C31" s="17" t="s">
        <v>621</v>
      </c>
      <c r="D31" s="3">
        <v>-8800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f t="shared" si="0"/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3227</v>
      </c>
      <c r="AL31" s="3">
        <v>635</v>
      </c>
      <c r="AM31" s="3">
        <v>0</v>
      </c>
      <c r="AN31" s="3">
        <v>1815</v>
      </c>
      <c r="AO31" s="3">
        <v>1392</v>
      </c>
      <c r="AP31" s="3">
        <v>3334</v>
      </c>
      <c r="AQ31" s="19">
        <v>1808</v>
      </c>
      <c r="AR31" s="19">
        <v>2003</v>
      </c>
      <c r="AS31" s="3">
        <v>247</v>
      </c>
    </row>
    <row r="32" spans="1:45">
      <c r="A32" s="21"/>
      <c r="B32" s="17" t="s">
        <v>161</v>
      </c>
      <c r="C32" s="17" t="s">
        <v>622</v>
      </c>
      <c r="D32" s="3">
        <v>-636</v>
      </c>
      <c r="E32" s="3">
        <v>-460</v>
      </c>
      <c r="F32" s="3">
        <v>-679</v>
      </c>
      <c r="G32" s="3">
        <v>-494</v>
      </c>
      <c r="H32" s="3">
        <v>-2269</v>
      </c>
      <c r="I32" s="3">
        <v>-1445</v>
      </c>
      <c r="J32" s="3">
        <v>-517</v>
      </c>
      <c r="K32" s="3">
        <v>-547</v>
      </c>
      <c r="L32" s="3">
        <v>-517</v>
      </c>
      <c r="M32" s="3">
        <v>-3026</v>
      </c>
      <c r="N32" s="3">
        <v>-520</v>
      </c>
      <c r="O32" s="3">
        <v>1046</v>
      </c>
      <c r="P32" s="3">
        <v>-234</v>
      </c>
      <c r="Q32" s="3">
        <v>-221</v>
      </c>
      <c r="R32" s="3">
        <v>71</v>
      </c>
      <c r="S32" s="3">
        <v>-193</v>
      </c>
      <c r="T32" s="3">
        <v>-196</v>
      </c>
      <c r="U32" s="3">
        <v>-15</v>
      </c>
      <c r="V32" s="3">
        <v>-101.99999999999999</v>
      </c>
      <c r="W32" s="3">
        <v>-506</v>
      </c>
      <c r="X32" s="3">
        <v>112</v>
      </c>
      <c r="Y32" s="3">
        <v>-118.00000000000001</v>
      </c>
      <c r="Z32" s="3">
        <v>-92</v>
      </c>
      <c r="AA32" s="3">
        <v>-668</v>
      </c>
      <c r="AB32" s="3">
        <f t="shared" si="0"/>
        <v>-766</v>
      </c>
      <c r="AC32" s="3">
        <v>-478</v>
      </c>
      <c r="AD32" s="3">
        <v>-369</v>
      </c>
      <c r="AE32" s="3">
        <v>807</v>
      </c>
      <c r="AF32" s="3">
        <v>-1255</v>
      </c>
      <c r="AG32" s="3">
        <v>-53</v>
      </c>
      <c r="AH32" s="3">
        <v>-238.68693999999999</v>
      </c>
      <c r="AI32" s="3">
        <v>-229.52857999999998</v>
      </c>
      <c r="AJ32" s="3">
        <v>-238.78448000000003</v>
      </c>
      <c r="AK32" s="3">
        <v>-387</v>
      </c>
      <c r="AL32" s="3">
        <v>-255</v>
      </c>
      <c r="AM32" s="3">
        <v>-189</v>
      </c>
      <c r="AN32" s="3">
        <v>-327</v>
      </c>
      <c r="AO32" s="3">
        <v>-668</v>
      </c>
      <c r="AP32" s="3">
        <v>-95</v>
      </c>
      <c r="AQ32" s="19">
        <v>-260</v>
      </c>
      <c r="AR32" s="19">
        <v>-275</v>
      </c>
      <c r="AS32" s="3">
        <v>-1054</v>
      </c>
    </row>
    <row r="33" spans="1:45">
      <c r="A33" s="21"/>
      <c r="B33" s="17" t="s">
        <v>354</v>
      </c>
      <c r="C33" s="17" t="s">
        <v>623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84</v>
      </c>
      <c r="R33" s="3">
        <v>84</v>
      </c>
      <c r="S33" s="3">
        <v>0</v>
      </c>
      <c r="T33" s="3">
        <v>0</v>
      </c>
      <c r="U33" s="3">
        <v>0</v>
      </c>
      <c r="V33" s="3">
        <v>-3253</v>
      </c>
      <c r="W33" s="3">
        <v>-3253</v>
      </c>
      <c r="X33" s="3">
        <v>0</v>
      </c>
      <c r="Y33" s="3">
        <v>0</v>
      </c>
      <c r="Z33" s="3">
        <v>0</v>
      </c>
      <c r="AA33" s="3">
        <v>0</v>
      </c>
      <c r="AB33" s="3">
        <f t="shared" si="0"/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-137004</v>
      </c>
      <c r="AL33" s="3">
        <v>0</v>
      </c>
      <c r="AM33" s="3">
        <v>0</v>
      </c>
      <c r="AN33" s="3">
        <v>0</v>
      </c>
      <c r="AO33" s="3">
        <v>-29269</v>
      </c>
      <c r="AP33" s="3">
        <v>29269</v>
      </c>
      <c r="AQ33" s="19">
        <v>0</v>
      </c>
      <c r="AR33" s="19">
        <v>0</v>
      </c>
      <c r="AS33" s="3">
        <v>0</v>
      </c>
    </row>
    <row r="34" spans="1:45">
      <c r="A34" s="21"/>
      <c r="B34" s="17" t="s">
        <v>162</v>
      </c>
      <c r="C34" s="17" t="s">
        <v>624</v>
      </c>
      <c r="D34" s="3">
        <v>804</v>
      </c>
      <c r="E34" s="3">
        <v>7009</v>
      </c>
      <c r="F34" s="3">
        <v>4774</v>
      </c>
      <c r="G34" s="3">
        <v>1005</v>
      </c>
      <c r="H34" s="3">
        <v>13592</v>
      </c>
      <c r="I34" s="3">
        <v>2041</v>
      </c>
      <c r="J34" s="3">
        <v>-1987</v>
      </c>
      <c r="K34" s="3">
        <v>1954</v>
      </c>
      <c r="L34" s="3">
        <v>7184</v>
      </c>
      <c r="M34" s="3">
        <v>9192</v>
      </c>
      <c r="N34" s="3">
        <v>-533</v>
      </c>
      <c r="O34" s="3">
        <v>1623</v>
      </c>
      <c r="P34" s="3">
        <v>1251</v>
      </c>
      <c r="Q34" s="3">
        <v>3188</v>
      </c>
      <c r="R34" s="3">
        <v>5529</v>
      </c>
      <c r="S34" s="3">
        <v>13368</v>
      </c>
      <c r="T34" s="3">
        <v>-6686</v>
      </c>
      <c r="U34" s="3">
        <v>3381</v>
      </c>
      <c r="V34" s="3">
        <v>2929.9999999999995</v>
      </c>
      <c r="W34" s="3">
        <v>12993</v>
      </c>
      <c r="X34" s="3">
        <v>-584</v>
      </c>
      <c r="Y34" s="3">
        <v>728</v>
      </c>
      <c r="Z34" s="3">
        <v>-1087</v>
      </c>
      <c r="AA34" s="3">
        <v>797</v>
      </c>
      <c r="AB34" s="3">
        <v>-146</v>
      </c>
      <c r="AC34" s="3">
        <v>-2808</v>
      </c>
      <c r="AD34" s="3">
        <v>1958</v>
      </c>
      <c r="AE34" s="3">
        <v>10670</v>
      </c>
      <c r="AF34" s="3">
        <v>24009</v>
      </c>
      <c r="AG34" s="3">
        <v>7751</v>
      </c>
      <c r="AH34" s="3">
        <v>15180</v>
      </c>
      <c r="AI34" s="3">
        <v>18326</v>
      </c>
      <c r="AJ34" s="3">
        <v>68815</v>
      </c>
      <c r="AK34" s="3">
        <v>13602</v>
      </c>
      <c r="AL34" s="3">
        <v>9611</v>
      </c>
      <c r="AM34" s="3">
        <v>-7872</v>
      </c>
      <c r="AN34" s="3">
        <v>-2575</v>
      </c>
      <c r="AO34" s="3">
        <v>12526</v>
      </c>
      <c r="AP34" s="3">
        <v>14918</v>
      </c>
      <c r="AQ34" s="19">
        <v>6008</v>
      </c>
      <c r="AR34" s="19">
        <v>4270</v>
      </c>
      <c r="AS34" s="3">
        <v>3074</v>
      </c>
    </row>
    <row r="35" spans="1:45">
      <c r="A35" s="21"/>
      <c r="B35" s="17" t="s">
        <v>360</v>
      </c>
      <c r="C35" s="17" t="s">
        <v>625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304</v>
      </c>
      <c r="U35" s="3">
        <v>-1179</v>
      </c>
      <c r="V35" s="3">
        <v>447.99999999999994</v>
      </c>
      <c r="W35" s="3">
        <v>1845</v>
      </c>
      <c r="X35" s="3">
        <v>109</v>
      </c>
      <c r="Y35" s="3">
        <v>96.999999999999986</v>
      </c>
      <c r="Z35" s="3">
        <v>0</v>
      </c>
      <c r="AA35" s="3">
        <v>0</v>
      </c>
      <c r="AB35" s="3">
        <v>206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-454</v>
      </c>
      <c r="AM35" s="3">
        <v>-207</v>
      </c>
      <c r="AN35" s="3">
        <v>-2241</v>
      </c>
      <c r="AO35" s="3">
        <v>-166</v>
      </c>
      <c r="AP35" s="3">
        <v>166</v>
      </c>
      <c r="AQ35" s="19">
        <v>-10046</v>
      </c>
      <c r="AR35" s="19">
        <v>-3611</v>
      </c>
      <c r="AS35" s="3">
        <v>1916</v>
      </c>
    </row>
    <row r="36" spans="1:45">
      <c r="A36" s="21"/>
      <c r="B36" s="17" t="s">
        <v>361</v>
      </c>
      <c r="C36" s="17" t="s">
        <v>626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5608</v>
      </c>
      <c r="AP36" s="3">
        <v>6330</v>
      </c>
      <c r="AQ36" s="19">
        <v>2562</v>
      </c>
      <c r="AR36" s="19">
        <v>-95</v>
      </c>
      <c r="AS36" s="3">
        <v>5093</v>
      </c>
    </row>
    <row r="37" spans="1:45">
      <c r="A37" s="25"/>
      <c r="B37" s="17" t="s">
        <v>362</v>
      </c>
      <c r="C37" s="17" t="s">
        <v>627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10271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19">
        <v>0</v>
      </c>
      <c r="AR37" s="19">
        <v>0</v>
      </c>
      <c r="AS37" s="3">
        <v>0</v>
      </c>
    </row>
    <row r="38" spans="1:45">
      <c r="A38" s="25"/>
      <c r="B38" s="17" t="s">
        <v>773</v>
      </c>
      <c r="C38" s="17" t="s">
        <v>774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19">
        <v>13544</v>
      </c>
      <c r="AS38" s="3">
        <v>0</v>
      </c>
    </row>
    <row r="39" spans="1:45">
      <c r="A39" s="25"/>
      <c r="B39" s="17" t="s">
        <v>163</v>
      </c>
      <c r="C39" s="17" t="s">
        <v>628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1397</v>
      </c>
      <c r="V39" s="3">
        <v>3567</v>
      </c>
      <c r="W39" s="3">
        <v>3567</v>
      </c>
      <c r="X39" s="3">
        <v>3185</v>
      </c>
      <c r="Y39" s="3">
        <v>-39718</v>
      </c>
      <c r="Z39" s="3">
        <v>47.999999999999709</v>
      </c>
      <c r="AA39" s="3">
        <v>-9391</v>
      </c>
      <c r="AB39" s="3">
        <v>-45876</v>
      </c>
      <c r="AC39" s="3">
        <v>-1003</v>
      </c>
      <c r="AD39" s="3">
        <v>-333</v>
      </c>
      <c r="AE39" s="3">
        <v>34281</v>
      </c>
      <c r="AF39" s="3">
        <v>77810</v>
      </c>
      <c r="AG39" s="3">
        <v>-1153</v>
      </c>
      <c r="AH39" s="3">
        <v>-2029</v>
      </c>
      <c r="AI39" s="3">
        <v>-4774</v>
      </c>
      <c r="AJ39" s="3">
        <v>-12774</v>
      </c>
      <c r="AK39" s="3">
        <v>1544.8439999999994</v>
      </c>
      <c r="AL39" s="3">
        <v>-1337.8439999999994</v>
      </c>
      <c r="AM39" s="3">
        <v>-955</v>
      </c>
      <c r="AN39" s="3">
        <v>-3143</v>
      </c>
      <c r="AO39" s="3">
        <v>-65</v>
      </c>
      <c r="AP39" s="3">
        <v>-11641</v>
      </c>
      <c r="AQ39" s="19">
        <v>6277.6959299999999</v>
      </c>
      <c r="AR39" s="19">
        <v>-65.000009999999747</v>
      </c>
      <c r="AS39" s="3">
        <v>-70418</v>
      </c>
    </row>
    <row r="40" spans="1:45" ht="16.5" customHeight="1">
      <c r="A40" s="21"/>
      <c r="B40" s="48" t="s">
        <v>164</v>
      </c>
      <c r="C40" s="48" t="s">
        <v>559</v>
      </c>
      <c r="D40" s="50">
        <v>42781</v>
      </c>
      <c r="E40" s="50">
        <v>51350</v>
      </c>
      <c r="F40" s="50">
        <v>63866</v>
      </c>
      <c r="G40" s="50">
        <v>60232</v>
      </c>
      <c r="H40" s="50">
        <v>218229</v>
      </c>
      <c r="I40" s="50">
        <v>63428</v>
      </c>
      <c r="J40" s="50">
        <v>74771</v>
      </c>
      <c r="K40" s="50">
        <v>92899</v>
      </c>
      <c r="L40" s="50">
        <f>SUM(L13:L37)</f>
        <v>82699</v>
      </c>
      <c r="M40" s="50">
        <f>SUM(M13:M39)</f>
        <v>313797</v>
      </c>
      <c r="N40" s="50">
        <f>SUM(N13:N39)</f>
        <v>68128</v>
      </c>
      <c r="O40" s="50">
        <f>SUM(O13:O39)</f>
        <v>75688</v>
      </c>
      <c r="P40" s="50">
        <f>SUM(P13:P39)</f>
        <v>100034</v>
      </c>
      <c r="Q40" s="50">
        <v>82022</v>
      </c>
      <c r="R40" s="50">
        <f t="shared" ref="R40:X40" si="1">SUM(R13:R39)</f>
        <v>325872</v>
      </c>
      <c r="S40" s="50">
        <f t="shared" si="1"/>
        <v>74282</v>
      </c>
      <c r="T40" s="50">
        <f t="shared" si="1"/>
        <v>19419</v>
      </c>
      <c r="U40" s="50">
        <f t="shared" si="1"/>
        <v>60627</v>
      </c>
      <c r="V40" s="50">
        <f t="shared" si="1"/>
        <v>85221.65</v>
      </c>
      <c r="W40" s="50">
        <f t="shared" si="1"/>
        <v>240420</v>
      </c>
      <c r="X40" s="50">
        <f t="shared" si="1"/>
        <v>59861</v>
      </c>
      <c r="Y40" s="50">
        <f>SUM(Y13:Y39)</f>
        <v>72470.179340000002</v>
      </c>
      <c r="Z40" s="50">
        <f>SUM(Z13:Z39)</f>
        <v>107674</v>
      </c>
      <c r="AA40" s="50">
        <f>SUM(AA13:AA39)</f>
        <v>96643</v>
      </c>
      <c r="AB40" s="50">
        <f t="shared" si="0"/>
        <v>336648.17934000003</v>
      </c>
      <c r="AC40" s="50">
        <f t="shared" ref="AC40:AF40" si="2">SUM(AC13:AC39)</f>
        <v>111141</v>
      </c>
      <c r="AD40" s="50">
        <f t="shared" si="2"/>
        <v>152825.99979999999</v>
      </c>
      <c r="AE40" s="50">
        <f t="shared" si="2"/>
        <v>144462</v>
      </c>
      <c r="AF40" s="50">
        <f t="shared" si="2"/>
        <v>161901.32500000001</v>
      </c>
      <c r="AG40" s="50">
        <v>156792.99979999999</v>
      </c>
      <c r="AH40" s="50">
        <v>153362.69938999999</v>
      </c>
      <c r="AI40" s="50">
        <v>142096.25456999999</v>
      </c>
      <c r="AJ40" s="50">
        <v>189612.35236999998</v>
      </c>
      <c r="AK40" s="50">
        <v>139902.1018</v>
      </c>
      <c r="AL40" s="50">
        <f t="shared" ref="AL40" si="3">SUM(AL13:AL39)</f>
        <v>121092.898</v>
      </c>
      <c r="AM40" s="50">
        <v>154378.40999999992</v>
      </c>
      <c r="AN40" s="50">
        <v>124120.35621299999</v>
      </c>
      <c r="AO40" s="50">
        <v>120557</v>
      </c>
      <c r="AP40" s="50">
        <f>SUM(AP13:AP39)</f>
        <v>101340</v>
      </c>
      <c r="AQ40" s="193">
        <f>SUM(AQ13:AQ39)</f>
        <v>141525.93274627565</v>
      </c>
      <c r="AR40" s="193">
        <f>SUM(AR13:AR39)</f>
        <v>131274.79679481877</v>
      </c>
      <c r="AS40" s="193">
        <f>SUM(AS13:AS39)</f>
        <v>88998.77244000003</v>
      </c>
    </row>
    <row r="41" spans="1:45">
      <c r="A41" s="21"/>
      <c r="B41" s="17"/>
      <c r="C41" s="1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19"/>
      <c r="AR41" s="19"/>
      <c r="AS41" s="3"/>
    </row>
    <row r="42" spans="1:45">
      <c r="A42" s="21"/>
      <c r="B42" s="17" t="s">
        <v>45</v>
      </c>
      <c r="C42" s="17" t="s">
        <v>560</v>
      </c>
      <c r="D42" s="3">
        <v>-279</v>
      </c>
      <c r="E42" s="3">
        <v>-29736</v>
      </c>
      <c r="F42" s="3">
        <v>-23740</v>
      </c>
      <c r="G42" s="3">
        <v>18767</v>
      </c>
      <c r="H42" s="3">
        <v>-34988</v>
      </c>
      <c r="I42" s="3">
        <v>17053</v>
      </c>
      <c r="J42" s="3">
        <v>-40110</v>
      </c>
      <c r="K42" s="3">
        <v>-23423</v>
      </c>
      <c r="L42" s="3">
        <v>14417</v>
      </c>
      <c r="M42" s="3">
        <v>-32063</v>
      </c>
      <c r="N42" s="3">
        <v>-27699</v>
      </c>
      <c r="O42" s="3">
        <v>-6938</v>
      </c>
      <c r="P42" s="3">
        <v>-20458</v>
      </c>
      <c r="Q42" s="3">
        <v>30334</v>
      </c>
      <c r="R42" s="3">
        <v>-24761</v>
      </c>
      <c r="S42" s="3">
        <v>17391</v>
      </c>
      <c r="T42" s="3">
        <v>3318</v>
      </c>
      <c r="U42" s="3">
        <v>-39589</v>
      </c>
      <c r="V42" s="3">
        <v>72735</v>
      </c>
      <c r="W42" s="3">
        <v>53855</v>
      </c>
      <c r="X42" s="3">
        <v>-44494</v>
      </c>
      <c r="Y42" s="3">
        <v>-38524</v>
      </c>
      <c r="Z42" s="3">
        <v>-15730.000000000004</v>
      </c>
      <c r="AA42" s="3">
        <v>71163</v>
      </c>
      <c r="AB42" s="3">
        <f t="shared" si="0"/>
        <v>-27585</v>
      </c>
      <c r="AC42" s="3">
        <v>-34508</v>
      </c>
      <c r="AD42" s="3">
        <v>8663</v>
      </c>
      <c r="AE42" s="3">
        <v>-31668</v>
      </c>
      <c r="AF42" s="3">
        <v>-4382</v>
      </c>
      <c r="AG42" s="3">
        <v>-62274</v>
      </c>
      <c r="AH42" s="3">
        <v>-32131</v>
      </c>
      <c r="AI42" s="3">
        <v>26456.857327990539</v>
      </c>
      <c r="AJ42" s="3">
        <v>27711.159964021615</v>
      </c>
      <c r="AK42" s="3">
        <v>-8467.2615309022749</v>
      </c>
      <c r="AL42" s="3">
        <v>22457.244493950777</v>
      </c>
      <c r="AM42" s="3">
        <v>-60360.982963048504</v>
      </c>
      <c r="AN42" s="3">
        <v>-16003</v>
      </c>
      <c r="AO42" s="3">
        <v>95156.090296899507</v>
      </c>
      <c r="AP42" s="3">
        <v>-36694.090296899507</v>
      </c>
      <c r="AQ42" s="19">
        <v>-51421.757797882281</v>
      </c>
      <c r="AR42" s="19">
        <v>-795.79734211771938</v>
      </c>
      <c r="AS42" s="3">
        <v>37821</v>
      </c>
    </row>
    <row r="43" spans="1:45">
      <c r="A43" s="21"/>
      <c r="B43" s="17" t="s">
        <v>28</v>
      </c>
      <c r="C43" s="17" t="s">
        <v>562</v>
      </c>
      <c r="D43" s="3">
        <v>-6945</v>
      </c>
      <c r="E43" s="3">
        <v>-9563</v>
      </c>
      <c r="F43" s="3">
        <v>5682</v>
      </c>
      <c r="G43" s="3">
        <v>-513</v>
      </c>
      <c r="H43" s="3">
        <v>-11339</v>
      </c>
      <c r="I43" s="3">
        <v>-7345</v>
      </c>
      <c r="J43" s="3">
        <v>-5506</v>
      </c>
      <c r="K43" s="3">
        <v>4782</v>
      </c>
      <c r="L43" s="3">
        <v>-7897</v>
      </c>
      <c r="M43" s="3">
        <v>-15966</v>
      </c>
      <c r="N43" s="3">
        <v>7205</v>
      </c>
      <c r="O43" s="3">
        <v>845</v>
      </c>
      <c r="P43" s="3">
        <v>10759</v>
      </c>
      <c r="Q43" s="3">
        <v>-3673</v>
      </c>
      <c r="R43" s="3">
        <v>15136</v>
      </c>
      <c r="S43" s="3">
        <v>32659</v>
      </c>
      <c r="T43" s="3">
        <v>-9410</v>
      </c>
      <c r="U43" s="3">
        <v>-11224</v>
      </c>
      <c r="V43" s="3">
        <v>8129</v>
      </c>
      <c r="W43" s="3">
        <v>20154</v>
      </c>
      <c r="X43" s="3">
        <v>-2637</v>
      </c>
      <c r="Y43" s="3">
        <v>-4364.0000000000009</v>
      </c>
      <c r="Z43" s="3">
        <v>-21.999999999999353</v>
      </c>
      <c r="AA43" s="3">
        <v>-16034</v>
      </c>
      <c r="AB43" s="3">
        <f t="shared" si="0"/>
        <v>-23057</v>
      </c>
      <c r="AC43" s="3">
        <v>-11452</v>
      </c>
      <c r="AD43" s="3">
        <v>13693</v>
      </c>
      <c r="AE43" s="3">
        <v>-3927</v>
      </c>
      <c r="AF43" s="3">
        <v>-19057</v>
      </c>
      <c r="AG43" s="3">
        <v>4559</v>
      </c>
      <c r="AH43" s="3">
        <v>10048</v>
      </c>
      <c r="AI43" s="3">
        <v>22688</v>
      </c>
      <c r="AJ43" s="3">
        <v>-38013</v>
      </c>
      <c r="AK43" s="3">
        <v>-7608</v>
      </c>
      <c r="AL43" s="3">
        <v>-12955</v>
      </c>
      <c r="AM43" s="3">
        <v>-25544</v>
      </c>
      <c r="AN43" s="3">
        <v>13613</v>
      </c>
      <c r="AO43" s="3">
        <v>-10442.000000000002</v>
      </c>
      <c r="AP43" s="3">
        <v>-9174.8436366933311</v>
      </c>
      <c r="AQ43" s="19">
        <v>-8930.3933656955851</v>
      </c>
      <c r="AR43" s="19">
        <v>-2469.8690502258542</v>
      </c>
      <c r="AS43" s="3">
        <v>0</v>
      </c>
    </row>
    <row r="44" spans="1:45">
      <c r="A44" s="21"/>
      <c r="B44" s="17" t="s">
        <v>1</v>
      </c>
      <c r="C44" s="17" t="s">
        <v>424</v>
      </c>
      <c r="D44" s="3">
        <v>4208</v>
      </c>
      <c r="E44" s="3">
        <v>-4557</v>
      </c>
      <c r="F44" s="3">
        <v>3419</v>
      </c>
      <c r="G44" s="3">
        <v>6082</v>
      </c>
      <c r="H44" s="3">
        <v>9152</v>
      </c>
      <c r="I44" s="3">
        <v>-5048</v>
      </c>
      <c r="J44" s="3">
        <v>-12676</v>
      </c>
      <c r="K44" s="3">
        <v>-6697</v>
      </c>
      <c r="L44" s="3">
        <v>7403</v>
      </c>
      <c r="M44" s="3">
        <v>-17018</v>
      </c>
      <c r="N44" s="3">
        <v>-15785</v>
      </c>
      <c r="O44" s="3">
        <v>-48610</v>
      </c>
      <c r="P44" s="3">
        <v>-26442</v>
      </c>
      <c r="Q44" s="3">
        <v>7222</v>
      </c>
      <c r="R44" s="3">
        <v>-83615</v>
      </c>
      <c r="S44" s="3">
        <v>-2823</v>
      </c>
      <c r="T44" s="3">
        <v>7693</v>
      </c>
      <c r="U44" s="3">
        <v>-12077</v>
      </c>
      <c r="V44" s="3">
        <v>-11251.999999999998</v>
      </c>
      <c r="W44" s="3">
        <v>-18459</v>
      </c>
      <c r="X44" s="3">
        <v>-40905</v>
      </c>
      <c r="Y44" s="3">
        <v>-25346.000000000004</v>
      </c>
      <c r="Z44" s="3">
        <v>33316</v>
      </c>
      <c r="AA44" s="3">
        <v>-13776</v>
      </c>
      <c r="AB44" s="3">
        <f t="shared" si="0"/>
        <v>-46711</v>
      </c>
      <c r="AC44" s="3">
        <v>-6344</v>
      </c>
      <c r="AD44" s="3">
        <v>-71137</v>
      </c>
      <c r="AE44" s="3">
        <v>-41332</v>
      </c>
      <c r="AF44" s="3">
        <v>-73135</v>
      </c>
      <c r="AG44" s="3">
        <v>-26620</v>
      </c>
      <c r="AH44" s="3">
        <v>-19908</v>
      </c>
      <c r="AI44" s="3">
        <v>15914</v>
      </c>
      <c r="AJ44" s="3">
        <v>36828.374716795035</v>
      </c>
      <c r="AK44" s="3">
        <v>-66922.518770158276</v>
      </c>
      <c r="AL44" s="3">
        <v>28249.519944297994</v>
      </c>
      <c r="AM44" s="3">
        <v>14916.53837252903</v>
      </c>
      <c r="AN44" s="3">
        <v>29949.460453331252</v>
      </c>
      <c r="AO44" s="3">
        <v>4483.0863025408653</v>
      </c>
      <c r="AP44" s="3">
        <v>-15570.086302540865</v>
      </c>
      <c r="AQ44" s="19">
        <v>18074.095435330215</v>
      </c>
      <c r="AR44" s="19">
        <v>30452.733076937009</v>
      </c>
      <c r="AS44" s="3">
        <v>-17684.246107591949</v>
      </c>
    </row>
    <row r="45" spans="1:45">
      <c r="A45" s="21"/>
      <c r="B45" s="17" t="s">
        <v>3</v>
      </c>
      <c r="C45" s="17" t="s">
        <v>563</v>
      </c>
      <c r="D45" s="3">
        <v>747</v>
      </c>
      <c r="E45" s="3">
        <v>-152</v>
      </c>
      <c r="F45" s="3">
        <v>1093</v>
      </c>
      <c r="G45" s="3">
        <v>15</v>
      </c>
      <c r="H45" s="3">
        <v>1703</v>
      </c>
      <c r="I45" s="3">
        <v>3281</v>
      </c>
      <c r="J45" s="3">
        <v>-2307</v>
      </c>
      <c r="K45" s="3">
        <v>1053</v>
      </c>
      <c r="L45" s="3">
        <v>1074</v>
      </c>
      <c r="M45" s="3">
        <v>3101</v>
      </c>
      <c r="N45" s="3">
        <v>779</v>
      </c>
      <c r="O45" s="3">
        <v>-1497</v>
      </c>
      <c r="P45" s="3">
        <v>1278</v>
      </c>
      <c r="Q45" s="3">
        <v>1630</v>
      </c>
      <c r="R45" s="3">
        <v>2190</v>
      </c>
      <c r="S45" s="3">
        <v>4583</v>
      </c>
      <c r="T45" s="3">
        <v>570</v>
      </c>
      <c r="U45" s="3">
        <v>10468</v>
      </c>
      <c r="V45" s="3">
        <v>903.00000000000045</v>
      </c>
      <c r="W45" s="3">
        <v>16524</v>
      </c>
      <c r="X45" s="3">
        <v>-187</v>
      </c>
      <c r="Y45" s="3">
        <v>2299</v>
      </c>
      <c r="Z45" s="3">
        <v>246.99999999999989</v>
      </c>
      <c r="AA45" s="3">
        <v>-21631</v>
      </c>
      <c r="AB45" s="3">
        <f t="shared" si="0"/>
        <v>-19272</v>
      </c>
      <c r="AC45" s="3">
        <v>20992</v>
      </c>
      <c r="AD45" s="3">
        <v>-712</v>
      </c>
      <c r="AE45" s="3">
        <v>113</v>
      </c>
      <c r="AF45" s="3">
        <v>1988</v>
      </c>
      <c r="AG45" s="3">
        <v>45</v>
      </c>
      <c r="AH45" s="3">
        <v>-1445.31306</v>
      </c>
      <c r="AI45" s="3">
        <v>-16.47142000000008</v>
      </c>
      <c r="AJ45" s="3">
        <v>670.35481430900006</v>
      </c>
      <c r="AK45" s="3">
        <v>-31</v>
      </c>
      <c r="AL45" s="3">
        <v>-322</v>
      </c>
      <c r="AM45" s="3">
        <v>-571</v>
      </c>
      <c r="AN45" s="3">
        <v>-514</v>
      </c>
      <c r="AO45" s="3">
        <v>-117</v>
      </c>
      <c r="AP45" s="3">
        <v>-19</v>
      </c>
      <c r="AQ45" s="19">
        <v>-1033</v>
      </c>
      <c r="AR45" s="19">
        <v>845</v>
      </c>
      <c r="AS45" s="3">
        <v>-3627.1065887110981</v>
      </c>
    </row>
    <row r="46" spans="1:45">
      <c r="A46" s="21"/>
      <c r="B46" s="17" t="s">
        <v>27</v>
      </c>
      <c r="C46" s="17" t="s">
        <v>564</v>
      </c>
      <c r="D46" s="3">
        <v>-8253</v>
      </c>
      <c r="E46" s="3">
        <v>-12481</v>
      </c>
      <c r="F46" s="3">
        <v>2704</v>
      </c>
      <c r="G46" s="3">
        <v>-4928</v>
      </c>
      <c r="H46" s="3">
        <v>-22958</v>
      </c>
      <c r="I46" s="3">
        <v>1287</v>
      </c>
      <c r="J46" s="3">
        <v>2407</v>
      </c>
      <c r="K46" s="3">
        <v>1546</v>
      </c>
      <c r="L46" s="3">
        <v>4842</v>
      </c>
      <c r="M46" s="3">
        <v>10082</v>
      </c>
      <c r="N46" s="3">
        <v>-289</v>
      </c>
      <c r="O46" s="3">
        <v>-7430</v>
      </c>
      <c r="P46" s="3">
        <v>-19125</v>
      </c>
      <c r="Q46" s="3">
        <v>12244</v>
      </c>
      <c r="R46" s="3">
        <v>-14600</v>
      </c>
      <c r="S46" s="3">
        <v>-9943</v>
      </c>
      <c r="T46" s="3">
        <v>21277</v>
      </c>
      <c r="U46" s="3">
        <v>7547</v>
      </c>
      <c r="V46" s="3">
        <v>9434.42</v>
      </c>
      <c r="W46" s="3">
        <v>28315</v>
      </c>
      <c r="X46" s="3">
        <v>-8154.4199999999983</v>
      </c>
      <c r="Y46" s="3">
        <v>14008</v>
      </c>
      <c r="Z46" s="3">
        <v>5970</v>
      </c>
      <c r="AA46" s="3">
        <v>-1229</v>
      </c>
      <c r="AB46" s="3">
        <f t="shared" si="0"/>
        <v>10594.580000000002</v>
      </c>
      <c r="AC46" s="3">
        <v>-10505</v>
      </c>
      <c r="AD46" s="3">
        <v>9859</v>
      </c>
      <c r="AE46" s="3">
        <v>-6760</v>
      </c>
      <c r="AF46" s="3">
        <v>256600</v>
      </c>
      <c r="AG46" s="3">
        <v>13138</v>
      </c>
      <c r="AH46" s="3">
        <v>35122</v>
      </c>
      <c r="AI46" s="3">
        <v>22055</v>
      </c>
      <c r="AJ46" s="3">
        <v>5148</v>
      </c>
      <c r="AK46" s="3">
        <v>-20395</v>
      </c>
      <c r="AL46" s="3">
        <v>12272</v>
      </c>
      <c r="AM46" s="3">
        <v>14330.084597358527</v>
      </c>
      <c r="AN46" s="3">
        <v>28470.915402641473</v>
      </c>
      <c r="AO46" s="3">
        <v>-15263.008481390767</v>
      </c>
      <c r="AP46" s="3">
        <v>47204.008481390767</v>
      </c>
      <c r="AQ46" s="19">
        <v>-10572.94984198155</v>
      </c>
      <c r="AR46" s="19">
        <v>4023.9565972243836</v>
      </c>
      <c r="AS46" s="3">
        <v>-19226.302986817034</v>
      </c>
    </row>
    <row r="47" spans="1:45">
      <c r="A47" s="21"/>
      <c r="B47" s="17" t="s">
        <v>76</v>
      </c>
      <c r="C47" s="17" t="s">
        <v>629</v>
      </c>
      <c r="D47" s="3">
        <v>0</v>
      </c>
      <c r="E47" s="3">
        <v>-22705</v>
      </c>
      <c r="F47" s="3">
        <v>537</v>
      </c>
      <c r="G47" s="3">
        <v>22168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-197</v>
      </c>
      <c r="AB47" s="3">
        <f t="shared" si="0"/>
        <v>-197</v>
      </c>
      <c r="AC47" s="3">
        <v>-1574</v>
      </c>
      <c r="AD47" s="3">
        <v>-279</v>
      </c>
      <c r="AE47" s="3">
        <v>-31</v>
      </c>
      <c r="AF47" s="3">
        <v>1468</v>
      </c>
      <c r="AG47" s="3">
        <v>5</v>
      </c>
      <c r="AH47" s="3">
        <v>188</v>
      </c>
      <c r="AI47" s="3">
        <v>-112</v>
      </c>
      <c r="AJ47" s="3">
        <v>19</v>
      </c>
      <c r="AK47" s="3">
        <v>-83</v>
      </c>
      <c r="AL47" s="3">
        <v>-253</v>
      </c>
      <c r="AM47" s="3">
        <v>-18</v>
      </c>
      <c r="AN47" s="3">
        <v>811</v>
      </c>
      <c r="AO47" s="3">
        <v>167</v>
      </c>
      <c r="AP47" s="3">
        <v>94</v>
      </c>
      <c r="AQ47" s="19">
        <v>4552</v>
      </c>
      <c r="AR47" s="19">
        <v>572</v>
      </c>
      <c r="AS47" s="3">
        <v>50</v>
      </c>
    </row>
    <row r="48" spans="1:45">
      <c r="A48" s="21"/>
      <c r="B48" s="17" t="s">
        <v>31</v>
      </c>
      <c r="C48" s="17" t="s">
        <v>443</v>
      </c>
      <c r="D48" s="3">
        <v>-30709</v>
      </c>
      <c r="E48" s="3">
        <v>285</v>
      </c>
      <c r="F48" s="3">
        <v>-2489</v>
      </c>
      <c r="G48" s="3">
        <v>-750</v>
      </c>
      <c r="H48" s="3">
        <v>-33663</v>
      </c>
      <c r="I48" s="3">
        <v>-17474</v>
      </c>
      <c r="J48" s="3">
        <v>37799</v>
      </c>
      <c r="K48" s="3">
        <v>-18242</v>
      </c>
      <c r="L48" s="3">
        <v>-16411</v>
      </c>
      <c r="M48" s="3">
        <v>-14328</v>
      </c>
      <c r="N48" s="3">
        <v>24952</v>
      </c>
      <c r="O48" s="3">
        <v>15285</v>
      </c>
      <c r="P48" s="3">
        <v>29988</v>
      </c>
      <c r="Q48" s="3">
        <v>-27617</v>
      </c>
      <c r="R48" s="3">
        <v>42608</v>
      </c>
      <c r="S48" s="3">
        <v>-69557</v>
      </c>
      <c r="T48" s="3">
        <v>17620</v>
      </c>
      <c r="U48" s="3">
        <v>-1470</v>
      </c>
      <c r="V48" s="3">
        <v>16967.999999999996</v>
      </c>
      <c r="W48" s="3">
        <v>-36439</v>
      </c>
      <c r="X48" s="3">
        <v>-26885</v>
      </c>
      <c r="Y48" s="3">
        <v>12962.000000000002</v>
      </c>
      <c r="Z48" s="3">
        <v>-26772</v>
      </c>
      <c r="AA48" s="3">
        <v>24560</v>
      </c>
      <c r="AB48" s="3">
        <f t="shared" si="0"/>
        <v>-16135</v>
      </c>
      <c r="AC48" s="3">
        <v>-5725</v>
      </c>
      <c r="AD48" s="3">
        <v>21064</v>
      </c>
      <c r="AE48" s="3">
        <v>-12952</v>
      </c>
      <c r="AF48" s="3">
        <v>31</v>
      </c>
      <c r="AG48" s="3">
        <v>-14650</v>
      </c>
      <c r="AH48" s="3">
        <v>-30093</v>
      </c>
      <c r="AI48" s="3">
        <v>9514</v>
      </c>
      <c r="AJ48" s="3">
        <v>39943</v>
      </c>
      <c r="AK48" s="3">
        <v>-14159</v>
      </c>
      <c r="AL48" s="3">
        <v>-22142.015127803985</v>
      </c>
      <c r="AM48" s="3">
        <v>11983.010978316481</v>
      </c>
      <c r="AN48" s="3">
        <v>15552.004149487504</v>
      </c>
      <c r="AO48" s="3">
        <v>-2245.4828572781444</v>
      </c>
      <c r="AP48" s="3">
        <v>-42468.517142721859</v>
      </c>
      <c r="AQ48" s="19">
        <v>20054.399688974197</v>
      </c>
      <c r="AR48" s="19">
        <v>-6704.5216632007578</v>
      </c>
      <c r="AS48" s="3">
        <v>861</v>
      </c>
    </row>
    <row r="49" spans="1:45">
      <c r="A49" s="21"/>
      <c r="B49" s="17" t="s">
        <v>32</v>
      </c>
      <c r="C49" s="17" t="s">
        <v>565</v>
      </c>
      <c r="D49" s="3">
        <v>-3241</v>
      </c>
      <c r="E49" s="3">
        <v>573</v>
      </c>
      <c r="F49" s="3">
        <v>7316</v>
      </c>
      <c r="G49" s="3">
        <v>-7965</v>
      </c>
      <c r="H49" s="3">
        <v>-3317</v>
      </c>
      <c r="I49" s="3">
        <v>814</v>
      </c>
      <c r="J49" s="3">
        <v>42</v>
      </c>
      <c r="K49" s="3">
        <v>1086</v>
      </c>
      <c r="L49" s="3">
        <v>-7599</v>
      </c>
      <c r="M49" s="3">
        <v>-5657</v>
      </c>
      <c r="N49" s="3">
        <v>-8131</v>
      </c>
      <c r="O49" s="3">
        <v>4754</v>
      </c>
      <c r="P49" s="3">
        <v>12450</v>
      </c>
      <c r="Q49" s="3">
        <v>-3202</v>
      </c>
      <c r="R49" s="3">
        <v>5871</v>
      </c>
      <c r="S49" s="3">
        <v>-3560</v>
      </c>
      <c r="T49" s="3">
        <v>1076</v>
      </c>
      <c r="U49" s="3">
        <v>3773</v>
      </c>
      <c r="V49" s="3">
        <v>-23908</v>
      </c>
      <c r="W49" s="3">
        <v>-22619</v>
      </c>
      <c r="X49" s="3">
        <v>6908</v>
      </c>
      <c r="Y49" s="3">
        <v>15131</v>
      </c>
      <c r="Z49" s="3">
        <v>10927.999999999996</v>
      </c>
      <c r="AA49" s="3">
        <v>6161</v>
      </c>
      <c r="AB49" s="3">
        <f t="shared" si="0"/>
        <v>39128</v>
      </c>
      <c r="AC49" s="3">
        <v>-7912</v>
      </c>
      <c r="AD49" s="3">
        <v>8503</v>
      </c>
      <c r="AE49" s="3">
        <v>22188</v>
      </c>
      <c r="AF49" s="3">
        <v>-15996</v>
      </c>
      <c r="AG49" s="3">
        <v>-5181</v>
      </c>
      <c r="AH49" s="3">
        <v>-2495</v>
      </c>
      <c r="AI49" s="3">
        <v>25660</v>
      </c>
      <c r="AJ49" s="3">
        <v>-6934.3796598419667</v>
      </c>
      <c r="AK49" s="3">
        <v>-19265.920434591044</v>
      </c>
      <c r="AL49" s="3">
        <v>12923.226371336927</v>
      </c>
      <c r="AM49" s="3">
        <v>22075.449810055328</v>
      </c>
      <c r="AN49" s="3">
        <v>1670.244253198789</v>
      </c>
      <c r="AO49" s="3">
        <v>-10029.83331581223</v>
      </c>
      <c r="AP49" s="3">
        <v>-1241.1666841877704</v>
      </c>
      <c r="AQ49" s="19">
        <v>16919.064629442146</v>
      </c>
      <c r="AR49" s="19">
        <v>-14015.70576220873</v>
      </c>
      <c r="AS49" s="3">
        <v>-18431.96507512312</v>
      </c>
    </row>
    <row r="50" spans="1:45">
      <c r="A50" s="21"/>
      <c r="B50" s="17" t="s">
        <v>41</v>
      </c>
      <c r="C50" s="17" t="s">
        <v>566</v>
      </c>
      <c r="D50" s="3">
        <v>3012</v>
      </c>
      <c r="E50" s="3">
        <v>-357</v>
      </c>
      <c r="F50" s="3">
        <v>-4855</v>
      </c>
      <c r="G50" s="3">
        <v>-3913</v>
      </c>
      <c r="H50" s="3">
        <v>-6113</v>
      </c>
      <c r="I50" s="3">
        <v>1926</v>
      </c>
      <c r="J50" s="3">
        <v>-6276</v>
      </c>
      <c r="K50" s="3">
        <v>2446</v>
      </c>
      <c r="L50" s="3">
        <v>11963</v>
      </c>
      <c r="M50" s="3">
        <v>10059</v>
      </c>
      <c r="N50" s="3">
        <v>1614</v>
      </c>
      <c r="O50" s="3">
        <v>-625</v>
      </c>
      <c r="P50" s="3">
        <v>-8189</v>
      </c>
      <c r="Q50" s="3">
        <v>6243</v>
      </c>
      <c r="R50" s="3">
        <v>-957</v>
      </c>
      <c r="S50" s="3">
        <v>939</v>
      </c>
      <c r="T50" s="3">
        <v>13679</v>
      </c>
      <c r="U50" s="3">
        <v>9907</v>
      </c>
      <c r="V50" s="3">
        <v>-6709</v>
      </c>
      <c r="W50" s="3">
        <v>17816</v>
      </c>
      <c r="X50" s="3">
        <v>-7840</v>
      </c>
      <c r="Y50" s="3">
        <v>-2327</v>
      </c>
      <c r="Z50" s="3">
        <v>2967.9999999999991</v>
      </c>
      <c r="AA50" s="3">
        <v>-5184</v>
      </c>
      <c r="AB50" s="3">
        <f t="shared" si="0"/>
        <v>-12383</v>
      </c>
      <c r="AC50" s="3">
        <v>8243</v>
      </c>
      <c r="AD50" s="3">
        <v>-12197</v>
      </c>
      <c r="AE50" s="3">
        <v>3518</v>
      </c>
      <c r="AF50" s="3">
        <v>16624</v>
      </c>
      <c r="AG50" s="3">
        <v>-1404</v>
      </c>
      <c r="AH50" s="3">
        <v>5399</v>
      </c>
      <c r="AI50" s="3">
        <v>12148</v>
      </c>
      <c r="AJ50" s="3">
        <v>8419.6939129083912</v>
      </c>
      <c r="AK50" s="3">
        <v>-3489.8268443910729</v>
      </c>
      <c r="AL50" s="3">
        <v>14754.099067023244</v>
      </c>
      <c r="AM50" s="3">
        <v>-7043.9992275073018</v>
      </c>
      <c r="AN50" s="3">
        <v>-7131.4135626373718</v>
      </c>
      <c r="AO50" s="3">
        <v>-12553.741186646919</v>
      </c>
      <c r="AP50" s="3">
        <v>0</v>
      </c>
      <c r="AQ50" s="19">
        <v>15337.741526274331</v>
      </c>
      <c r="AR50" s="19">
        <v>6557.8976577351641</v>
      </c>
      <c r="AS50" s="3">
        <v>-7540.5790809689452</v>
      </c>
    </row>
    <row r="51" spans="1:45">
      <c r="A51" s="21"/>
      <c r="B51" s="17" t="s">
        <v>165</v>
      </c>
      <c r="C51" s="17" t="s">
        <v>567</v>
      </c>
      <c r="D51" s="3">
        <v>-6792</v>
      </c>
      <c r="E51" s="3">
        <v>-4701</v>
      </c>
      <c r="F51" s="3">
        <v>-4780</v>
      </c>
      <c r="G51" s="3">
        <v>-5217</v>
      </c>
      <c r="H51" s="3">
        <v>-21490</v>
      </c>
      <c r="I51" s="3">
        <v>-8260</v>
      </c>
      <c r="J51" s="3">
        <v>-6217</v>
      </c>
      <c r="K51" s="3">
        <v>-10640</v>
      </c>
      <c r="L51" s="3">
        <v>-5585</v>
      </c>
      <c r="M51" s="3">
        <v>-30702</v>
      </c>
      <c r="N51" s="3">
        <v>-11002</v>
      </c>
      <c r="O51" s="3">
        <v>-4648</v>
      </c>
      <c r="P51" s="3">
        <v>-8024</v>
      </c>
      <c r="Q51" s="3">
        <v>-4203</v>
      </c>
      <c r="R51" s="3">
        <v>-27877</v>
      </c>
      <c r="S51" s="3">
        <v>-7534</v>
      </c>
      <c r="T51" s="3">
        <v>-210</v>
      </c>
      <c r="U51" s="3">
        <v>-705</v>
      </c>
      <c r="V51" s="3">
        <v>-6053.0000000000009</v>
      </c>
      <c r="W51" s="3">
        <v>-14502</v>
      </c>
      <c r="X51" s="3">
        <v>-4733</v>
      </c>
      <c r="Y51" s="3">
        <v>-3491.0000000000005</v>
      </c>
      <c r="Z51" s="3">
        <v>-2644.9999999999995</v>
      </c>
      <c r="AA51" s="3">
        <v>-11272</v>
      </c>
      <c r="AB51" s="3">
        <f t="shared" si="0"/>
        <v>-22141</v>
      </c>
      <c r="AC51" s="3">
        <v>-3204</v>
      </c>
      <c r="AD51" s="3">
        <v>-2959</v>
      </c>
      <c r="AE51" s="3">
        <v>-6054</v>
      </c>
      <c r="AF51" s="3">
        <v>-9257</v>
      </c>
      <c r="AG51" s="3">
        <v>-12944</v>
      </c>
      <c r="AH51" s="3">
        <v>3145</v>
      </c>
      <c r="AI51" s="3">
        <v>-29844</v>
      </c>
      <c r="AJ51" s="3">
        <v>27974</v>
      </c>
      <c r="AK51" s="3">
        <v>-11986</v>
      </c>
      <c r="AL51" s="3">
        <v>-7550</v>
      </c>
      <c r="AM51" s="3">
        <v>-5789</v>
      </c>
      <c r="AN51" s="3">
        <v>-11128</v>
      </c>
      <c r="AO51" s="3">
        <v>-4030</v>
      </c>
      <c r="AP51" s="3">
        <v>-11532</v>
      </c>
      <c r="AQ51" s="19">
        <v>-9357</v>
      </c>
      <c r="AR51" s="19">
        <v>-9120</v>
      </c>
      <c r="AS51" s="3">
        <v>-6728</v>
      </c>
    </row>
    <row r="52" spans="1:45">
      <c r="A52" s="21"/>
      <c r="B52" s="17" t="s">
        <v>166</v>
      </c>
      <c r="C52" s="17" t="s">
        <v>630</v>
      </c>
      <c r="D52" s="3">
        <v>-4812</v>
      </c>
      <c r="E52" s="3">
        <v>-1630</v>
      </c>
      <c r="F52" s="3">
        <v>-8836</v>
      </c>
      <c r="G52" s="3">
        <v>4966</v>
      </c>
      <c r="H52" s="3">
        <v>-10312</v>
      </c>
      <c r="I52" s="3">
        <v>-1094</v>
      </c>
      <c r="J52" s="3">
        <v>18274</v>
      </c>
      <c r="K52" s="3">
        <v>-5136</v>
      </c>
      <c r="L52" s="3">
        <v>-6313</v>
      </c>
      <c r="M52" s="3">
        <v>5731</v>
      </c>
      <c r="N52" s="3">
        <v>4191</v>
      </c>
      <c r="O52" s="3">
        <v>-790</v>
      </c>
      <c r="P52" s="3">
        <v>18364</v>
      </c>
      <c r="Q52" s="3">
        <v>-6139</v>
      </c>
      <c r="R52" s="3">
        <v>15626</v>
      </c>
      <c r="S52" s="3">
        <v>2407</v>
      </c>
      <c r="T52" s="3">
        <v>-7980</v>
      </c>
      <c r="U52" s="3">
        <v>8104</v>
      </c>
      <c r="V52" s="3">
        <v>-244.00000000000023</v>
      </c>
      <c r="W52" s="3">
        <v>2287</v>
      </c>
      <c r="X52" s="3">
        <v>955</v>
      </c>
      <c r="Y52" s="3">
        <v>-8395.9999999999982</v>
      </c>
      <c r="Z52" s="3">
        <v>-10076</v>
      </c>
      <c r="AA52" s="3">
        <v>6027</v>
      </c>
      <c r="AB52" s="3">
        <f t="shared" si="0"/>
        <v>-11490</v>
      </c>
      <c r="AC52" s="3">
        <v>26047</v>
      </c>
      <c r="AD52" s="3">
        <v>1340</v>
      </c>
      <c r="AE52" s="3">
        <v>-2092</v>
      </c>
      <c r="AF52" s="3">
        <v>-46765</v>
      </c>
      <c r="AG52" s="3">
        <v>9991</v>
      </c>
      <c r="AH52" s="3">
        <v>-915</v>
      </c>
      <c r="AI52" s="3">
        <v>-21333.088629999998</v>
      </c>
      <c r="AJ52" s="3">
        <v>-19332.940907357843</v>
      </c>
      <c r="AK52" s="3">
        <v>222.98848201032615</v>
      </c>
      <c r="AL52" s="3">
        <v>11845.572554933809</v>
      </c>
      <c r="AM52" s="3">
        <v>-14300.561036944135</v>
      </c>
      <c r="AN52" s="3">
        <v>-3143</v>
      </c>
      <c r="AO52" s="3">
        <v>-15616.437598017488</v>
      </c>
      <c r="AP52" s="3">
        <v>-4673.4379076967998</v>
      </c>
      <c r="AQ52" s="19">
        <v>-4064.6913742811339</v>
      </c>
      <c r="AR52" s="19">
        <v>15701.513481450987</v>
      </c>
      <c r="AS52" s="3">
        <v>-6548</v>
      </c>
    </row>
    <row r="53" spans="1:45">
      <c r="A53" s="21"/>
      <c r="B53" s="17" t="s">
        <v>167</v>
      </c>
      <c r="C53" s="17" t="s">
        <v>631</v>
      </c>
      <c r="D53" s="3">
        <v>0</v>
      </c>
      <c r="E53" s="3">
        <v>-1192</v>
      </c>
      <c r="F53" s="3">
        <v>-458</v>
      </c>
      <c r="G53" s="3">
        <v>-1328</v>
      </c>
      <c r="H53" s="3">
        <v>-2978</v>
      </c>
      <c r="I53" s="3">
        <v>-1604</v>
      </c>
      <c r="J53" s="3">
        <v>-300</v>
      </c>
      <c r="K53" s="3">
        <v>-613</v>
      </c>
      <c r="L53" s="3">
        <v>-101</v>
      </c>
      <c r="M53" s="3">
        <v>-2618</v>
      </c>
      <c r="N53" s="3">
        <v>-551</v>
      </c>
      <c r="O53" s="3">
        <v>-284</v>
      </c>
      <c r="P53" s="3">
        <v>-4809</v>
      </c>
      <c r="Q53" s="3">
        <v>-422</v>
      </c>
      <c r="R53" s="3">
        <v>-6066</v>
      </c>
      <c r="S53" s="3">
        <v>-213</v>
      </c>
      <c r="T53" s="3">
        <v>-242</v>
      </c>
      <c r="U53" s="3">
        <v>-780</v>
      </c>
      <c r="V53" s="3">
        <v>-426.99999999999983</v>
      </c>
      <c r="W53" s="3">
        <v>-1662</v>
      </c>
      <c r="X53" s="3">
        <v>-286</v>
      </c>
      <c r="Y53" s="3">
        <v>-614.00000000000011</v>
      </c>
      <c r="Z53" s="3">
        <v>-1422.0000000000002</v>
      </c>
      <c r="AA53" s="3">
        <v>-2027</v>
      </c>
      <c r="AB53" s="3">
        <f t="shared" si="0"/>
        <v>-4349</v>
      </c>
      <c r="AC53" s="3">
        <v>-883</v>
      </c>
      <c r="AD53" s="3">
        <v>-546</v>
      </c>
      <c r="AE53" s="3">
        <v>-1159</v>
      </c>
      <c r="AF53" s="3">
        <v>-601</v>
      </c>
      <c r="AG53" s="3">
        <v>-3087</v>
      </c>
      <c r="AH53" s="3">
        <v>-22411</v>
      </c>
      <c r="AI53" s="3">
        <v>-1784</v>
      </c>
      <c r="AJ53" s="3">
        <v>-1624</v>
      </c>
      <c r="AK53" s="3">
        <v>-253</v>
      </c>
      <c r="AL53" s="3">
        <v>-710</v>
      </c>
      <c r="AM53" s="3">
        <v>-591</v>
      </c>
      <c r="AN53" s="3">
        <v>-584</v>
      </c>
      <c r="AO53" s="3">
        <v>-340</v>
      </c>
      <c r="AP53" s="3">
        <v>-427</v>
      </c>
      <c r="AQ53" s="19">
        <v>-1320</v>
      </c>
      <c r="AR53" s="19">
        <v>-15491</v>
      </c>
      <c r="AS53" s="3">
        <v>-6772</v>
      </c>
    </row>
    <row r="54" spans="1:45">
      <c r="A54" s="21"/>
      <c r="B54" s="17" t="s">
        <v>378</v>
      </c>
      <c r="C54" s="17" t="s">
        <v>632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-800</v>
      </c>
      <c r="AB54" s="3">
        <f t="shared" si="0"/>
        <v>-800</v>
      </c>
      <c r="AC54" s="3">
        <v>-800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 t="s">
        <v>350</v>
      </c>
      <c r="AL54" s="3">
        <v>-6466</v>
      </c>
      <c r="AM54" s="3">
        <v>-180</v>
      </c>
      <c r="AN54" s="3">
        <v>20</v>
      </c>
      <c r="AO54" s="3">
        <v>0</v>
      </c>
      <c r="AP54" s="3">
        <v>0</v>
      </c>
      <c r="AQ54" s="19">
        <v>0</v>
      </c>
      <c r="AR54" s="19">
        <v>0</v>
      </c>
      <c r="AS54" s="3">
        <v>0</v>
      </c>
    </row>
    <row r="55" spans="1:45">
      <c r="A55" s="21"/>
      <c r="B55" s="17" t="s">
        <v>168</v>
      </c>
      <c r="C55" s="17" t="s">
        <v>633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-432</v>
      </c>
      <c r="AB55" s="3">
        <f t="shared" si="0"/>
        <v>-432</v>
      </c>
      <c r="AC55" s="3">
        <v>0</v>
      </c>
      <c r="AD55" s="3">
        <v>183</v>
      </c>
      <c r="AE55" s="3">
        <v>-1273</v>
      </c>
      <c r="AF55" s="3">
        <v>-36</v>
      </c>
      <c r="AG55" s="3">
        <v>0</v>
      </c>
      <c r="AH55" s="3">
        <v>0</v>
      </c>
      <c r="AI55" s="3">
        <v>0</v>
      </c>
      <c r="AJ55" s="3">
        <v>-598</v>
      </c>
      <c r="AK55" s="3">
        <v>42</v>
      </c>
      <c r="AL55" s="3">
        <v>43</v>
      </c>
      <c r="AM55" s="3">
        <v>-693</v>
      </c>
      <c r="AN55" s="3">
        <v>-320</v>
      </c>
      <c r="AO55" s="3">
        <v>-4500</v>
      </c>
      <c r="AP55" s="3">
        <v>-170</v>
      </c>
      <c r="AQ55" s="19">
        <v>-1506</v>
      </c>
      <c r="AR55" s="19">
        <v>-278</v>
      </c>
      <c r="AS55" s="3">
        <v>-345</v>
      </c>
    </row>
    <row r="56" spans="1:45">
      <c r="A56" s="21"/>
      <c r="B56" s="17" t="s">
        <v>50</v>
      </c>
      <c r="C56" s="17" t="s">
        <v>450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-1179</v>
      </c>
      <c r="V56" s="3">
        <v>-2.0000000000000018</v>
      </c>
      <c r="W56" s="3">
        <v>-1181</v>
      </c>
      <c r="X56" s="3">
        <v>0</v>
      </c>
      <c r="Y56" s="3">
        <v>-870</v>
      </c>
      <c r="Z56" s="3">
        <v>103.99999999999999</v>
      </c>
      <c r="AA56" s="3">
        <v>0</v>
      </c>
      <c r="AB56" s="3">
        <f t="shared" si="0"/>
        <v>-766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-379</v>
      </c>
      <c r="AK56" s="3">
        <v>-168</v>
      </c>
      <c r="AL56" s="3">
        <v>1</v>
      </c>
      <c r="AM56" s="3">
        <v>217</v>
      </c>
      <c r="AN56" s="3">
        <v>-574</v>
      </c>
      <c r="AO56" s="3">
        <v>-262</v>
      </c>
      <c r="AP56" s="3">
        <v>0</v>
      </c>
      <c r="AQ56" s="19">
        <v>-313</v>
      </c>
      <c r="AR56" s="19">
        <v>-9002</v>
      </c>
      <c r="AS56" s="3">
        <v>0</v>
      </c>
    </row>
    <row r="57" spans="1:45" ht="16.5" customHeight="1">
      <c r="A57" s="21"/>
      <c r="B57" s="17" t="s">
        <v>169</v>
      </c>
      <c r="C57" s="17" t="s">
        <v>569</v>
      </c>
      <c r="D57" s="3">
        <f t="shared" ref="D57:AO57" si="4">SUM(D42:D56)</f>
        <v>-53064</v>
      </c>
      <c r="E57" s="3">
        <f t="shared" si="4"/>
        <v>-86216</v>
      </c>
      <c r="F57" s="3">
        <f t="shared" si="4"/>
        <v>-24407</v>
      </c>
      <c r="G57" s="3">
        <f t="shared" si="4"/>
        <v>27384</v>
      </c>
      <c r="H57" s="3">
        <f t="shared" si="4"/>
        <v>-136303</v>
      </c>
      <c r="I57" s="3">
        <f t="shared" si="4"/>
        <v>-16464</v>
      </c>
      <c r="J57" s="3">
        <f t="shared" si="4"/>
        <v>-14870</v>
      </c>
      <c r="K57" s="3">
        <f t="shared" si="4"/>
        <v>-53838</v>
      </c>
      <c r="L57" s="3">
        <f t="shared" si="4"/>
        <v>-4207</v>
      </c>
      <c r="M57" s="3">
        <f t="shared" si="4"/>
        <v>-89379</v>
      </c>
      <c r="N57" s="3">
        <f t="shared" si="4"/>
        <v>-24716</v>
      </c>
      <c r="O57" s="3">
        <f t="shared" si="4"/>
        <v>-49938</v>
      </c>
      <c r="P57" s="3">
        <f t="shared" si="4"/>
        <v>-14208</v>
      </c>
      <c r="Q57" s="3">
        <f t="shared" si="4"/>
        <v>12417</v>
      </c>
      <c r="R57" s="3">
        <f t="shared" si="4"/>
        <v>-76445</v>
      </c>
      <c r="S57" s="3">
        <f t="shared" si="4"/>
        <v>-35651</v>
      </c>
      <c r="T57" s="3">
        <f t="shared" si="4"/>
        <v>47391</v>
      </c>
      <c r="U57" s="3">
        <f t="shared" si="4"/>
        <v>-27225</v>
      </c>
      <c r="V57" s="3">
        <f t="shared" si="4"/>
        <v>59574.42</v>
      </c>
      <c r="W57" s="3">
        <f t="shared" si="4"/>
        <v>44089</v>
      </c>
      <c r="X57" s="3">
        <f t="shared" si="4"/>
        <v>-128258.42</v>
      </c>
      <c r="Y57" s="3">
        <f t="shared" si="4"/>
        <v>-39532</v>
      </c>
      <c r="Z57" s="3">
        <f t="shared" si="4"/>
        <v>-3134.0000000000073</v>
      </c>
      <c r="AA57" s="3">
        <f t="shared" si="4"/>
        <v>35329</v>
      </c>
      <c r="AB57" s="3">
        <f t="shared" si="4"/>
        <v>-135595.41999999998</v>
      </c>
      <c r="AC57" s="3">
        <f t="shared" si="4"/>
        <v>-27625</v>
      </c>
      <c r="AD57" s="3">
        <f t="shared" si="4"/>
        <v>-24525</v>
      </c>
      <c r="AE57" s="3">
        <f t="shared" si="4"/>
        <v>-81429</v>
      </c>
      <c r="AF57" s="3">
        <f t="shared" si="4"/>
        <v>107482</v>
      </c>
      <c r="AG57" s="3">
        <f t="shared" si="4"/>
        <v>-98422</v>
      </c>
      <c r="AH57" s="3">
        <f t="shared" si="4"/>
        <v>-55496.31306</v>
      </c>
      <c r="AI57" s="3">
        <f t="shared" si="4"/>
        <v>81346.297277990539</v>
      </c>
      <c r="AJ57" s="3">
        <f t="shared" si="4"/>
        <v>79832.262840834243</v>
      </c>
      <c r="AK57" s="3">
        <f t="shared" si="4"/>
        <v>-152563.53909803234</v>
      </c>
      <c r="AL57" s="3">
        <f t="shared" si="4"/>
        <v>52147.647303738762</v>
      </c>
      <c r="AM57" s="3">
        <f t="shared" si="4"/>
        <v>-51569.459469240574</v>
      </c>
      <c r="AN57" s="3">
        <f t="shared" si="4"/>
        <v>50689.210696021648</v>
      </c>
      <c r="AO57" s="3">
        <f t="shared" si="4"/>
        <v>24406.67316029482</v>
      </c>
      <c r="AP57" s="3">
        <f>SUM(AP42:AP56)</f>
        <v>-74672.133489349362</v>
      </c>
      <c r="AQ57" s="19">
        <f>SUM(AQ42:AQ56)</f>
        <v>-13581.491099819661</v>
      </c>
      <c r="AR57" s="19">
        <f>SUM(AR42:AR56)</f>
        <v>276.20699559448258</v>
      </c>
      <c r="AS57" s="3">
        <f>SUM(AS42:AS56)</f>
        <v>-48171.199839212146</v>
      </c>
    </row>
    <row r="58" spans="1:45">
      <c r="A58" s="21"/>
      <c r="B58" s="17"/>
      <c r="C58" s="1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19"/>
      <c r="AR58" s="19"/>
      <c r="AS58" s="3"/>
    </row>
    <row r="59" spans="1:45" ht="16.5" customHeight="1">
      <c r="A59" s="21"/>
      <c r="B59" s="160" t="s">
        <v>170</v>
      </c>
      <c r="C59" s="160" t="s">
        <v>570</v>
      </c>
      <c r="D59" s="161">
        <f t="shared" ref="D59:AO59" si="5">D57+D40</f>
        <v>-10283</v>
      </c>
      <c r="E59" s="161">
        <f t="shared" si="5"/>
        <v>-34866</v>
      </c>
      <c r="F59" s="161">
        <f t="shared" si="5"/>
        <v>39459</v>
      </c>
      <c r="G59" s="161">
        <f t="shared" si="5"/>
        <v>87616</v>
      </c>
      <c r="H59" s="161">
        <f t="shared" si="5"/>
        <v>81926</v>
      </c>
      <c r="I59" s="161">
        <f t="shared" si="5"/>
        <v>46964</v>
      </c>
      <c r="J59" s="161">
        <f t="shared" si="5"/>
        <v>59901</v>
      </c>
      <c r="K59" s="161">
        <f t="shared" si="5"/>
        <v>39061</v>
      </c>
      <c r="L59" s="161">
        <f t="shared" si="5"/>
        <v>78492</v>
      </c>
      <c r="M59" s="161">
        <f t="shared" si="5"/>
        <v>224418</v>
      </c>
      <c r="N59" s="161">
        <f t="shared" si="5"/>
        <v>43412</v>
      </c>
      <c r="O59" s="161">
        <f t="shared" si="5"/>
        <v>25750</v>
      </c>
      <c r="P59" s="161">
        <f t="shared" si="5"/>
        <v>85826</v>
      </c>
      <c r="Q59" s="161">
        <f t="shared" si="5"/>
        <v>94439</v>
      </c>
      <c r="R59" s="161">
        <f t="shared" si="5"/>
        <v>249427</v>
      </c>
      <c r="S59" s="161">
        <f t="shared" si="5"/>
        <v>38631</v>
      </c>
      <c r="T59" s="161">
        <f t="shared" si="5"/>
        <v>66810</v>
      </c>
      <c r="U59" s="161">
        <f t="shared" si="5"/>
        <v>33402</v>
      </c>
      <c r="V59" s="161">
        <f t="shared" si="5"/>
        <v>144796.07</v>
      </c>
      <c r="W59" s="161">
        <f t="shared" si="5"/>
        <v>284509</v>
      </c>
      <c r="X59" s="161">
        <f t="shared" si="5"/>
        <v>-68397.42</v>
      </c>
      <c r="Y59" s="161">
        <f t="shared" si="5"/>
        <v>32938.179340000002</v>
      </c>
      <c r="Z59" s="161">
        <f t="shared" si="5"/>
        <v>104540</v>
      </c>
      <c r="AA59" s="161">
        <f t="shared" si="5"/>
        <v>131972</v>
      </c>
      <c r="AB59" s="161">
        <f t="shared" si="5"/>
        <v>201052.75934000005</v>
      </c>
      <c r="AC59" s="161">
        <f t="shared" si="5"/>
        <v>83516</v>
      </c>
      <c r="AD59" s="161">
        <f t="shared" si="5"/>
        <v>128300.99979999999</v>
      </c>
      <c r="AE59" s="161">
        <f t="shared" si="5"/>
        <v>63033</v>
      </c>
      <c r="AF59" s="161">
        <f t="shared" si="5"/>
        <v>269383.32500000001</v>
      </c>
      <c r="AG59" s="161">
        <f t="shared" si="5"/>
        <v>58370.999799999991</v>
      </c>
      <c r="AH59" s="161">
        <f t="shared" si="5"/>
        <v>97866.386329999994</v>
      </c>
      <c r="AI59" s="161">
        <f t="shared" si="5"/>
        <v>223442.55184799054</v>
      </c>
      <c r="AJ59" s="161">
        <f t="shared" si="5"/>
        <v>269444.61521083419</v>
      </c>
      <c r="AK59" s="161">
        <f t="shared" si="5"/>
        <v>-12661.437298032339</v>
      </c>
      <c r="AL59" s="161">
        <f t="shared" si="5"/>
        <v>173240.54530373876</v>
      </c>
      <c r="AM59" s="161">
        <f t="shared" si="5"/>
        <v>102808.95053075935</v>
      </c>
      <c r="AN59" s="161">
        <f t="shared" si="5"/>
        <v>174809.56690902164</v>
      </c>
      <c r="AO59" s="161">
        <f t="shared" si="5"/>
        <v>144963.67316029483</v>
      </c>
      <c r="AP59" s="161">
        <f>AP57+AP40</f>
        <v>26667.866510650638</v>
      </c>
      <c r="AQ59" s="194">
        <f>AQ57+AQ40</f>
        <v>127944.44164645599</v>
      </c>
      <c r="AR59" s="194">
        <f>AR57+AR40</f>
        <v>131551.00379041326</v>
      </c>
      <c r="AS59" s="161">
        <f>AS57+AS40</f>
        <v>40827.572600787884</v>
      </c>
    </row>
    <row r="60" spans="1:45">
      <c r="B60" s="17"/>
      <c r="C60" s="1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19"/>
      <c r="AR60" s="19"/>
      <c r="AS60" s="3"/>
    </row>
    <row r="61" spans="1:45">
      <c r="A61" s="21"/>
      <c r="B61" s="17" t="s">
        <v>171</v>
      </c>
      <c r="C61" s="17" t="s">
        <v>571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19"/>
      <c r="AR61" s="19"/>
      <c r="AS61" s="26"/>
    </row>
    <row r="62" spans="1:45">
      <c r="A62" s="21"/>
      <c r="B62" s="17" t="s">
        <v>172</v>
      </c>
      <c r="C62" s="17" t="s">
        <v>572</v>
      </c>
      <c r="D62" s="26">
        <v>-4942</v>
      </c>
      <c r="E62" s="26">
        <v>-8016</v>
      </c>
      <c r="F62" s="26">
        <v>3259</v>
      </c>
      <c r="G62" s="26">
        <v>-15483</v>
      </c>
      <c r="H62" s="26">
        <v>-25182</v>
      </c>
      <c r="I62" s="26">
        <v>-9377.6370000000006</v>
      </c>
      <c r="J62" s="26">
        <v>-6781.3629999999994</v>
      </c>
      <c r="K62" s="26">
        <v>-9772.9999999999982</v>
      </c>
      <c r="L62" s="26">
        <v>-17566</v>
      </c>
      <c r="M62" s="26">
        <v>-43498</v>
      </c>
      <c r="N62" s="26">
        <v>-10147</v>
      </c>
      <c r="O62" s="26">
        <v>-13375</v>
      </c>
      <c r="P62" s="26">
        <v>-34904</v>
      </c>
      <c r="Q62" s="26">
        <v>-20904</v>
      </c>
      <c r="R62" s="26">
        <v>-79330</v>
      </c>
      <c r="S62" s="26">
        <v>-17059</v>
      </c>
      <c r="T62" s="26">
        <v>-19342</v>
      </c>
      <c r="U62" s="26">
        <v>-8995</v>
      </c>
      <c r="V62" s="26">
        <v>-33569</v>
      </c>
      <c r="W62" s="26">
        <v>-78965</v>
      </c>
      <c r="X62" s="26">
        <v>-18200</v>
      </c>
      <c r="Y62" s="26">
        <v>-5643.0000000000009</v>
      </c>
      <c r="Z62" s="26">
        <v>-17031.000000000004</v>
      </c>
      <c r="AA62" s="26">
        <v>-17398</v>
      </c>
      <c r="AB62" s="26">
        <f t="shared" si="0"/>
        <v>-58272</v>
      </c>
      <c r="AC62" s="26">
        <v>-15065</v>
      </c>
      <c r="AD62" s="26">
        <v>-28003</v>
      </c>
      <c r="AE62" s="26">
        <v>-11594</v>
      </c>
      <c r="AF62" s="26">
        <v>-7707</v>
      </c>
      <c r="AG62" s="26">
        <v>-4864</v>
      </c>
      <c r="AH62" s="26">
        <v>-6223</v>
      </c>
      <c r="AI62" s="26">
        <v>-10068</v>
      </c>
      <c r="AJ62" s="26">
        <v>-7095</v>
      </c>
      <c r="AK62" s="26">
        <v>-9319</v>
      </c>
      <c r="AL62" s="26">
        <v>-4890</v>
      </c>
      <c r="AM62" s="26">
        <v>-17501</v>
      </c>
      <c r="AN62" s="26">
        <v>-19345</v>
      </c>
      <c r="AO62" s="26">
        <v>-3037</v>
      </c>
      <c r="AP62" s="26">
        <v>-6871</v>
      </c>
      <c r="AQ62" s="19">
        <v>-18107</v>
      </c>
      <c r="AR62" s="19">
        <v>-24535</v>
      </c>
      <c r="AS62" s="26">
        <v>-16933</v>
      </c>
    </row>
    <row r="63" spans="1:45">
      <c r="A63" s="21"/>
      <c r="B63" s="17" t="s">
        <v>173</v>
      </c>
      <c r="C63" s="17" t="s">
        <v>573</v>
      </c>
      <c r="D63" s="26">
        <v>-4002</v>
      </c>
      <c r="E63" s="26">
        <v>-4821</v>
      </c>
      <c r="F63" s="26">
        <v>-3545</v>
      </c>
      <c r="G63" s="26">
        <v>-8931</v>
      </c>
      <c r="H63" s="26">
        <v>-21299</v>
      </c>
      <c r="I63" s="26">
        <v>-6439</v>
      </c>
      <c r="J63" s="26">
        <v>-9377</v>
      </c>
      <c r="K63" s="26">
        <v>-6840</v>
      </c>
      <c r="L63" s="26">
        <v>-9553</v>
      </c>
      <c r="M63" s="26">
        <v>-32209</v>
      </c>
      <c r="N63" s="26">
        <v>-8734</v>
      </c>
      <c r="O63" s="26">
        <v>-8455</v>
      </c>
      <c r="P63" s="26">
        <v>-9611</v>
      </c>
      <c r="Q63" s="26">
        <v>-8836</v>
      </c>
      <c r="R63" s="26">
        <v>-35636</v>
      </c>
      <c r="S63" s="26">
        <v>-2565</v>
      </c>
      <c r="T63" s="26">
        <v>-13957</v>
      </c>
      <c r="U63" s="26">
        <v>-12366</v>
      </c>
      <c r="V63" s="26">
        <v>-20725.877689999994</v>
      </c>
      <c r="W63" s="26">
        <v>-49614</v>
      </c>
      <c r="X63" s="26">
        <v>-22225</v>
      </c>
      <c r="Y63" s="26">
        <v>-2828.9999999999973</v>
      </c>
      <c r="Z63" s="26">
        <v>-13213.000000000004</v>
      </c>
      <c r="AA63" s="26">
        <v>-15341</v>
      </c>
      <c r="AB63" s="26">
        <f t="shared" si="0"/>
        <v>-53608</v>
      </c>
      <c r="AC63" s="26">
        <v>-10139</v>
      </c>
      <c r="AD63" s="26">
        <v>-5405</v>
      </c>
      <c r="AE63" s="26">
        <v>-7106</v>
      </c>
      <c r="AF63" s="26">
        <v>-5825</v>
      </c>
      <c r="AG63" s="26">
        <v>-3655</v>
      </c>
      <c r="AH63" s="26">
        <v>-9297</v>
      </c>
      <c r="AI63" s="26">
        <v>-4422.5676499999972</v>
      </c>
      <c r="AJ63" s="26">
        <v>-5544.4323500000028</v>
      </c>
      <c r="AK63" s="26">
        <v>-3235</v>
      </c>
      <c r="AL63" s="26">
        <v>-5079</v>
      </c>
      <c r="AM63" s="26">
        <v>-5325</v>
      </c>
      <c r="AN63" s="26">
        <v>-14476</v>
      </c>
      <c r="AO63" s="26">
        <v>-19906</v>
      </c>
      <c r="AP63" s="26">
        <v>-15668</v>
      </c>
      <c r="AQ63" s="19">
        <v>-24138</v>
      </c>
      <c r="AR63" s="19">
        <v>-15285</v>
      </c>
      <c r="AS63" s="26">
        <v>-12958</v>
      </c>
    </row>
    <row r="64" spans="1:45">
      <c r="A64" s="21"/>
      <c r="B64" s="17" t="s">
        <v>174</v>
      </c>
      <c r="C64" s="17" t="s">
        <v>561</v>
      </c>
      <c r="D64" s="26">
        <v>5924</v>
      </c>
      <c r="E64" s="26">
        <v>83</v>
      </c>
      <c r="F64" s="26">
        <v>-165</v>
      </c>
      <c r="G64" s="26">
        <v>-16225</v>
      </c>
      <c r="H64" s="26">
        <v>-10383</v>
      </c>
      <c r="I64" s="26">
        <v>-169</v>
      </c>
      <c r="J64" s="26">
        <v>-207</v>
      </c>
      <c r="K64" s="26">
        <v>18735</v>
      </c>
      <c r="L64" s="26">
        <v>-338</v>
      </c>
      <c r="M64" s="26">
        <v>18021</v>
      </c>
      <c r="N64" s="26">
        <v>-464</v>
      </c>
      <c r="O64" s="26">
        <v>-257</v>
      </c>
      <c r="P64" s="26">
        <v>-365</v>
      </c>
      <c r="Q64" s="26">
        <v>-541</v>
      </c>
      <c r="R64" s="26">
        <v>-1627</v>
      </c>
      <c r="S64" s="26">
        <v>-483</v>
      </c>
      <c r="T64" s="26">
        <v>-145</v>
      </c>
      <c r="U64" s="26">
        <v>-670</v>
      </c>
      <c r="V64" s="26">
        <v>-1020</v>
      </c>
      <c r="W64" s="26">
        <v>-2318</v>
      </c>
      <c r="X64" s="26">
        <v>-429</v>
      </c>
      <c r="Y64" s="26">
        <v>-565</v>
      </c>
      <c r="Z64" s="26">
        <v>-497.00000000000011</v>
      </c>
      <c r="AA64" s="26">
        <v>-240</v>
      </c>
      <c r="AB64" s="26">
        <f t="shared" si="0"/>
        <v>-1731</v>
      </c>
      <c r="AC64" s="26">
        <v>-826</v>
      </c>
      <c r="AD64" s="26">
        <v>-305</v>
      </c>
      <c r="AE64" s="26">
        <v>-265</v>
      </c>
      <c r="AF64" s="26">
        <v>-470</v>
      </c>
      <c r="AG64" s="26">
        <v>-500</v>
      </c>
      <c r="AH64" s="26">
        <v>0</v>
      </c>
      <c r="AI64" s="26">
        <v>-113</v>
      </c>
      <c r="AJ64" s="26">
        <v>10</v>
      </c>
      <c r="AK64" s="26" t="s">
        <v>350</v>
      </c>
      <c r="AL64" s="26">
        <v>-163</v>
      </c>
      <c r="AM64" s="26">
        <v>-6</v>
      </c>
      <c r="AN64" s="26">
        <v>-32722</v>
      </c>
      <c r="AO64" s="26">
        <v>-9346</v>
      </c>
      <c r="AP64" s="26">
        <v>-2</v>
      </c>
      <c r="AQ64" s="19">
        <v>1</v>
      </c>
      <c r="AR64" s="19">
        <v>-1</v>
      </c>
      <c r="AS64" s="26">
        <v>0</v>
      </c>
    </row>
    <row r="65" spans="1:45">
      <c r="A65" s="21"/>
      <c r="B65" s="17" t="s">
        <v>175</v>
      </c>
      <c r="C65" s="17" t="s">
        <v>634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-34033</v>
      </c>
      <c r="U65" s="26">
        <v>-84</v>
      </c>
      <c r="V65" s="26">
        <v>-23046</v>
      </c>
      <c r="W65" s="26">
        <v>-57163</v>
      </c>
      <c r="X65" s="26">
        <v>-21287</v>
      </c>
      <c r="Y65" s="26">
        <v>-91475</v>
      </c>
      <c r="Z65" s="26">
        <v>-2453.9999999999936</v>
      </c>
      <c r="AA65" s="26">
        <v>2691</v>
      </c>
      <c r="AB65" s="26">
        <f t="shared" si="0"/>
        <v>-112525</v>
      </c>
      <c r="AC65" s="26">
        <v>-4942</v>
      </c>
      <c r="AD65" s="26">
        <v>-106163</v>
      </c>
      <c r="AE65" s="26">
        <v>53484</v>
      </c>
      <c r="AF65" s="26">
        <v>79242</v>
      </c>
      <c r="AG65" s="26">
        <v>-2155</v>
      </c>
      <c r="AH65" s="26">
        <v>-7073</v>
      </c>
      <c r="AI65" s="26">
        <v>2293</v>
      </c>
      <c r="AJ65" s="26">
        <v>-41920</v>
      </c>
      <c r="AK65" s="26">
        <v>3648</v>
      </c>
      <c r="AL65" s="26">
        <v>-1874</v>
      </c>
      <c r="AM65" s="26">
        <v>-5286</v>
      </c>
      <c r="AN65" s="26">
        <v>32304</v>
      </c>
      <c r="AO65" s="26">
        <v>40780</v>
      </c>
      <c r="AP65" s="26">
        <v>2881</v>
      </c>
      <c r="AQ65" s="19">
        <v>3671</v>
      </c>
      <c r="AR65" s="19">
        <v>8241</v>
      </c>
      <c r="AS65" s="26">
        <v>7327</v>
      </c>
    </row>
    <row r="66" spans="1:45">
      <c r="A66" s="21"/>
      <c r="B66" s="17" t="s">
        <v>308</v>
      </c>
      <c r="C66" s="17" t="s">
        <v>635</v>
      </c>
      <c r="D66" s="26">
        <v>0</v>
      </c>
      <c r="E66" s="26">
        <v>0</v>
      </c>
      <c r="F66" s="26">
        <v>-596</v>
      </c>
      <c r="G66" s="26">
        <v>596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f t="shared" si="0"/>
        <v>0</v>
      </c>
      <c r="AC66" s="26">
        <v>0</v>
      </c>
      <c r="AD66" s="26" t="s">
        <v>350</v>
      </c>
      <c r="AE66" s="26" t="s">
        <v>350</v>
      </c>
      <c r="AF66" s="26">
        <v>-12000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 t="s">
        <v>350</v>
      </c>
      <c r="AN66" s="26" t="s">
        <v>350</v>
      </c>
      <c r="AO66" s="26" t="s">
        <v>350</v>
      </c>
      <c r="AP66" s="26" t="s">
        <v>350</v>
      </c>
      <c r="AQ66" s="19">
        <v>0</v>
      </c>
      <c r="AR66" s="19">
        <v>0</v>
      </c>
      <c r="AS66" s="26">
        <v>0</v>
      </c>
    </row>
    <row r="67" spans="1:45">
      <c r="A67" s="21"/>
      <c r="B67" s="17" t="s">
        <v>177</v>
      </c>
      <c r="C67" s="17" t="s">
        <v>636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-3288</v>
      </c>
      <c r="T67" s="26">
        <v>-1</v>
      </c>
      <c r="U67" s="26">
        <v>0</v>
      </c>
      <c r="V67" s="26">
        <v>0</v>
      </c>
      <c r="W67" s="26">
        <v>-3289</v>
      </c>
      <c r="X67" s="26">
        <v>-2100</v>
      </c>
      <c r="Y67" s="26">
        <v>0</v>
      </c>
      <c r="Z67" s="26">
        <v>0</v>
      </c>
      <c r="AA67" s="26">
        <v>0</v>
      </c>
      <c r="AB67" s="26">
        <f t="shared" si="0"/>
        <v>-2100</v>
      </c>
      <c r="AC67" s="26">
        <v>0</v>
      </c>
      <c r="AD67" s="26" t="s">
        <v>350</v>
      </c>
      <c r="AE67" s="26" t="s">
        <v>350</v>
      </c>
      <c r="AF67" s="26" t="s">
        <v>350</v>
      </c>
      <c r="AG67" s="26" t="s">
        <v>350</v>
      </c>
      <c r="AH67" s="26" t="s">
        <v>350</v>
      </c>
      <c r="AI67" s="26" t="s">
        <v>350</v>
      </c>
      <c r="AJ67" s="26" t="s">
        <v>350</v>
      </c>
      <c r="AK67" s="26" t="s">
        <v>350</v>
      </c>
      <c r="AL67" s="26">
        <v>0</v>
      </c>
      <c r="AM67" s="26" t="s">
        <v>350</v>
      </c>
      <c r="AN67" s="26">
        <v>-20939</v>
      </c>
      <c r="AO67" s="26">
        <v>-7108.7580084649162</v>
      </c>
      <c r="AP67" s="26">
        <v>-55890</v>
      </c>
      <c r="AQ67" s="19">
        <v>71.401679304915888</v>
      </c>
      <c r="AR67" s="19">
        <v>-1498.0308399999922</v>
      </c>
      <c r="AS67" s="26">
        <v>0</v>
      </c>
    </row>
    <row r="68" spans="1:45">
      <c r="A68" s="21"/>
      <c r="B68" s="17" t="s">
        <v>178</v>
      </c>
      <c r="C68" s="17" t="s">
        <v>637</v>
      </c>
      <c r="D68" s="26">
        <v>0</v>
      </c>
      <c r="E68" s="26">
        <v>0</v>
      </c>
      <c r="F68" s="26">
        <v>-37147</v>
      </c>
      <c r="G68" s="26">
        <v>0</v>
      </c>
      <c r="H68" s="26">
        <v>-37147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f t="shared" si="0"/>
        <v>0</v>
      </c>
      <c r="AC68" s="26">
        <v>0</v>
      </c>
      <c r="AD68" s="26" t="s">
        <v>350</v>
      </c>
      <c r="AE68" s="26" t="s">
        <v>350</v>
      </c>
      <c r="AF68" s="26" t="s">
        <v>350</v>
      </c>
      <c r="AG68" s="26" t="s">
        <v>350</v>
      </c>
      <c r="AH68" s="26" t="s">
        <v>350</v>
      </c>
      <c r="AI68" s="26" t="s">
        <v>350</v>
      </c>
      <c r="AJ68" s="26" t="s">
        <v>350</v>
      </c>
      <c r="AK68" s="26">
        <v>174146</v>
      </c>
      <c r="AL68" s="26">
        <v>0</v>
      </c>
      <c r="AM68" s="26" t="s">
        <v>350</v>
      </c>
      <c r="AN68" s="26" t="s">
        <v>350</v>
      </c>
      <c r="AO68" s="26" t="s">
        <v>350</v>
      </c>
      <c r="AP68" s="26" t="s">
        <v>350</v>
      </c>
      <c r="AQ68" s="19">
        <v>0</v>
      </c>
      <c r="AR68" s="19">
        <v>0</v>
      </c>
      <c r="AS68" s="26">
        <v>0</v>
      </c>
    </row>
    <row r="69" spans="1:45">
      <c r="A69" s="21"/>
      <c r="B69" s="17" t="s">
        <v>357</v>
      </c>
      <c r="C69" s="17" t="s">
        <v>638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-790</v>
      </c>
      <c r="L69" s="26">
        <v>105</v>
      </c>
      <c r="M69" s="26">
        <v>-685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f t="shared" si="0"/>
        <v>0</v>
      </c>
      <c r="AC69" s="26">
        <v>0</v>
      </c>
      <c r="AD69" s="26" t="s">
        <v>350</v>
      </c>
      <c r="AE69" s="26" t="s">
        <v>350</v>
      </c>
      <c r="AF69" s="26" t="s">
        <v>350</v>
      </c>
      <c r="AG69" s="26" t="s">
        <v>350</v>
      </c>
      <c r="AH69" s="26" t="s">
        <v>350</v>
      </c>
      <c r="AI69" s="26" t="s">
        <v>350</v>
      </c>
      <c r="AJ69" s="26" t="s">
        <v>350</v>
      </c>
      <c r="AK69" s="26" t="s">
        <v>350</v>
      </c>
      <c r="AL69" s="26">
        <v>0</v>
      </c>
      <c r="AM69" s="26" t="s">
        <v>350</v>
      </c>
      <c r="AN69" s="26" t="s">
        <v>350</v>
      </c>
      <c r="AO69" s="26">
        <v>-33102</v>
      </c>
      <c r="AP69" s="26">
        <v>12169</v>
      </c>
      <c r="AQ69" s="19">
        <v>20933</v>
      </c>
      <c r="AR69" s="19">
        <v>0</v>
      </c>
      <c r="AS69" s="26">
        <v>0</v>
      </c>
    </row>
    <row r="70" spans="1:45">
      <c r="A70" s="25"/>
      <c r="B70" s="17" t="s">
        <v>179</v>
      </c>
      <c r="C70" s="17" t="s">
        <v>639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f t="shared" si="0"/>
        <v>0</v>
      </c>
      <c r="AC70" s="26">
        <v>0</v>
      </c>
      <c r="AD70" s="26" t="s">
        <v>350</v>
      </c>
      <c r="AE70" s="26" t="s">
        <v>350</v>
      </c>
      <c r="AF70" s="26" t="s">
        <v>350</v>
      </c>
      <c r="AG70" s="26" t="s">
        <v>350</v>
      </c>
      <c r="AH70" s="26">
        <v>-17992</v>
      </c>
      <c r="AI70" s="26">
        <v>0</v>
      </c>
      <c r="AJ70" s="26">
        <v>0</v>
      </c>
      <c r="AK70" s="26" t="s">
        <v>350</v>
      </c>
      <c r="AL70" s="26">
        <v>0</v>
      </c>
      <c r="AM70" s="26" t="s">
        <v>350</v>
      </c>
      <c r="AN70" s="26" t="s">
        <v>350</v>
      </c>
      <c r="AO70" s="26" t="s">
        <v>350</v>
      </c>
      <c r="AP70" s="26" t="s">
        <v>350</v>
      </c>
      <c r="AQ70" s="19">
        <v>0</v>
      </c>
      <c r="AR70" s="19">
        <v>0</v>
      </c>
      <c r="AS70" s="26">
        <v>0</v>
      </c>
    </row>
    <row r="71" spans="1:45">
      <c r="A71" s="25"/>
      <c r="B71" s="17" t="s">
        <v>180</v>
      </c>
      <c r="C71" s="17" t="s">
        <v>640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-3451</v>
      </c>
      <c r="M71" s="26">
        <v>-3451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f t="shared" si="0"/>
        <v>0</v>
      </c>
      <c r="AC71" s="26">
        <v>0</v>
      </c>
      <c r="AD71" s="26" t="s">
        <v>350</v>
      </c>
      <c r="AE71" s="26" t="s">
        <v>350</v>
      </c>
      <c r="AF71" s="26" t="s">
        <v>350</v>
      </c>
      <c r="AG71" s="26" t="s">
        <v>350</v>
      </c>
      <c r="AH71" s="26" t="s">
        <v>350</v>
      </c>
      <c r="AI71" s="26" t="s">
        <v>350</v>
      </c>
      <c r="AJ71" s="26" t="s">
        <v>350</v>
      </c>
      <c r="AK71" s="26" t="s">
        <v>350</v>
      </c>
      <c r="AL71" s="26">
        <v>0</v>
      </c>
      <c r="AM71" s="26" t="s">
        <v>350</v>
      </c>
      <c r="AN71" s="26" t="s">
        <v>350</v>
      </c>
      <c r="AO71" s="26" t="s">
        <v>350</v>
      </c>
      <c r="AP71" s="26" t="s">
        <v>350</v>
      </c>
      <c r="AQ71" s="19">
        <v>0</v>
      </c>
      <c r="AR71" s="19">
        <v>0</v>
      </c>
      <c r="AS71" s="26">
        <v>0</v>
      </c>
    </row>
    <row r="72" spans="1:45">
      <c r="A72" s="25"/>
      <c r="B72" s="17" t="s">
        <v>181</v>
      </c>
      <c r="C72" s="17" t="s">
        <v>641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-1950</v>
      </c>
      <c r="R72" s="26">
        <v>-1950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f t="shared" si="0"/>
        <v>0</v>
      </c>
      <c r="AC72" s="26">
        <v>0</v>
      </c>
      <c r="AD72" s="26" t="s">
        <v>350</v>
      </c>
      <c r="AE72" s="26" t="s">
        <v>350</v>
      </c>
      <c r="AF72" s="26" t="s">
        <v>350</v>
      </c>
      <c r="AG72" s="26" t="s">
        <v>350</v>
      </c>
      <c r="AH72" s="26" t="s">
        <v>350</v>
      </c>
      <c r="AI72" s="26" t="s">
        <v>350</v>
      </c>
      <c r="AJ72" s="26" t="s">
        <v>350</v>
      </c>
      <c r="AK72" s="26" t="s">
        <v>350</v>
      </c>
      <c r="AL72" s="26">
        <v>0</v>
      </c>
      <c r="AM72" s="26" t="s">
        <v>350</v>
      </c>
      <c r="AN72" s="26" t="s">
        <v>350</v>
      </c>
      <c r="AO72" s="26" t="s">
        <v>350</v>
      </c>
      <c r="AP72" s="26" t="s">
        <v>350</v>
      </c>
      <c r="AQ72" s="19">
        <v>0</v>
      </c>
      <c r="AR72" s="19">
        <v>0</v>
      </c>
      <c r="AS72" s="26">
        <v>0</v>
      </c>
    </row>
    <row r="73" spans="1:45">
      <c r="A73" s="25"/>
      <c r="B73" s="17" t="s">
        <v>182</v>
      </c>
      <c r="C73" s="17" t="s">
        <v>642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-4691</v>
      </c>
      <c r="U73" s="26">
        <v>0</v>
      </c>
      <c r="V73" s="26">
        <v>-1575.0000000000002</v>
      </c>
      <c r="W73" s="26">
        <v>-6266</v>
      </c>
      <c r="X73" s="26">
        <v>0</v>
      </c>
      <c r="Y73" s="26">
        <v>0</v>
      </c>
      <c r="Z73" s="26">
        <v>0</v>
      </c>
      <c r="AA73" s="26">
        <v>0</v>
      </c>
      <c r="AB73" s="26">
        <f t="shared" si="0"/>
        <v>0</v>
      </c>
      <c r="AC73" s="26">
        <v>0</v>
      </c>
      <c r="AD73" s="26" t="s">
        <v>350</v>
      </c>
      <c r="AE73" s="26" t="s">
        <v>350</v>
      </c>
      <c r="AF73" s="26" t="s">
        <v>350</v>
      </c>
      <c r="AG73" s="26" t="s">
        <v>350</v>
      </c>
      <c r="AH73" s="26" t="s">
        <v>350</v>
      </c>
      <c r="AI73" s="26" t="s">
        <v>350</v>
      </c>
      <c r="AJ73" s="26" t="s">
        <v>350</v>
      </c>
      <c r="AK73" s="26">
        <v>3534</v>
      </c>
      <c r="AL73" s="26">
        <v>0</v>
      </c>
      <c r="AM73" s="26" t="s">
        <v>350</v>
      </c>
      <c r="AN73" s="26">
        <v>0</v>
      </c>
      <c r="AO73" s="26" t="s">
        <v>350</v>
      </c>
      <c r="AP73" s="26" t="s">
        <v>350</v>
      </c>
      <c r="AQ73" s="19">
        <v>0</v>
      </c>
      <c r="AR73" s="19">
        <v>0</v>
      </c>
      <c r="AS73" s="26">
        <v>0</v>
      </c>
    </row>
    <row r="74" spans="1:45">
      <c r="A74" s="25"/>
      <c r="B74" s="17" t="s">
        <v>183</v>
      </c>
      <c r="C74" s="17" t="s">
        <v>643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327</v>
      </c>
      <c r="U74" s="26">
        <v>0</v>
      </c>
      <c r="V74" s="26">
        <v>-518</v>
      </c>
      <c r="W74" s="26">
        <v>-191</v>
      </c>
      <c r="X74" s="26">
        <v>0</v>
      </c>
      <c r="Y74" s="26">
        <v>0</v>
      </c>
      <c r="Z74" s="26">
        <v>0</v>
      </c>
      <c r="AA74" s="26">
        <v>0</v>
      </c>
      <c r="AB74" s="26">
        <f t="shared" si="0"/>
        <v>0</v>
      </c>
      <c r="AC74" s="26">
        <v>0</v>
      </c>
      <c r="AD74" s="26" t="s">
        <v>350</v>
      </c>
      <c r="AE74" s="26" t="s">
        <v>350</v>
      </c>
      <c r="AF74" s="26" t="s">
        <v>350</v>
      </c>
      <c r="AG74" s="26" t="s">
        <v>350</v>
      </c>
      <c r="AH74" s="26" t="s">
        <v>350</v>
      </c>
      <c r="AI74" s="26" t="s">
        <v>350</v>
      </c>
      <c r="AJ74" s="26" t="s">
        <v>350</v>
      </c>
      <c r="AK74" s="26" t="s">
        <v>350</v>
      </c>
      <c r="AL74" s="26">
        <v>-8911</v>
      </c>
      <c r="AM74" s="26">
        <v>-5887</v>
      </c>
      <c r="AN74" s="26">
        <v>-5918</v>
      </c>
      <c r="AO74" s="26" t="s">
        <v>350</v>
      </c>
      <c r="AP74" s="26" t="s">
        <v>350</v>
      </c>
      <c r="AQ74" s="19">
        <v>0</v>
      </c>
      <c r="AR74" s="19">
        <v>0</v>
      </c>
      <c r="AS74" s="26">
        <v>0</v>
      </c>
    </row>
    <row r="75" spans="1:45">
      <c r="A75" s="25"/>
      <c r="B75" s="17" t="s">
        <v>184</v>
      </c>
      <c r="C75" s="17" t="s">
        <v>644</v>
      </c>
      <c r="D75" s="26" t="s">
        <v>350</v>
      </c>
      <c r="E75" s="26" t="s">
        <v>350</v>
      </c>
      <c r="F75" s="26" t="s">
        <v>350</v>
      </c>
      <c r="G75" s="26" t="s">
        <v>350</v>
      </c>
      <c r="H75" s="26">
        <v>0</v>
      </c>
      <c r="I75" s="26" t="s">
        <v>350</v>
      </c>
      <c r="J75" s="26" t="s">
        <v>350</v>
      </c>
      <c r="K75" s="26" t="s">
        <v>350</v>
      </c>
      <c r="L75" s="26" t="s">
        <v>350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-8094</v>
      </c>
      <c r="V75" s="26">
        <v>0</v>
      </c>
      <c r="W75" s="26">
        <v>-8094</v>
      </c>
      <c r="X75" s="26">
        <v>0</v>
      </c>
      <c r="Y75" s="26">
        <v>0</v>
      </c>
      <c r="Z75" s="26">
        <v>0</v>
      </c>
      <c r="AA75" s="26">
        <v>0</v>
      </c>
      <c r="AB75" s="26">
        <f t="shared" si="0"/>
        <v>0</v>
      </c>
      <c r="AC75" s="26">
        <v>0</v>
      </c>
      <c r="AD75" s="26" t="s">
        <v>350</v>
      </c>
      <c r="AE75" s="26" t="s">
        <v>350</v>
      </c>
      <c r="AF75" s="26" t="s">
        <v>350</v>
      </c>
      <c r="AG75" s="26" t="s">
        <v>350</v>
      </c>
      <c r="AH75" s="26" t="s">
        <v>350</v>
      </c>
      <c r="AI75" s="26" t="s">
        <v>350</v>
      </c>
      <c r="AJ75" s="26" t="s">
        <v>350</v>
      </c>
      <c r="AK75" s="26" t="s">
        <v>350</v>
      </c>
      <c r="AL75" s="26">
        <v>0</v>
      </c>
      <c r="AM75" s="26" t="s">
        <v>350</v>
      </c>
      <c r="AN75" s="26" t="s">
        <v>350</v>
      </c>
      <c r="AO75" s="26" t="s">
        <v>350</v>
      </c>
      <c r="AP75" s="26" t="s">
        <v>350</v>
      </c>
      <c r="AQ75" s="19">
        <v>0</v>
      </c>
      <c r="AR75" s="19">
        <v>0</v>
      </c>
      <c r="AS75" s="26" t="s">
        <v>350</v>
      </c>
    </row>
    <row r="76" spans="1:45">
      <c r="A76" s="25"/>
      <c r="B76" s="17" t="s">
        <v>775</v>
      </c>
      <c r="C76" s="17" t="s">
        <v>776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-33659</v>
      </c>
      <c r="AS76" s="19">
        <v>-2371</v>
      </c>
    </row>
    <row r="77" spans="1:45">
      <c r="A77" s="25"/>
      <c r="B77" s="17" t="s">
        <v>185</v>
      </c>
      <c r="C77" s="17" t="s">
        <v>628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1961</v>
      </c>
      <c r="W77" s="26">
        <v>1960</v>
      </c>
      <c r="X77" s="26">
        <v>0</v>
      </c>
      <c r="Y77" s="26">
        <v>0</v>
      </c>
      <c r="Z77" s="26">
        <v>0</v>
      </c>
      <c r="AA77" s="26">
        <v>0</v>
      </c>
      <c r="AB77" s="26">
        <f t="shared" si="0"/>
        <v>0</v>
      </c>
      <c r="AC77" s="26">
        <v>0</v>
      </c>
      <c r="AD77" s="26" t="s">
        <v>350</v>
      </c>
      <c r="AE77" s="26" t="s">
        <v>350</v>
      </c>
      <c r="AF77" s="26" t="s">
        <v>350</v>
      </c>
      <c r="AG77" s="26" t="s">
        <v>350</v>
      </c>
      <c r="AH77" s="26" t="s">
        <v>350</v>
      </c>
      <c r="AI77" s="26" t="s">
        <v>350</v>
      </c>
      <c r="AJ77" s="26" t="s">
        <v>350</v>
      </c>
      <c r="AK77" s="26" t="s">
        <v>350</v>
      </c>
      <c r="AL77" s="26">
        <v>0</v>
      </c>
      <c r="AM77" s="26" t="s">
        <v>350</v>
      </c>
      <c r="AN77" s="26">
        <v>-14100</v>
      </c>
      <c r="AO77" s="26" t="s">
        <v>350</v>
      </c>
      <c r="AP77" s="26" t="s">
        <v>350</v>
      </c>
      <c r="AQ77" s="19">
        <v>-30293</v>
      </c>
      <c r="AR77" s="19">
        <v>30293</v>
      </c>
      <c r="AS77" s="26">
        <v>-1512</v>
      </c>
    </row>
    <row r="78" spans="1:45" ht="16.5" customHeight="1">
      <c r="A78" s="21"/>
      <c r="B78" s="17" t="s">
        <v>186</v>
      </c>
      <c r="C78" s="17" t="s">
        <v>590</v>
      </c>
      <c r="D78" s="3">
        <f t="shared" ref="D78:AO78" si="6">SUM(D61:D77)</f>
        <v>-3020</v>
      </c>
      <c r="E78" s="3">
        <f t="shared" si="6"/>
        <v>-12754</v>
      </c>
      <c r="F78" s="3">
        <f t="shared" si="6"/>
        <v>-38194</v>
      </c>
      <c r="G78" s="3">
        <f t="shared" si="6"/>
        <v>-40043</v>
      </c>
      <c r="H78" s="3">
        <f t="shared" si="6"/>
        <v>-94011</v>
      </c>
      <c r="I78" s="3">
        <f t="shared" si="6"/>
        <v>-15985.637000000001</v>
      </c>
      <c r="J78" s="3">
        <f t="shared" si="6"/>
        <v>-16365.362999999999</v>
      </c>
      <c r="K78" s="3">
        <f t="shared" si="6"/>
        <v>1332</v>
      </c>
      <c r="L78" s="3">
        <f t="shared" si="6"/>
        <v>-30803</v>
      </c>
      <c r="M78" s="3">
        <f t="shared" si="6"/>
        <v>-61822</v>
      </c>
      <c r="N78" s="3">
        <f t="shared" si="6"/>
        <v>-19345</v>
      </c>
      <c r="O78" s="3">
        <f t="shared" si="6"/>
        <v>-22087</v>
      </c>
      <c r="P78" s="3">
        <f t="shared" si="6"/>
        <v>-44880</v>
      </c>
      <c r="Q78" s="3">
        <f t="shared" si="6"/>
        <v>-32231</v>
      </c>
      <c r="R78" s="3">
        <f t="shared" si="6"/>
        <v>-118543</v>
      </c>
      <c r="S78" s="3">
        <f t="shared" si="6"/>
        <v>-23395</v>
      </c>
      <c r="T78" s="3">
        <f t="shared" si="6"/>
        <v>-71842</v>
      </c>
      <c r="U78" s="3">
        <f t="shared" si="6"/>
        <v>-30209</v>
      </c>
      <c r="V78" s="3">
        <f t="shared" si="6"/>
        <v>-78492.877689999994</v>
      </c>
      <c r="W78" s="3">
        <f t="shared" si="6"/>
        <v>-203940</v>
      </c>
      <c r="X78" s="3">
        <f t="shared" si="6"/>
        <v>-64241</v>
      </c>
      <c r="Y78" s="3">
        <f t="shared" si="6"/>
        <v>-100512</v>
      </c>
      <c r="Z78" s="3">
        <f t="shared" si="6"/>
        <v>-33195</v>
      </c>
      <c r="AA78" s="3">
        <f t="shared" si="6"/>
        <v>-30288</v>
      </c>
      <c r="AB78" s="3">
        <f t="shared" si="6"/>
        <v>-228236</v>
      </c>
      <c r="AC78" s="3">
        <f t="shared" si="6"/>
        <v>-30972</v>
      </c>
      <c r="AD78" s="3">
        <f t="shared" si="6"/>
        <v>-139876</v>
      </c>
      <c r="AE78" s="3">
        <f t="shared" si="6"/>
        <v>34519</v>
      </c>
      <c r="AF78" s="3">
        <f t="shared" si="6"/>
        <v>53240</v>
      </c>
      <c r="AG78" s="3">
        <f t="shared" si="6"/>
        <v>-11174</v>
      </c>
      <c r="AH78" s="3">
        <f t="shared" si="6"/>
        <v>-40585</v>
      </c>
      <c r="AI78" s="3">
        <f t="shared" si="6"/>
        <v>-12310.567649999997</v>
      </c>
      <c r="AJ78" s="3">
        <f t="shared" si="6"/>
        <v>-54549.432350000003</v>
      </c>
      <c r="AK78" s="3">
        <f t="shared" si="6"/>
        <v>168774</v>
      </c>
      <c r="AL78" s="3">
        <f t="shared" si="6"/>
        <v>-20917</v>
      </c>
      <c r="AM78" s="3">
        <f t="shared" si="6"/>
        <v>-34005</v>
      </c>
      <c r="AN78" s="3">
        <f t="shared" si="6"/>
        <v>-75196</v>
      </c>
      <c r="AO78" s="3">
        <f t="shared" si="6"/>
        <v>-31719.758008464916</v>
      </c>
      <c r="AP78" s="3">
        <f>SUM(AP61:AP77)</f>
        <v>-63381</v>
      </c>
      <c r="AQ78" s="19">
        <f>SUM(AQ61:AQ77)</f>
        <v>-47861.598320695084</v>
      </c>
      <c r="AR78" s="19">
        <f>SUM(AR61:AR77)</f>
        <v>-36444.030839999992</v>
      </c>
      <c r="AS78" s="3">
        <f>SUM(AS61:AS77)</f>
        <v>-26447</v>
      </c>
    </row>
    <row r="79" spans="1:45">
      <c r="A79" s="21"/>
      <c r="B79" s="17"/>
      <c r="C79" s="1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19"/>
      <c r="AR79" s="19"/>
      <c r="AS79" s="3"/>
    </row>
    <row r="80" spans="1:45">
      <c r="A80" s="21"/>
      <c r="B80" s="17" t="s">
        <v>187</v>
      </c>
      <c r="C80" s="17" t="s">
        <v>591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19"/>
      <c r="AR80" s="19"/>
      <c r="AS80" s="3"/>
    </row>
    <row r="81" spans="1:45">
      <c r="A81" s="21"/>
      <c r="B81" s="17" t="s">
        <v>188</v>
      </c>
      <c r="C81" s="17" t="s">
        <v>592</v>
      </c>
      <c r="D81" s="26">
        <v>0</v>
      </c>
      <c r="E81" s="26">
        <v>-10842</v>
      </c>
      <c r="F81" s="26">
        <v>0</v>
      </c>
      <c r="G81" s="26">
        <v>-14102</v>
      </c>
      <c r="H81" s="26">
        <v>-24944</v>
      </c>
      <c r="I81" s="26">
        <v>0</v>
      </c>
      <c r="J81" s="26">
        <v>-10576</v>
      </c>
      <c r="K81" s="26">
        <v>0</v>
      </c>
      <c r="L81" s="26">
        <v>0</v>
      </c>
      <c r="M81" s="26">
        <v>-10576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-1584</v>
      </c>
      <c r="Z81" s="26">
        <v>0</v>
      </c>
      <c r="AA81" s="26">
        <v>-433</v>
      </c>
      <c r="AB81" s="26">
        <f t="shared" ref="AB81:AB95" si="7">SUM(X81:AA81)</f>
        <v>-2017</v>
      </c>
      <c r="AC81" s="26">
        <v>0</v>
      </c>
      <c r="AD81" s="26">
        <v>0</v>
      </c>
      <c r="AE81" s="26">
        <v>0</v>
      </c>
      <c r="AF81" s="26">
        <v>-464</v>
      </c>
      <c r="AG81" s="26">
        <v>0</v>
      </c>
      <c r="AH81" s="26">
        <v>-450.5</v>
      </c>
      <c r="AI81" s="26">
        <v>-446.08465999999999</v>
      </c>
      <c r="AJ81" s="26">
        <v>897.08465999999999</v>
      </c>
      <c r="AK81" s="26">
        <v>0</v>
      </c>
      <c r="AL81" s="26">
        <v>-24643</v>
      </c>
      <c r="AM81" s="26">
        <v>-857</v>
      </c>
      <c r="AN81" s="26">
        <v>-543</v>
      </c>
      <c r="AO81" s="26">
        <v>0</v>
      </c>
      <c r="AP81" s="26">
        <v>-120</v>
      </c>
      <c r="AQ81" s="19">
        <v>-17</v>
      </c>
      <c r="AR81" s="19">
        <v>-911</v>
      </c>
      <c r="AS81" s="26">
        <v>0</v>
      </c>
    </row>
    <row r="82" spans="1:45">
      <c r="A82" s="21"/>
      <c r="B82" s="17" t="s">
        <v>189</v>
      </c>
      <c r="C82" s="17" t="s">
        <v>645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99005</v>
      </c>
      <c r="Y82" s="26">
        <v>0</v>
      </c>
      <c r="Z82" s="26">
        <v>0</v>
      </c>
      <c r="AA82" s="26">
        <v>0</v>
      </c>
      <c r="AB82" s="26">
        <f t="shared" si="7"/>
        <v>99005</v>
      </c>
      <c r="AC82" s="26">
        <v>4322</v>
      </c>
      <c r="AD82" s="26">
        <v>0</v>
      </c>
      <c r="AE82" s="26">
        <v>14521</v>
      </c>
      <c r="AF82" s="26">
        <v>0</v>
      </c>
      <c r="AG82" s="26">
        <v>0</v>
      </c>
      <c r="AH82" s="26">
        <v>0</v>
      </c>
      <c r="AI82" s="26">
        <v>0</v>
      </c>
      <c r="AJ82" s="26">
        <v>0</v>
      </c>
      <c r="AK82" s="26">
        <v>0</v>
      </c>
      <c r="AL82" s="26">
        <v>0</v>
      </c>
      <c r="AM82" s="26">
        <v>0</v>
      </c>
      <c r="AN82" s="26">
        <v>0</v>
      </c>
      <c r="AO82" s="26">
        <v>0</v>
      </c>
      <c r="AP82" s="26">
        <v>0</v>
      </c>
      <c r="AQ82" s="195">
        <v>0</v>
      </c>
      <c r="AR82" s="195">
        <v>0</v>
      </c>
      <c r="AS82" s="26">
        <v>0</v>
      </c>
    </row>
    <row r="83" spans="1:45">
      <c r="A83" s="21"/>
      <c r="B83" s="17" t="s">
        <v>190</v>
      </c>
      <c r="C83" s="17" t="s">
        <v>593</v>
      </c>
      <c r="D83" s="26">
        <v>-13181</v>
      </c>
      <c r="E83" s="26">
        <v>0</v>
      </c>
      <c r="F83" s="26">
        <v>0</v>
      </c>
      <c r="G83" s="26">
        <v>0</v>
      </c>
      <c r="H83" s="26">
        <v>-13181</v>
      </c>
      <c r="I83" s="26">
        <v>0</v>
      </c>
      <c r="J83" s="26">
        <v>0</v>
      </c>
      <c r="K83" s="26">
        <v>0</v>
      </c>
      <c r="L83" s="26">
        <v>-20541</v>
      </c>
      <c r="M83" s="26">
        <v>-20541</v>
      </c>
      <c r="N83" s="26">
        <v>-37438</v>
      </c>
      <c r="O83" s="26">
        <v>0</v>
      </c>
      <c r="P83" s="26">
        <v>0</v>
      </c>
      <c r="Q83" s="26">
        <v>-4872</v>
      </c>
      <c r="R83" s="26">
        <v>-42310</v>
      </c>
      <c r="S83" s="26">
        <v>-22170</v>
      </c>
      <c r="T83" s="26">
        <v>0</v>
      </c>
      <c r="U83" s="26">
        <v>0</v>
      </c>
      <c r="V83" s="26">
        <v>-22170</v>
      </c>
      <c r="W83" s="26">
        <v>-44340</v>
      </c>
      <c r="X83" s="26">
        <v>0</v>
      </c>
      <c r="Y83" s="26">
        <v>0</v>
      </c>
      <c r="Z83" s="26">
        <v>0</v>
      </c>
      <c r="AA83" s="26">
        <v>0</v>
      </c>
      <c r="AB83" s="26">
        <f t="shared" si="7"/>
        <v>0</v>
      </c>
      <c r="AC83" s="26">
        <v>-23144</v>
      </c>
      <c r="AD83" s="26">
        <v>0</v>
      </c>
      <c r="AE83" s="26">
        <v>0</v>
      </c>
      <c r="AF83" s="26">
        <v>0</v>
      </c>
      <c r="AG83" s="26">
        <v>-21000</v>
      </c>
      <c r="AH83" s="26">
        <v>-14421</v>
      </c>
      <c r="AI83" s="26">
        <v>-16016</v>
      </c>
      <c r="AJ83" s="26">
        <v>-46232</v>
      </c>
      <c r="AK83" s="26">
        <v>0</v>
      </c>
      <c r="AL83" s="26">
        <v>-27334</v>
      </c>
      <c r="AM83" s="26">
        <v>-35227</v>
      </c>
      <c r="AN83" s="26">
        <v>-42225</v>
      </c>
      <c r="AO83" s="26">
        <v>-43571</v>
      </c>
      <c r="AP83" s="26">
        <v>-29892</v>
      </c>
      <c r="AQ83" s="19">
        <v>-32177</v>
      </c>
      <c r="AR83" s="19">
        <v>-30988</v>
      </c>
      <c r="AS83" s="26">
        <v>-32216</v>
      </c>
    </row>
    <row r="84" spans="1:45">
      <c r="A84" s="21"/>
      <c r="B84" s="17" t="s">
        <v>191</v>
      </c>
      <c r="C84" s="17" t="s">
        <v>596</v>
      </c>
      <c r="D84" s="26">
        <v>-3724</v>
      </c>
      <c r="E84" s="26">
        <v>-6677</v>
      </c>
      <c r="F84" s="26">
        <v>-1327</v>
      </c>
      <c r="G84" s="26">
        <v>0</v>
      </c>
      <c r="H84" s="26">
        <v>-11728</v>
      </c>
      <c r="I84" s="26">
        <v>-1876</v>
      </c>
      <c r="J84" s="26">
        <v>0</v>
      </c>
      <c r="K84" s="26">
        <v>-2336</v>
      </c>
      <c r="L84" s="26">
        <v>0</v>
      </c>
      <c r="M84" s="26">
        <v>-4212</v>
      </c>
      <c r="N84" s="26">
        <v>0</v>
      </c>
      <c r="O84" s="26">
        <v>0</v>
      </c>
      <c r="P84" s="26">
        <v>-1187</v>
      </c>
      <c r="Q84" s="26">
        <v>0</v>
      </c>
      <c r="R84" s="26">
        <v>-1187</v>
      </c>
      <c r="S84" s="26">
        <v>-3613</v>
      </c>
      <c r="T84" s="26">
        <v>0</v>
      </c>
      <c r="U84" s="26">
        <v>0</v>
      </c>
      <c r="V84" s="26">
        <v>-5217.0000000000009</v>
      </c>
      <c r="W84" s="26">
        <v>-8830</v>
      </c>
      <c r="X84" s="26">
        <v>0</v>
      </c>
      <c r="Y84" s="26">
        <v>-621</v>
      </c>
      <c r="Z84" s="26">
        <v>398</v>
      </c>
      <c r="AA84" s="26">
        <v>-6773</v>
      </c>
      <c r="AB84" s="26">
        <f t="shared" si="7"/>
        <v>-6996</v>
      </c>
      <c r="AC84" s="26">
        <v>-8158</v>
      </c>
      <c r="AD84" s="26">
        <v>-2347</v>
      </c>
      <c r="AE84" s="26">
        <v>27</v>
      </c>
      <c r="AF84" s="26">
        <v>-8899</v>
      </c>
      <c r="AG84" s="26">
        <v>87</v>
      </c>
      <c r="AH84" s="26">
        <v>-40.970430000000199</v>
      </c>
      <c r="AI84" s="26">
        <v>296.12957</v>
      </c>
      <c r="AJ84" s="26">
        <v>-0.12957000000000107</v>
      </c>
      <c r="AK84" s="26">
        <v>858</v>
      </c>
      <c r="AL84" s="26">
        <v>443</v>
      </c>
      <c r="AM84" s="26">
        <v>-8219</v>
      </c>
      <c r="AN84" s="26">
        <v>-17134</v>
      </c>
      <c r="AO84" s="26">
        <v>-11957</v>
      </c>
      <c r="AP84" s="26">
        <v>748</v>
      </c>
      <c r="AQ84" s="19">
        <v>-8543</v>
      </c>
      <c r="AR84" s="19">
        <v>-9173</v>
      </c>
      <c r="AS84" s="26">
        <v>-5472</v>
      </c>
    </row>
    <row r="85" spans="1:45">
      <c r="B85" s="17" t="s">
        <v>192</v>
      </c>
      <c r="C85" s="17" t="s">
        <v>597</v>
      </c>
      <c r="D85" s="26">
        <v>-2577</v>
      </c>
      <c r="E85" s="26">
        <v>-2096</v>
      </c>
      <c r="F85" s="26">
        <v>-2118</v>
      </c>
      <c r="G85" s="26">
        <v>-2597</v>
      </c>
      <c r="H85" s="26">
        <v>-9388</v>
      </c>
      <c r="I85" s="26">
        <v>-1696</v>
      </c>
      <c r="J85" s="26">
        <v>-1806</v>
      </c>
      <c r="K85" s="26">
        <v>-967</v>
      </c>
      <c r="L85" s="26">
        <v>-633</v>
      </c>
      <c r="M85" s="26">
        <v>-5102</v>
      </c>
      <c r="N85" s="26">
        <v>-5443</v>
      </c>
      <c r="O85" s="26">
        <v>-3854</v>
      </c>
      <c r="P85" s="26">
        <v>-6314</v>
      </c>
      <c r="Q85" s="26">
        <v>-6138</v>
      </c>
      <c r="R85" s="26">
        <v>-21749</v>
      </c>
      <c r="S85" s="26">
        <v>-6008</v>
      </c>
      <c r="T85" s="26">
        <v>-8656</v>
      </c>
      <c r="U85" s="26">
        <v>-8122</v>
      </c>
      <c r="V85" s="26">
        <v>-7379.9999999999991</v>
      </c>
      <c r="W85" s="26">
        <v>-30166</v>
      </c>
      <c r="X85" s="26">
        <v>-6815</v>
      </c>
      <c r="Y85" s="26">
        <v>-5733.9999999999991</v>
      </c>
      <c r="Z85" s="26">
        <v>-5623.9999999999991</v>
      </c>
      <c r="AA85" s="26">
        <v>-6943</v>
      </c>
      <c r="AB85" s="26">
        <f t="shared" si="7"/>
        <v>-25116</v>
      </c>
      <c r="AC85" s="26">
        <v>-6030</v>
      </c>
      <c r="AD85" s="26">
        <v>-5287</v>
      </c>
      <c r="AE85" s="26">
        <v>-3045</v>
      </c>
      <c r="AF85" s="26">
        <v>-4070</v>
      </c>
      <c r="AG85" s="26">
        <v>-3651</v>
      </c>
      <c r="AH85" s="26">
        <v>-3268</v>
      </c>
      <c r="AI85" s="26">
        <v>-3427</v>
      </c>
      <c r="AJ85" s="26">
        <v>-3638</v>
      </c>
      <c r="AK85" s="26">
        <v>-3153</v>
      </c>
      <c r="AL85" s="26">
        <v>-3168</v>
      </c>
      <c r="AM85" s="26">
        <v>-3835</v>
      </c>
      <c r="AN85" s="26">
        <v>-3884</v>
      </c>
      <c r="AO85" s="26">
        <v>-3732</v>
      </c>
      <c r="AP85" s="26">
        <v>-3619</v>
      </c>
      <c r="AQ85" s="19">
        <v>-4068</v>
      </c>
      <c r="AR85" s="19">
        <v>-5460</v>
      </c>
      <c r="AS85" s="26">
        <v>-3645</v>
      </c>
    </row>
    <row r="86" spans="1:45">
      <c r="B86" s="17" t="s">
        <v>193</v>
      </c>
      <c r="C86" s="17" t="s">
        <v>646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-2925</v>
      </c>
      <c r="P86" s="26">
        <v>-633</v>
      </c>
      <c r="Q86" s="26">
        <v>-1253</v>
      </c>
      <c r="R86" s="26">
        <v>-4811</v>
      </c>
      <c r="S86" s="26">
        <v>-1282</v>
      </c>
      <c r="T86" s="26">
        <v>-1532</v>
      </c>
      <c r="U86" s="26">
        <v>-1617</v>
      </c>
      <c r="V86" s="26">
        <v>-1471.9999999999995</v>
      </c>
      <c r="W86" s="26">
        <v>-5903</v>
      </c>
      <c r="X86" s="26">
        <v>-1486</v>
      </c>
      <c r="Y86" s="26">
        <v>-1240.9999999999998</v>
      </c>
      <c r="Z86" s="26">
        <v>-1291</v>
      </c>
      <c r="AA86" s="26">
        <v>-1348</v>
      </c>
      <c r="AB86" s="26">
        <f t="shared" si="7"/>
        <v>-5366</v>
      </c>
      <c r="AC86" s="26">
        <v>-1109</v>
      </c>
      <c r="AD86" s="26">
        <v>-1078</v>
      </c>
      <c r="AE86" s="26">
        <v>-1095</v>
      </c>
      <c r="AF86" s="26">
        <v>-711</v>
      </c>
      <c r="AG86" s="26">
        <v>0</v>
      </c>
      <c r="AH86" s="26">
        <v>-62</v>
      </c>
      <c r="AI86" s="26">
        <v>-39</v>
      </c>
      <c r="AJ86" s="26">
        <v>14</v>
      </c>
      <c r="AK86" s="26">
        <v>-29</v>
      </c>
      <c r="AL86" s="26">
        <v>-26</v>
      </c>
      <c r="AM86" s="26">
        <v>-21</v>
      </c>
      <c r="AN86" s="26">
        <v>-41</v>
      </c>
      <c r="AO86" s="26">
        <v>-34</v>
      </c>
      <c r="AP86" s="26">
        <v>-32</v>
      </c>
      <c r="AQ86" s="19">
        <v>-26</v>
      </c>
      <c r="AR86" s="19">
        <v>92</v>
      </c>
      <c r="AS86" s="26">
        <v>-102</v>
      </c>
    </row>
    <row r="87" spans="1:45">
      <c r="A87" s="21"/>
      <c r="B87" s="17" t="s">
        <v>194</v>
      </c>
      <c r="C87" s="17" t="s">
        <v>598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356864</v>
      </c>
      <c r="K87" s="26">
        <v>208</v>
      </c>
      <c r="L87" s="26">
        <v>0</v>
      </c>
      <c r="M87" s="26">
        <v>357072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522389</v>
      </c>
      <c r="Z87" s="26">
        <v>0</v>
      </c>
      <c r="AA87" s="26">
        <v>0</v>
      </c>
      <c r="AB87" s="26">
        <f t="shared" si="7"/>
        <v>522389</v>
      </c>
      <c r="AC87" s="26">
        <v>0</v>
      </c>
      <c r="AD87" s="26">
        <v>245780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241392</v>
      </c>
      <c r="AM87" s="26">
        <v>0</v>
      </c>
      <c r="AN87" s="26">
        <v>0</v>
      </c>
      <c r="AO87" s="26">
        <v>0</v>
      </c>
      <c r="AP87" s="26">
        <v>0</v>
      </c>
      <c r="AQ87" s="19">
        <v>0</v>
      </c>
      <c r="AR87" s="19">
        <v>198893</v>
      </c>
      <c r="AS87" s="26">
        <v>0</v>
      </c>
    </row>
    <row r="88" spans="1:45">
      <c r="A88" s="21"/>
      <c r="B88" s="17" t="s">
        <v>195</v>
      </c>
      <c r="C88" s="17" t="s">
        <v>599</v>
      </c>
      <c r="D88" s="26">
        <v>0</v>
      </c>
      <c r="E88" s="26">
        <v>-62500</v>
      </c>
      <c r="F88" s="26">
        <v>0</v>
      </c>
      <c r="G88" s="26">
        <v>0</v>
      </c>
      <c r="H88" s="26">
        <v>-62500</v>
      </c>
      <c r="I88" s="26">
        <v>0</v>
      </c>
      <c r="J88" s="26">
        <v>-125000</v>
      </c>
      <c r="K88" s="26">
        <v>-199613</v>
      </c>
      <c r="L88" s="26">
        <v>0</v>
      </c>
      <c r="M88" s="26">
        <v>-324613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-90000</v>
      </c>
      <c r="U88" s="26">
        <v>0</v>
      </c>
      <c r="V88" s="26">
        <v>0</v>
      </c>
      <c r="W88" s="26">
        <v>-90000</v>
      </c>
      <c r="X88" s="26">
        <v>0</v>
      </c>
      <c r="Y88" s="26">
        <v>-90000</v>
      </c>
      <c r="Z88" s="26">
        <v>0</v>
      </c>
      <c r="AA88" s="26">
        <v>0</v>
      </c>
      <c r="AB88" s="26">
        <f t="shared" si="7"/>
        <v>-90000</v>
      </c>
      <c r="AC88" s="26">
        <v>-2700</v>
      </c>
      <c r="AD88" s="26">
        <v>-371705</v>
      </c>
      <c r="AE88" s="26">
        <v>-20980</v>
      </c>
      <c r="AF88" s="26">
        <v>-225315</v>
      </c>
      <c r="AG88" s="26">
        <v>0</v>
      </c>
      <c r="AH88" s="26">
        <v>-90000</v>
      </c>
      <c r="AI88" s="26">
        <v>0</v>
      </c>
      <c r="AJ88" s="26">
        <v>0</v>
      </c>
      <c r="AK88" s="26">
        <v>0</v>
      </c>
      <c r="AL88" s="26">
        <v>-243141</v>
      </c>
      <c r="AM88" s="26">
        <v>0</v>
      </c>
      <c r="AN88" s="26">
        <v>-1141</v>
      </c>
      <c r="AO88" s="26">
        <v>0</v>
      </c>
      <c r="AP88" s="26">
        <v>-5717</v>
      </c>
      <c r="AQ88" s="19">
        <v>0</v>
      </c>
      <c r="AR88" s="19">
        <v>0</v>
      </c>
      <c r="AS88" s="26">
        <v>0</v>
      </c>
    </row>
    <row r="89" spans="1:45">
      <c r="A89" s="21"/>
      <c r="B89" s="17" t="s">
        <v>196</v>
      </c>
      <c r="C89" s="17" t="s">
        <v>600</v>
      </c>
      <c r="D89" s="26">
        <v>0</v>
      </c>
      <c r="E89" s="26">
        <v>-25217</v>
      </c>
      <c r="F89" s="26">
        <v>0</v>
      </c>
      <c r="G89" s="26">
        <v>-15567</v>
      </c>
      <c r="H89" s="26">
        <v>-40784</v>
      </c>
      <c r="I89" s="26">
        <v>0</v>
      </c>
      <c r="J89" s="26">
        <v>-11673</v>
      </c>
      <c r="K89" s="26">
        <v>-1356</v>
      </c>
      <c r="L89" s="26">
        <v>-13008</v>
      </c>
      <c r="M89" s="26">
        <v>-26037</v>
      </c>
      <c r="N89" s="26">
        <v>0</v>
      </c>
      <c r="O89" s="26">
        <v>-12862</v>
      </c>
      <c r="P89" s="26">
        <v>0</v>
      </c>
      <c r="Q89" s="26">
        <v>-12071</v>
      </c>
      <c r="R89" s="26">
        <v>-24933</v>
      </c>
      <c r="S89" s="26">
        <v>0</v>
      </c>
      <c r="T89" s="26">
        <v>-7940</v>
      </c>
      <c r="U89" s="26">
        <v>1</v>
      </c>
      <c r="V89" s="26">
        <v>-3179.0000000000005</v>
      </c>
      <c r="W89" s="26">
        <v>-11118</v>
      </c>
      <c r="X89" s="26">
        <v>0</v>
      </c>
      <c r="Y89" s="26">
        <v>-2992</v>
      </c>
      <c r="Z89" s="26">
        <v>0</v>
      </c>
      <c r="AA89" s="26">
        <v>-29605</v>
      </c>
      <c r="AB89" s="26">
        <f t="shared" si="7"/>
        <v>-32597</v>
      </c>
      <c r="AC89" s="26">
        <v>-864</v>
      </c>
      <c r="AD89" s="26">
        <v>-56496</v>
      </c>
      <c r="AE89" s="26">
        <v>-5562</v>
      </c>
      <c r="AF89" s="26">
        <v>-42554</v>
      </c>
      <c r="AG89" s="26">
        <v>0</v>
      </c>
      <c r="AH89" s="26">
        <v>-26961</v>
      </c>
      <c r="AI89" s="26">
        <v>-1</v>
      </c>
      <c r="AJ89" s="26">
        <v>-19743</v>
      </c>
      <c r="AK89" s="26">
        <v>0</v>
      </c>
      <c r="AL89" s="26">
        <v>-18261</v>
      </c>
      <c r="AM89" s="26">
        <v>-1</v>
      </c>
      <c r="AN89" s="26">
        <v>-15236</v>
      </c>
      <c r="AO89" s="26">
        <v>0</v>
      </c>
      <c r="AP89" s="26">
        <v>-17248</v>
      </c>
      <c r="AQ89" s="19">
        <v>0</v>
      </c>
      <c r="AR89" s="19">
        <v>-20229</v>
      </c>
      <c r="AS89" s="26">
        <v>0</v>
      </c>
    </row>
    <row r="90" spans="1:45">
      <c r="A90" s="21"/>
      <c r="B90" s="17" t="s">
        <v>197</v>
      </c>
      <c r="C90" s="17" t="s">
        <v>601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3</v>
      </c>
      <c r="R90" s="26">
        <v>3</v>
      </c>
      <c r="S90" s="26">
        <v>0</v>
      </c>
      <c r="T90" s="26">
        <v>0</v>
      </c>
      <c r="U90" s="26">
        <v>0</v>
      </c>
      <c r="V90" s="26">
        <v>89</v>
      </c>
      <c r="W90" s="26">
        <v>89</v>
      </c>
      <c r="X90" s="26">
        <v>0</v>
      </c>
      <c r="Y90" s="26">
        <v>0</v>
      </c>
      <c r="Z90" s="26">
        <v>0</v>
      </c>
      <c r="AA90" s="26">
        <v>0</v>
      </c>
      <c r="AB90" s="26">
        <f t="shared" si="7"/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30000</v>
      </c>
      <c r="AJ90" s="26">
        <v>0</v>
      </c>
      <c r="AK90" s="26">
        <v>0</v>
      </c>
      <c r="AL90" s="26">
        <v>0</v>
      </c>
      <c r="AM90" s="26">
        <v>-30000</v>
      </c>
      <c r="AN90" s="26">
        <v>0</v>
      </c>
      <c r="AO90" s="26">
        <v>6603</v>
      </c>
      <c r="AP90" s="26">
        <v>25</v>
      </c>
      <c r="AQ90" s="19">
        <v>60472</v>
      </c>
      <c r="AR90" s="19">
        <v>0</v>
      </c>
      <c r="AS90" s="26">
        <v>0</v>
      </c>
    </row>
    <row r="91" spans="1:45">
      <c r="A91" s="21"/>
      <c r="B91" s="17" t="s">
        <v>198</v>
      </c>
      <c r="C91" s="17" t="s">
        <v>602</v>
      </c>
      <c r="D91" s="26">
        <v>-206</v>
      </c>
      <c r="E91" s="26">
        <v>-181</v>
      </c>
      <c r="F91" s="26">
        <v>-145</v>
      </c>
      <c r="G91" s="26">
        <v>-114</v>
      </c>
      <c r="H91" s="26">
        <v>-646</v>
      </c>
      <c r="I91" s="26">
        <v>-83</v>
      </c>
      <c r="J91" s="26">
        <v>-53</v>
      </c>
      <c r="K91" s="26">
        <v>-21</v>
      </c>
      <c r="L91" s="26">
        <v>0</v>
      </c>
      <c r="M91" s="26">
        <v>-157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-11</v>
      </c>
      <c r="V91" s="26">
        <v>11</v>
      </c>
      <c r="W91" s="26">
        <v>0</v>
      </c>
      <c r="X91" s="26">
        <v>0</v>
      </c>
      <c r="Y91" s="26">
        <v>-32609</v>
      </c>
      <c r="Z91" s="26">
        <v>0</v>
      </c>
      <c r="AA91" s="26">
        <v>0</v>
      </c>
      <c r="AB91" s="26">
        <f t="shared" si="7"/>
        <v>-32609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-1538</v>
      </c>
      <c r="AL91" s="26">
        <v>1</v>
      </c>
      <c r="AM91" s="26">
        <v>-2027</v>
      </c>
      <c r="AN91" s="26">
        <v>0</v>
      </c>
      <c r="AO91" s="26">
        <v>0</v>
      </c>
      <c r="AP91" s="26">
        <v>-205</v>
      </c>
      <c r="AQ91" s="19">
        <v>-602</v>
      </c>
      <c r="AR91" s="19">
        <v>-967</v>
      </c>
      <c r="AS91" s="26">
        <v>-933</v>
      </c>
    </row>
    <row r="92" spans="1:45">
      <c r="A92" s="21"/>
      <c r="B92" s="17" t="s">
        <v>199</v>
      </c>
      <c r="C92" s="17" t="s">
        <v>603</v>
      </c>
      <c r="D92" s="26">
        <v>-1688</v>
      </c>
      <c r="E92" s="26">
        <v>-1694</v>
      </c>
      <c r="F92" s="26">
        <v>-1698</v>
      </c>
      <c r="G92" s="26">
        <v>-1702</v>
      </c>
      <c r="H92" s="26">
        <v>-6782</v>
      </c>
      <c r="I92" s="26">
        <v>-1705</v>
      </c>
      <c r="J92" s="26">
        <v>-1709</v>
      </c>
      <c r="K92" s="26">
        <v>-1711</v>
      </c>
      <c r="L92" s="26">
        <v>0</v>
      </c>
      <c r="M92" s="26">
        <v>-5125</v>
      </c>
      <c r="N92" s="26">
        <v>0</v>
      </c>
      <c r="O92" s="26">
        <v>0</v>
      </c>
      <c r="P92" s="26">
        <v>0</v>
      </c>
      <c r="Q92" s="26">
        <v>-3</v>
      </c>
      <c r="R92" s="26">
        <v>-3</v>
      </c>
      <c r="S92" s="26">
        <v>0</v>
      </c>
      <c r="T92" s="26">
        <v>0</v>
      </c>
      <c r="U92" s="26">
        <v>0</v>
      </c>
      <c r="V92" s="26">
        <v>-39</v>
      </c>
      <c r="W92" s="26">
        <v>-39</v>
      </c>
      <c r="X92" s="26">
        <v>-32</v>
      </c>
      <c r="Y92" s="26">
        <v>-44</v>
      </c>
      <c r="Z92" s="26">
        <v>0</v>
      </c>
      <c r="AA92" s="26">
        <v>-30</v>
      </c>
      <c r="AB92" s="26">
        <f t="shared" si="7"/>
        <v>-106</v>
      </c>
      <c r="AC92" s="26">
        <v>-10</v>
      </c>
      <c r="AD92" s="26">
        <v>-1</v>
      </c>
      <c r="AE92" s="26">
        <v>0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-427</v>
      </c>
      <c r="AM92" s="26">
        <v>0</v>
      </c>
      <c r="AN92" s="26">
        <v>0</v>
      </c>
      <c r="AO92" s="26">
        <v>0</v>
      </c>
      <c r="AP92" s="26">
        <v>0</v>
      </c>
      <c r="AQ92" s="19">
        <v>0</v>
      </c>
      <c r="AR92" s="19">
        <v>0</v>
      </c>
      <c r="AS92" s="26">
        <v>-331</v>
      </c>
    </row>
    <row r="93" spans="1:45">
      <c r="A93" s="21"/>
      <c r="B93" s="17" t="s">
        <v>379</v>
      </c>
      <c r="C93" s="17" t="s">
        <v>604</v>
      </c>
      <c r="D93" s="26">
        <v>0</v>
      </c>
      <c r="E93" s="26">
        <v>332029</v>
      </c>
      <c r="F93" s="26">
        <v>0</v>
      </c>
      <c r="G93" s="26">
        <v>-1613</v>
      </c>
      <c r="H93" s="26">
        <v>330416</v>
      </c>
      <c r="I93" s="26">
        <v>0</v>
      </c>
      <c r="J93" s="26">
        <v>0</v>
      </c>
      <c r="K93" s="26">
        <v>11136</v>
      </c>
      <c r="L93" s="26">
        <v>67435</v>
      </c>
      <c r="M93" s="26">
        <v>78571</v>
      </c>
      <c r="N93" s="26">
        <v>17118</v>
      </c>
      <c r="O93" s="26">
        <v>258247</v>
      </c>
      <c r="P93" s="26">
        <v>23</v>
      </c>
      <c r="Q93" s="26">
        <v>149</v>
      </c>
      <c r="R93" s="26">
        <v>275537</v>
      </c>
      <c r="S93" s="26">
        <v>13650</v>
      </c>
      <c r="T93" s="26">
        <v>389239</v>
      </c>
      <c r="U93" s="26">
        <v>263</v>
      </c>
      <c r="V93" s="26">
        <v>39170.999999999993</v>
      </c>
      <c r="W93" s="26">
        <v>441610</v>
      </c>
      <c r="X93" s="26">
        <v>111293</v>
      </c>
      <c r="Y93" s="26">
        <v>0</v>
      </c>
      <c r="Z93" s="26">
        <v>1.0000000000047748</v>
      </c>
      <c r="AA93" s="26">
        <v>0</v>
      </c>
      <c r="AB93" s="26">
        <f t="shared" si="7"/>
        <v>111294</v>
      </c>
      <c r="AC93" s="26">
        <v>131930</v>
      </c>
      <c r="AD93" s="26">
        <v>160944</v>
      </c>
      <c r="AE93" s="26">
        <v>32486</v>
      </c>
      <c r="AF93" s="26">
        <v>89786</v>
      </c>
      <c r="AG93" s="26">
        <v>41321</v>
      </c>
      <c r="AH93" s="26">
        <v>104456</v>
      </c>
      <c r="AI93" s="26">
        <v>0</v>
      </c>
      <c r="AJ93" s="26">
        <v>266474</v>
      </c>
      <c r="AK93" s="26">
        <v>0</v>
      </c>
      <c r="AL93" s="26">
        <v>-112</v>
      </c>
      <c r="AM93" s="26">
        <v>183095</v>
      </c>
      <c r="AN93" s="26">
        <v>96859</v>
      </c>
      <c r="AO93" s="26">
        <v>0</v>
      </c>
      <c r="AP93" s="26">
        <v>19812</v>
      </c>
      <c r="AQ93" s="19">
        <v>12</v>
      </c>
      <c r="AR93" s="19">
        <v>147</v>
      </c>
      <c r="AS93" s="26">
        <v>0</v>
      </c>
    </row>
    <row r="94" spans="1:45">
      <c r="A94" s="21"/>
      <c r="B94" s="17" t="s">
        <v>201</v>
      </c>
      <c r="C94" s="17" t="s">
        <v>605</v>
      </c>
      <c r="D94" s="26">
        <v>-8478</v>
      </c>
      <c r="E94" s="26">
        <v>-211310</v>
      </c>
      <c r="F94" s="26">
        <v>0</v>
      </c>
      <c r="G94" s="26">
        <v>-11431</v>
      </c>
      <c r="H94" s="26">
        <v>-231219</v>
      </c>
      <c r="I94" s="26">
        <v>-8672</v>
      </c>
      <c r="J94" s="26">
        <v>-39955</v>
      </c>
      <c r="K94" s="26">
        <v>-27820</v>
      </c>
      <c r="L94" s="26">
        <v>-81791</v>
      </c>
      <c r="M94" s="26">
        <v>-158238</v>
      </c>
      <c r="N94" s="26">
        <v>-20108</v>
      </c>
      <c r="O94" s="26">
        <v>-213146</v>
      </c>
      <c r="P94" s="26">
        <v>-7532</v>
      </c>
      <c r="Q94" s="26">
        <v>-46249</v>
      </c>
      <c r="R94" s="26">
        <v>-287035</v>
      </c>
      <c r="S94" s="26">
        <v>-5905</v>
      </c>
      <c r="T94" s="26">
        <v>-79959</v>
      </c>
      <c r="U94" s="26">
        <v>-22006</v>
      </c>
      <c r="V94" s="26">
        <v>-45111.999999999993</v>
      </c>
      <c r="W94" s="26">
        <v>-152982</v>
      </c>
      <c r="X94" s="26">
        <v>-34447</v>
      </c>
      <c r="Y94" s="26">
        <v>21740.999999999985</v>
      </c>
      <c r="Z94" s="26">
        <v>-170.99999999993543</v>
      </c>
      <c r="AA94" s="26">
        <v>-29275</v>
      </c>
      <c r="AB94" s="26">
        <f t="shared" si="7"/>
        <v>-42151.999999999949</v>
      </c>
      <c r="AC94" s="26">
        <v>-111070</v>
      </c>
      <c r="AD94" s="26">
        <v>-116765</v>
      </c>
      <c r="AE94" s="26">
        <v>-4689</v>
      </c>
      <c r="AF94" s="26">
        <v>-95264</v>
      </c>
      <c r="AG94" s="26">
        <v>-15587</v>
      </c>
      <c r="AH94" s="26">
        <v>-122986</v>
      </c>
      <c r="AI94" s="26">
        <v>-78384</v>
      </c>
      <c r="AJ94" s="26">
        <v>-277982</v>
      </c>
      <c r="AK94" s="26">
        <v>-18540</v>
      </c>
      <c r="AL94" s="26">
        <v>-106902</v>
      </c>
      <c r="AM94" s="26">
        <v>-156099</v>
      </c>
      <c r="AN94" s="26">
        <v>-105642</v>
      </c>
      <c r="AO94" s="26">
        <v>-7095</v>
      </c>
      <c r="AP94" s="26">
        <v>-30126</v>
      </c>
      <c r="AQ94" s="19">
        <v>-43501</v>
      </c>
      <c r="AR94" s="19">
        <v>-17216</v>
      </c>
      <c r="AS94" s="26">
        <v>-56693</v>
      </c>
    </row>
    <row r="95" spans="1:45">
      <c r="A95" s="21"/>
      <c r="B95" s="17" t="s">
        <v>202</v>
      </c>
      <c r="C95" s="17" t="s">
        <v>606</v>
      </c>
      <c r="D95" s="26">
        <v>-1517</v>
      </c>
      <c r="E95" s="26">
        <v>-8586</v>
      </c>
      <c r="F95" s="26">
        <v>-893</v>
      </c>
      <c r="G95" s="26">
        <v>-10705</v>
      </c>
      <c r="H95" s="26">
        <v>-21701</v>
      </c>
      <c r="I95" s="26">
        <v>-1282</v>
      </c>
      <c r="J95" s="26">
        <v>-11770</v>
      </c>
      <c r="K95" s="26">
        <v>-1148</v>
      </c>
      <c r="L95" s="26">
        <v>-12656</v>
      </c>
      <c r="M95" s="26">
        <v>-26856</v>
      </c>
      <c r="N95" s="26">
        <v>-755</v>
      </c>
      <c r="O95" s="26">
        <v>-11622</v>
      </c>
      <c r="P95" s="26">
        <v>-1905</v>
      </c>
      <c r="Q95" s="26">
        <v>-10861</v>
      </c>
      <c r="R95" s="26">
        <v>-25143</v>
      </c>
      <c r="S95" s="26">
        <v>-2089</v>
      </c>
      <c r="T95" s="26">
        <v>-15049</v>
      </c>
      <c r="U95" s="26">
        <v>-3632</v>
      </c>
      <c r="V95" s="26">
        <v>-14820</v>
      </c>
      <c r="W95" s="26">
        <v>-35580</v>
      </c>
      <c r="X95" s="26">
        <v>-4417</v>
      </c>
      <c r="Y95" s="26">
        <v>-565696</v>
      </c>
      <c r="Z95" s="26">
        <v>-4900.9999999999964</v>
      </c>
      <c r="AA95" s="26">
        <v>-5290</v>
      </c>
      <c r="AB95" s="26">
        <f t="shared" si="7"/>
        <v>-580304</v>
      </c>
      <c r="AC95" s="26">
        <v>-8070</v>
      </c>
      <c r="AD95" s="26">
        <v>-12486</v>
      </c>
      <c r="AE95" s="26">
        <v>-9693</v>
      </c>
      <c r="AF95" s="26">
        <v>-16123</v>
      </c>
      <c r="AG95" s="26">
        <v>-11424</v>
      </c>
      <c r="AH95" s="26">
        <v>-14752</v>
      </c>
      <c r="AI95" s="26">
        <v>-5336</v>
      </c>
      <c r="AJ95" s="26">
        <v>-16297</v>
      </c>
      <c r="AK95" s="26">
        <v>-7714</v>
      </c>
      <c r="AL95" s="26">
        <v>-13000</v>
      </c>
      <c r="AM95" s="26">
        <v>-7194</v>
      </c>
      <c r="AN95" s="26">
        <v>-15695</v>
      </c>
      <c r="AO95" s="26">
        <v>-7970</v>
      </c>
      <c r="AP95" s="26">
        <v>-7237</v>
      </c>
      <c r="AQ95" s="19">
        <v>-6870</v>
      </c>
      <c r="AR95" s="19">
        <v>-10444</v>
      </c>
      <c r="AS95" s="26">
        <v>-4977</v>
      </c>
    </row>
    <row r="96" spans="1:45">
      <c r="A96" s="21"/>
      <c r="B96" s="17" t="s">
        <v>781</v>
      </c>
      <c r="C96" s="17" t="s">
        <v>784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26">
        <v>-5093</v>
      </c>
    </row>
    <row r="97" spans="1:48" ht="16.5" customHeight="1">
      <c r="A97" s="21"/>
      <c r="B97" s="17" t="s">
        <v>203</v>
      </c>
      <c r="C97" s="17" t="s">
        <v>607</v>
      </c>
      <c r="D97" s="19">
        <f t="shared" ref="D97:AQ97" si="8">SUM(D81:D96)</f>
        <v>-31371</v>
      </c>
      <c r="E97" s="19">
        <f t="shared" si="8"/>
        <v>2926</v>
      </c>
      <c r="F97" s="19">
        <f t="shared" si="8"/>
        <v>-6181</v>
      </c>
      <c r="G97" s="19">
        <f t="shared" si="8"/>
        <v>-57831</v>
      </c>
      <c r="H97" s="19">
        <f t="shared" si="8"/>
        <v>-92457</v>
      </c>
      <c r="I97" s="19">
        <f t="shared" si="8"/>
        <v>-15314</v>
      </c>
      <c r="J97" s="19">
        <f t="shared" si="8"/>
        <v>154322</v>
      </c>
      <c r="K97" s="19">
        <f t="shared" si="8"/>
        <v>-223628</v>
      </c>
      <c r="L97" s="19">
        <f t="shared" si="8"/>
        <v>-61194</v>
      </c>
      <c r="M97" s="19">
        <f t="shared" si="8"/>
        <v>-145814</v>
      </c>
      <c r="N97" s="19">
        <f t="shared" si="8"/>
        <v>-46626</v>
      </c>
      <c r="O97" s="19">
        <f t="shared" si="8"/>
        <v>13838</v>
      </c>
      <c r="P97" s="19">
        <f t="shared" si="8"/>
        <v>-17548</v>
      </c>
      <c r="Q97" s="19">
        <f t="shared" si="8"/>
        <v>-81295</v>
      </c>
      <c r="R97" s="19">
        <f t="shared" si="8"/>
        <v>-131631</v>
      </c>
      <c r="S97" s="19">
        <f t="shared" si="8"/>
        <v>-27417</v>
      </c>
      <c r="T97" s="19">
        <f t="shared" si="8"/>
        <v>186103</v>
      </c>
      <c r="U97" s="19">
        <f t="shared" si="8"/>
        <v>-35124</v>
      </c>
      <c r="V97" s="19">
        <f t="shared" si="8"/>
        <v>-60118</v>
      </c>
      <c r="W97" s="19">
        <f t="shared" si="8"/>
        <v>62741</v>
      </c>
      <c r="X97" s="19">
        <f t="shared" si="8"/>
        <v>163101</v>
      </c>
      <c r="Y97" s="19">
        <f t="shared" si="8"/>
        <v>-156391</v>
      </c>
      <c r="Z97" s="19">
        <f t="shared" si="8"/>
        <v>-11587.999999999927</v>
      </c>
      <c r="AA97" s="19">
        <f t="shared" si="8"/>
        <v>-79697</v>
      </c>
      <c r="AB97" s="19">
        <f t="shared" si="8"/>
        <v>-84574.999999999942</v>
      </c>
      <c r="AC97" s="19">
        <f t="shared" si="8"/>
        <v>-24903</v>
      </c>
      <c r="AD97" s="19">
        <f t="shared" si="8"/>
        <v>-159441</v>
      </c>
      <c r="AE97" s="19">
        <f t="shared" si="8"/>
        <v>1970</v>
      </c>
      <c r="AF97" s="19">
        <f t="shared" si="8"/>
        <v>-303614</v>
      </c>
      <c r="AG97" s="19">
        <f t="shared" si="8"/>
        <v>-10254</v>
      </c>
      <c r="AH97" s="19">
        <f t="shared" si="8"/>
        <v>-168485.47042999999</v>
      </c>
      <c r="AI97" s="19">
        <f t="shared" si="8"/>
        <v>-73352.955090000003</v>
      </c>
      <c r="AJ97" s="19">
        <f t="shared" si="8"/>
        <v>-96507.044909999997</v>
      </c>
      <c r="AK97" s="19">
        <f t="shared" si="8"/>
        <v>-30116</v>
      </c>
      <c r="AL97" s="19">
        <f t="shared" si="8"/>
        <v>-195178</v>
      </c>
      <c r="AM97" s="19">
        <f t="shared" si="8"/>
        <v>-60385</v>
      </c>
      <c r="AN97" s="19">
        <f t="shared" si="8"/>
        <v>-104682</v>
      </c>
      <c r="AO97" s="19">
        <f t="shared" si="8"/>
        <v>-67756</v>
      </c>
      <c r="AP97" s="19">
        <f t="shared" si="8"/>
        <v>-73611</v>
      </c>
      <c r="AQ97" s="19">
        <f t="shared" si="8"/>
        <v>-35320</v>
      </c>
      <c r="AR97" s="19">
        <f>SUM(AR81:AR96)</f>
        <v>103744</v>
      </c>
      <c r="AS97" s="19">
        <f>SUM(AS81:AS96)</f>
        <v>-109462</v>
      </c>
    </row>
    <row r="98" spans="1:48">
      <c r="A98" s="21"/>
      <c r="B98" s="17"/>
      <c r="C98" s="1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8" ht="16.5" customHeight="1">
      <c r="A99" s="21"/>
      <c r="B99" s="160" t="s">
        <v>204</v>
      </c>
      <c r="C99" s="160" t="s">
        <v>608</v>
      </c>
      <c r="D99" s="161">
        <f t="shared" ref="D99:AO99" si="9">D97+D78+D59</f>
        <v>-44674</v>
      </c>
      <c r="E99" s="161">
        <f t="shared" si="9"/>
        <v>-44694</v>
      </c>
      <c r="F99" s="161">
        <f t="shared" si="9"/>
        <v>-4916</v>
      </c>
      <c r="G99" s="161">
        <f t="shared" si="9"/>
        <v>-10258</v>
      </c>
      <c r="H99" s="161">
        <f t="shared" si="9"/>
        <v>-104542</v>
      </c>
      <c r="I99" s="161">
        <f t="shared" si="9"/>
        <v>15664.362999999998</v>
      </c>
      <c r="J99" s="161">
        <f t="shared" si="9"/>
        <v>197857.63699999999</v>
      </c>
      <c r="K99" s="161">
        <f t="shared" si="9"/>
        <v>-183235</v>
      </c>
      <c r="L99" s="161">
        <f t="shared" si="9"/>
        <v>-13505</v>
      </c>
      <c r="M99" s="161">
        <f t="shared" si="9"/>
        <v>16782</v>
      </c>
      <c r="N99" s="161">
        <f t="shared" si="9"/>
        <v>-22559</v>
      </c>
      <c r="O99" s="161">
        <f t="shared" si="9"/>
        <v>17501</v>
      </c>
      <c r="P99" s="161">
        <f t="shared" si="9"/>
        <v>23398</v>
      </c>
      <c r="Q99" s="161">
        <f t="shared" si="9"/>
        <v>-19087</v>
      </c>
      <c r="R99" s="161">
        <f t="shared" si="9"/>
        <v>-747</v>
      </c>
      <c r="S99" s="161">
        <f t="shared" si="9"/>
        <v>-12181</v>
      </c>
      <c r="T99" s="161">
        <f t="shared" si="9"/>
        <v>181071</v>
      </c>
      <c r="U99" s="161">
        <f t="shared" si="9"/>
        <v>-31931</v>
      </c>
      <c r="V99" s="161">
        <f t="shared" si="9"/>
        <v>6185.1923100000131</v>
      </c>
      <c r="W99" s="161">
        <f t="shared" si="9"/>
        <v>143310</v>
      </c>
      <c r="X99" s="161">
        <f t="shared" si="9"/>
        <v>30462.58</v>
      </c>
      <c r="Y99" s="161">
        <f t="shared" si="9"/>
        <v>-223964.82066</v>
      </c>
      <c r="Z99" s="161">
        <f t="shared" si="9"/>
        <v>59757.000000000073</v>
      </c>
      <c r="AA99" s="161">
        <f t="shared" si="9"/>
        <v>21987</v>
      </c>
      <c r="AB99" s="161">
        <f t="shared" si="9"/>
        <v>-111758.24065999989</v>
      </c>
      <c r="AC99" s="161">
        <f t="shared" si="9"/>
        <v>27641</v>
      </c>
      <c r="AD99" s="161">
        <f t="shared" si="9"/>
        <v>-171016.00020000001</v>
      </c>
      <c r="AE99" s="161">
        <f t="shared" si="9"/>
        <v>99522</v>
      </c>
      <c r="AF99" s="161">
        <f t="shared" si="9"/>
        <v>19009.325000000012</v>
      </c>
      <c r="AG99" s="161">
        <f t="shared" si="9"/>
        <v>36942.999799999991</v>
      </c>
      <c r="AH99" s="161">
        <f t="shared" si="9"/>
        <v>-111204.08409999999</v>
      </c>
      <c r="AI99" s="161">
        <f t="shared" si="9"/>
        <v>137779.02910799056</v>
      </c>
      <c r="AJ99" s="161">
        <f t="shared" si="9"/>
        <v>118388.13795083418</v>
      </c>
      <c r="AK99" s="161">
        <f t="shared" si="9"/>
        <v>125996.56270196766</v>
      </c>
      <c r="AL99" s="161">
        <f t="shared" si="9"/>
        <v>-42854.454696261237</v>
      </c>
      <c r="AM99" s="161">
        <f t="shared" si="9"/>
        <v>8418.9505307593499</v>
      </c>
      <c r="AN99" s="161">
        <f t="shared" si="9"/>
        <v>-5068.4330909783603</v>
      </c>
      <c r="AO99" s="161">
        <f t="shared" si="9"/>
        <v>45487.915151829919</v>
      </c>
      <c r="AP99" s="161">
        <f>AP97+AP78+AP59</f>
        <v>-110324.13348934936</v>
      </c>
      <c r="AQ99" s="192">
        <f>AQ97+AQ78+AQ59</f>
        <v>44762.843325760914</v>
      </c>
      <c r="AR99" s="192">
        <f>AR97+AR78+AR59</f>
        <v>198850.97295041327</v>
      </c>
      <c r="AS99" s="192">
        <f>AS97+AS78+AS59</f>
        <v>-95081.427399212116</v>
      </c>
    </row>
    <row r="100" spans="1:48">
      <c r="A100" s="21"/>
      <c r="B100" s="17"/>
      <c r="C100" s="1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8">
      <c r="A101" s="21"/>
      <c r="B101" s="17" t="s">
        <v>205</v>
      </c>
      <c r="C101" s="17" t="s">
        <v>609</v>
      </c>
      <c r="D101" s="3"/>
      <c r="E101" s="3"/>
      <c r="F101" s="3"/>
      <c r="G101" s="3"/>
      <c r="H101" s="3"/>
      <c r="I101" s="3"/>
      <c r="J101" s="3"/>
      <c r="K101" s="3">
        <f>K102-J104</f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>
        <v>0</v>
      </c>
      <c r="AM101" s="3"/>
      <c r="AN101" s="3"/>
      <c r="AO101" s="3"/>
      <c r="AP101" s="3"/>
      <c r="AQ101" s="3"/>
      <c r="AR101" s="3"/>
      <c r="AS101" s="3"/>
    </row>
    <row r="102" spans="1:48">
      <c r="A102" s="21"/>
      <c r="B102" s="17" t="s">
        <v>206</v>
      </c>
      <c r="C102" s="17" t="s">
        <v>610</v>
      </c>
      <c r="D102" s="3">
        <v>394777</v>
      </c>
      <c r="E102" s="3">
        <v>353459</v>
      </c>
      <c r="F102" s="3">
        <v>311543</v>
      </c>
      <c r="G102" s="3">
        <v>308365</v>
      </c>
      <c r="H102" s="3">
        <v>394777</v>
      </c>
      <c r="I102" s="3">
        <v>296857</v>
      </c>
      <c r="J102" s="3">
        <v>313670</v>
      </c>
      <c r="K102" s="3">
        <v>497570</v>
      </c>
      <c r="L102" s="3">
        <v>-811240</v>
      </c>
      <c r="M102" s="3">
        <v>296857</v>
      </c>
      <c r="N102" s="3">
        <v>311571</v>
      </c>
      <c r="O102" s="3">
        <v>290795</v>
      </c>
      <c r="P102" s="3">
        <v>306277</v>
      </c>
      <c r="Q102" s="3">
        <v>342365</v>
      </c>
      <c r="R102" s="3">
        <v>311571</v>
      </c>
      <c r="S102" s="3">
        <v>318522</v>
      </c>
      <c r="T102" s="3">
        <f>S104</f>
        <v>333876</v>
      </c>
      <c r="U102" s="3">
        <v>524134</v>
      </c>
      <c r="V102" s="3">
        <v>491600</v>
      </c>
      <c r="W102" s="3">
        <v>318522</v>
      </c>
      <c r="X102" s="3">
        <v>486536</v>
      </c>
      <c r="Y102" s="3">
        <v>533300</v>
      </c>
      <c r="Z102" s="3">
        <v>321803</v>
      </c>
      <c r="AA102" s="3">
        <v>368439</v>
      </c>
      <c r="AB102" s="3">
        <v>486536</v>
      </c>
      <c r="AC102" s="3">
        <v>390039</v>
      </c>
      <c r="AD102" s="3">
        <v>392763</v>
      </c>
      <c r="AE102" s="3">
        <v>234243</v>
      </c>
      <c r="AF102" s="3">
        <f t="shared" ref="AF102" si="10">AE104</f>
        <v>345447</v>
      </c>
      <c r="AG102" s="3">
        <v>365161</v>
      </c>
      <c r="AH102" s="3">
        <v>405063</v>
      </c>
      <c r="AI102" s="3">
        <v>282500</v>
      </c>
      <c r="AJ102" s="3">
        <v>434629</v>
      </c>
      <c r="AK102" s="3">
        <v>422029</v>
      </c>
      <c r="AL102" s="3">
        <f t="shared" ref="AL102" si="11">AK104</f>
        <v>561744</v>
      </c>
      <c r="AM102" s="3">
        <v>525808</v>
      </c>
      <c r="AN102" s="3">
        <v>542157.55335626984</v>
      </c>
      <c r="AO102" s="3">
        <v>569472</v>
      </c>
      <c r="AP102" s="3">
        <v>587383.59342004801</v>
      </c>
      <c r="AQ102" s="19">
        <f>AP104</f>
        <v>459133.00849585427</v>
      </c>
      <c r="AR102" s="19">
        <f>AQ104</f>
        <v>493691</v>
      </c>
      <c r="AS102" s="19">
        <f>AR104</f>
        <v>699196</v>
      </c>
    </row>
    <row r="103" spans="1:48">
      <c r="A103" s="21"/>
      <c r="B103" s="17" t="s">
        <v>207</v>
      </c>
      <c r="C103" s="17" t="s">
        <v>611</v>
      </c>
      <c r="D103" s="3">
        <v>3356</v>
      </c>
      <c r="E103" s="3">
        <v>2778</v>
      </c>
      <c r="F103" s="3">
        <v>1737.96</v>
      </c>
      <c r="G103" s="3">
        <v>-1249.96</v>
      </c>
      <c r="H103" s="3">
        <v>6622</v>
      </c>
      <c r="I103" s="3">
        <v>1149</v>
      </c>
      <c r="J103" s="3">
        <v>-13958</v>
      </c>
      <c r="K103" s="3">
        <v>33228</v>
      </c>
      <c r="L103" s="3">
        <v>1208</v>
      </c>
      <c r="M103" s="3">
        <v>21627</v>
      </c>
      <c r="N103" s="3">
        <v>1783</v>
      </c>
      <c r="O103" s="3">
        <v>-2019</v>
      </c>
      <c r="P103" s="3">
        <v>12690</v>
      </c>
      <c r="Q103" s="3">
        <v>-4756</v>
      </c>
      <c r="R103" s="3">
        <v>7698</v>
      </c>
      <c r="S103" s="3">
        <v>27535</v>
      </c>
      <c r="T103" s="3">
        <v>9187</v>
      </c>
      <c r="U103" s="3">
        <v>-606.99999999999932</v>
      </c>
      <c r="V103" s="3">
        <v>-11249.000000000002</v>
      </c>
      <c r="W103" s="3">
        <v>24704</v>
      </c>
      <c r="X103" s="3">
        <v>16277.999999999998</v>
      </c>
      <c r="Y103" s="3">
        <v>12468</v>
      </c>
      <c r="Z103" s="3">
        <v>-13002.999999999998</v>
      </c>
      <c r="AA103" s="3">
        <v>-387</v>
      </c>
      <c r="AB103" s="3">
        <v>15356</v>
      </c>
      <c r="AC103" s="3">
        <v>-24917</v>
      </c>
      <c r="AD103" s="3">
        <v>12496</v>
      </c>
      <c r="AE103" s="3">
        <v>11682</v>
      </c>
      <c r="AF103" s="3">
        <v>705</v>
      </c>
      <c r="AG103" s="3">
        <v>2959</v>
      </c>
      <c r="AH103" s="3">
        <v>-11359.176039999998</v>
      </c>
      <c r="AI103" s="3">
        <v>14350.101862009473</v>
      </c>
      <c r="AJ103" s="3">
        <v>-129403.06246183858</v>
      </c>
      <c r="AK103" s="3">
        <v>13718.305454484656</v>
      </c>
      <c r="AL103" s="3">
        <v>6918.2694926814302</v>
      </c>
      <c r="AM103" s="3">
        <v>7935.6028255105375</v>
      </c>
      <c r="AN103" s="3">
        <v>32383.151227323378</v>
      </c>
      <c r="AO103" s="3">
        <v>-27838.3217317819</v>
      </c>
      <c r="AP103" s="3">
        <v>-17237.6782682181</v>
      </c>
      <c r="AQ103" s="19">
        <v>-10631.686567365949</v>
      </c>
      <c r="AR103" s="19">
        <v>6653.4631789528357</v>
      </c>
      <c r="AS103" s="3">
        <v>3252.4426436499089</v>
      </c>
    </row>
    <row r="104" spans="1:48">
      <c r="B104" s="17" t="s">
        <v>208</v>
      </c>
      <c r="C104" s="17" t="s">
        <v>612</v>
      </c>
      <c r="D104" s="3">
        <v>353459</v>
      </c>
      <c r="E104" s="3">
        <v>311543</v>
      </c>
      <c r="F104" s="3">
        <v>308365</v>
      </c>
      <c r="G104" s="3">
        <v>296857</v>
      </c>
      <c r="H104" s="3">
        <v>296857</v>
      </c>
      <c r="I104" s="3">
        <v>313670</v>
      </c>
      <c r="J104" s="3">
        <v>497570</v>
      </c>
      <c r="K104" s="3">
        <v>347563</v>
      </c>
      <c r="L104" s="3">
        <v>-847232</v>
      </c>
      <c r="M104" s="3">
        <v>311571</v>
      </c>
      <c r="N104" s="3">
        <v>290795</v>
      </c>
      <c r="O104" s="3">
        <v>306277</v>
      </c>
      <c r="P104" s="3">
        <v>342365</v>
      </c>
      <c r="Q104" s="3">
        <v>318522</v>
      </c>
      <c r="R104" s="3">
        <v>318522</v>
      </c>
      <c r="S104" s="3">
        <v>333876</v>
      </c>
      <c r="T104" s="3">
        <v>524134</v>
      </c>
      <c r="U104" s="3">
        <v>491596</v>
      </c>
      <c r="V104" s="3">
        <v>486536</v>
      </c>
      <c r="W104" s="3">
        <v>486536</v>
      </c>
      <c r="X104" s="3">
        <v>533277</v>
      </c>
      <c r="Y104" s="3">
        <v>321803</v>
      </c>
      <c r="Z104" s="3">
        <v>368439</v>
      </c>
      <c r="AA104" s="3">
        <v>390039</v>
      </c>
      <c r="AB104" s="3">
        <v>390039</v>
      </c>
      <c r="AC104" s="3">
        <v>392763</v>
      </c>
      <c r="AD104" s="3">
        <v>234243</v>
      </c>
      <c r="AE104" s="3">
        <v>345447</v>
      </c>
      <c r="AF104" s="3">
        <v>365161</v>
      </c>
      <c r="AG104" s="3">
        <v>405063</v>
      </c>
      <c r="AH104" s="3">
        <v>282500</v>
      </c>
      <c r="AI104" s="3">
        <v>434629</v>
      </c>
      <c r="AJ104" s="3">
        <v>422029</v>
      </c>
      <c r="AK104" s="3">
        <v>561744</v>
      </c>
      <c r="AL104" s="3">
        <v>525808</v>
      </c>
      <c r="AM104" s="3">
        <v>542162.55335626984</v>
      </c>
      <c r="AN104" s="3">
        <v>569472.27149261488</v>
      </c>
      <c r="AO104" s="3">
        <v>587121.59342004801</v>
      </c>
      <c r="AP104" s="3">
        <v>459133.00849585427</v>
      </c>
      <c r="AQ104" s="19">
        <v>493691</v>
      </c>
      <c r="AR104" s="19">
        <v>699196</v>
      </c>
      <c r="AS104" s="3">
        <v>607367</v>
      </c>
    </row>
    <row r="105" spans="1:48">
      <c r="B105" s="17"/>
      <c r="C105" s="1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8" ht="16.5" customHeight="1">
      <c r="A106" s="21"/>
      <c r="B106" s="160" t="s">
        <v>204</v>
      </c>
      <c r="C106" s="160" t="s">
        <v>608</v>
      </c>
      <c r="D106" s="161">
        <f t="shared" ref="D106:I106" si="12">D104-D103-D102</f>
        <v>-44674</v>
      </c>
      <c r="E106" s="161">
        <f t="shared" si="12"/>
        <v>-44694</v>
      </c>
      <c r="F106" s="161">
        <f t="shared" si="12"/>
        <v>-4915.960000000021</v>
      </c>
      <c r="G106" s="161">
        <f>G104-G103-G102</f>
        <v>-10258.039999999979</v>
      </c>
      <c r="H106" s="161">
        <f>H104-H103-H102</f>
        <v>-104542</v>
      </c>
      <c r="I106" s="161">
        <f t="shared" si="12"/>
        <v>15664</v>
      </c>
      <c r="J106" s="161">
        <v>197858</v>
      </c>
      <c r="K106" s="161">
        <v>-183235</v>
      </c>
      <c r="L106" s="161">
        <f t="shared" ref="L106:AE106" si="13">L104-L103-L102</f>
        <v>-37200</v>
      </c>
      <c r="M106" s="161">
        <f t="shared" si="13"/>
        <v>-6913</v>
      </c>
      <c r="N106" s="161">
        <f t="shared" si="13"/>
        <v>-22559</v>
      </c>
      <c r="O106" s="161">
        <f t="shared" si="13"/>
        <v>17501</v>
      </c>
      <c r="P106" s="161">
        <f t="shared" si="13"/>
        <v>23398</v>
      </c>
      <c r="Q106" s="161">
        <v>-19087</v>
      </c>
      <c r="R106" s="161">
        <f t="shared" si="13"/>
        <v>-747</v>
      </c>
      <c r="S106" s="161">
        <f t="shared" si="13"/>
        <v>-12181</v>
      </c>
      <c r="T106" s="161">
        <f t="shared" si="13"/>
        <v>181071</v>
      </c>
      <c r="U106" s="161">
        <f t="shared" si="13"/>
        <v>-31931</v>
      </c>
      <c r="V106" s="161">
        <f t="shared" si="13"/>
        <v>6185</v>
      </c>
      <c r="W106" s="161">
        <f t="shared" si="13"/>
        <v>143310</v>
      </c>
      <c r="X106" s="161">
        <f t="shared" si="13"/>
        <v>30463</v>
      </c>
      <c r="Y106" s="161">
        <f t="shared" si="13"/>
        <v>-223965</v>
      </c>
      <c r="Z106" s="161">
        <f t="shared" si="13"/>
        <v>59639</v>
      </c>
      <c r="AA106" s="161">
        <f t="shared" si="13"/>
        <v>21987</v>
      </c>
      <c r="AB106" s="161">
        <f t="shared" si="13"/>
        <v>-111853</v>
      </c>
      <c r="AC106" s="161">
        <f t="shared" si="13"/>
        <v>27641</v>
      </c>
      <c r="AD106" s="161">
        <f t="shared" si="13"/>
        <v>-171016</v>
      </c>
      <c r="AE106" s="161">
        <f t="shared" si="13"/>
        <v>99522</v>
      </c>
      <c r="AF106" s="161">
        <f>AF104-AF103-AF102</f>
        <v>19009</v>
      </c>
      <c r="AG106" s="161">
        <v>36943</v>
      </c>
      <c r="AH106" s="161">
        <v>-111203.82396000001</v>
      </c>
      <c r="AI106" s="161">
        <v>137778.8981379905</v>
      </c>
      <c r="AJ106" s="161">
        <v>116803.06246183859</v>
      </c>
      <c r="AK106" s="161">
        <v>125996.69454551535</v>
      </c>
      <c r="AL106" s="161">
        <f>AL104-AL103-AL102</f>
        <v>-42854.269492681429</v>
      </c>
      <c r="AM106" s="161">
        <v>8418.9505307592917</v>
      </c>
      <c r="AN106" s="161">
        <v>-5068.4330909783021</v>
      </c>
      <c r="AO106" s="161">
        <f>AO99</f>
        <v>45487.915151829919</v>
      </c>
      <c r="AP106" s="161">
        <f>AP99</f>
        <v>-110324.13348934936</v>
      </c>
      <c r="AQ106" s="192">
        <f>AQ99</f>
        <v>44762.843325760914</v>
      </c>
      <c r="AR106" s="192">
        <f>AR99</f>
        <v>198850.97295041327</v>
      </c>
      <c r="AS106" s="161">
        <f>AS104-AS103-AS102</f>
        <v>-95081.442643649876</v>
      </c>
      <c r="AU106" s="159"/>
      <c r="AV106" s="159"/>
    </row>
    <row r="107" spans="1:48">
      <c r="A107" s="21"/>
      <c r="B107" s="17"/>
      <c r="C107" s="17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S107" s="45"/>
    </row>
    <row r="108" spans="1:48">
      <c r="A108" s="21"/>
      <c r="B108" s="46"/>
      <c r="C108" s="46"/>
      <c r="D108" s="3"/>
      <c r="K108" s="165"/>
      <c r="AS108" s="3"/>
    </row>
    <row r="109" spans="1:48">
      <c r="A109" s="21"/>
      <c r="K109" s="165"/>
    </row>
    <row r="110" spans="1:48">
      <c r="A110" s="21"/>
    </row>
    <row r="111" spans="1:48">
      <c r="A111" s="21"/>
    </row>
    <row r="112" spans="1:48">
      <c r="A112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ignoredErrors>
    <ignoredError sqref="AQ98:AR101 AQ21:AR21 AQ40:AR41 AQ105:AR106 AQ78:AR80 AR102 AQ26:AR26 AQ33:AR33 AQ37:AR37 AQ54:AR54 AQ57:AR61 AQ66:AR66 AQ68:AR68 AQ70:AR75 AQ82:AR82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113454BC82242A2B5F21545ED3144" ma:contentTypeVersion="12" ma:contentTypeDescription="Crie um novo documento." ma:contentTypeScope="" ma:versionID="e126dc9f6519fa2bd97b8f29a4957078">
  <xsd:schema xmlns:xsd="http://www.w3.org/2001/XMLSchema" xmlns:xs="http://www.w3.org/2001/XMLSchema" xmlns:p="http://schemas.microsoft.com/office/2006/metadata/properties" xmlns:ns2="65c9993c-95d8-4652-8aea-bc620e4ac8f0" xmlns:ns3="3affd60e-7175-407a-aa22-6de6d6e75e5e" targetNamespace="http://schemas.microsoft.com/office/2006/metadata/properties" ma:root="true" ma:fieldsID="d4bb54017e1851d030108279d25820ed" ns2:_="" ns3:_="">
    <xsd:import namespace="65c9993c-95d8-4652-8aea-bc620e4ac8f0"/>
    <xsd:import namespace="3affd60e-7175-407a-aa22-6de6d6e75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9993c-95d8-4652-8aea-bc620e4ac8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e7eb65-5f36-4de8-83fd-7090e1dbd5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fd60e-7175-407a-aa22-6de6d6e75e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b329a3-67bf-46f6-b662-50d7208dbb6e}" ma:internalName="TaxCatchAll" ma:showField="CatchAllData" ma:web="3affd60e-7175-407a-aa22-6de6d6e75e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ffd60e-7175-407a-aa22-6de6d6e75e5e" xsi:nil="true"/>
    <lcf76f155ced4ddcb4097134ff3c332f xmlns="65c9993c-95d8-4652-8aea-bc620e4ac8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0AC2A9-6044-4E0C-A315-72E35B786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c9993c-95d8-4652-8aea-bc620e4ac8f0"/>
    <ds:schemaRef ds:uri="3affd60e-7175-407a-aa22-6de6d6e75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484A88-BFA2-4379-898B-82F69328E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335D7-01FF-42A3-B6D2-1170E82D9D9A}">
  <ds:schemaRefs>
    <ds:schemaRef ds:uri="http://schemas.microsoft.com/office/2006/metadata/properties"/>
    <ds:schemaRef ds:uri="http://schemas.microsoft.com/office/infopath/2007/PartnerControls"/>
    <ds:schemaRef ds:uri="3affd60e-7175-407a-aa22-6de6d6e75e5e"/>
    <ds:schemaRef ds:uri="65c9993c-95d8-4652-8aea-bc620e4ac8f0"/>
  </ds:schemaRefs>
</ds:datastoreItem>
</file>

<file path=docMetadata/LabelInfo.xml><?xml version="1.0" encoding="utf-8"?>
<clbl:labelList xmlns:clbl="http://schemas.microsoft.com/office/2020/mipLabelMetadata">
  <clbl:label id="{e771bfc6-d89a-4359-84f4-4625a0444d21}" enabled="1" method="Standard" siteId="{f5918faf-6854-42eb-b8a7-fd14ef3c4e3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DRE</vt:lpstr>
      <vt:lpstr>DRE Op Continuada</vt:lpstr>
      <vt:lpstr>Balanço</vt:lpstr>
      <vt:lpstr>Margens E Indicadores</vt:lpstr>
      <vt:lpstr>DFC 10-14</vt:lpstr>
      <vt:lpstr>DFC 15</vt:lpstr>
      <vt:lpstr>DFC 16</vt:lpstr>
      <vt:lpstr>DFC 17-26</vt:lpstr>
      <vt:lpstr>Resultados Valid Visão até 2020</vt:lpstr>
      <vt:lpstr>Resultados Valid Visão 2021</vt:lpstr>
      <vt:lpstr>Resultados Valid Visão 2022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Leticya Kailany Mendes Santos</cp:lastModifiedBy>
  <cp:lastPrinted>2023-11-07T18:34:02Z</cp:lastPrinted>
  <dcterms:created xsi:type="dcterms:W3CDTF">2013-11-04T17:11:51Z</dcterms:created>
  <dcterms:modified xsi:type="dcterms:W3CDTF">2026-05-06T21:14:07Z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0x0101009A3113454BC82242A2B5F21545ED3144</vt:lpwstr>
  </property>
  <property fmtid="{D5CDD505-2E9C-101B-9397-08002B2CF9AE}" pid="3" name="MediaServiceImageTags">
    <vt:lpwstr/>
  </property>
</Properties>
</file>