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X:\GERENCIAL\Dados Financeiros e Operacionais\Histórico resultados\Port\"/>
    </mc:Choice>
  </mc:AlternateContent>
  <xr:revisionPtr revIDLastSave="0" documentId="13_ncr:1_{4A10D8DE-EBCE-4025-B34B-D397A843F3E2}" xr6:coauthVersionLast="47" xr6:coauthVersionMax="47" xr10:uidLastSave="{00000000-0000-0000-0000-000000000000}"/>
  <bookViews>
    <workbookView showSheetTabs="0" xWindow="-120" yWindow="-120" windowWidth="20730" windowHeight="11160" tabRatio="738" xr2:uid="{00000000-000D-0000-FFFF-FFFF00000000}"/>
  </bookViews>
  <sheets>
    <sheet name="Menu" sheetId="15" r:id="rId1"/>
    <sheet name="DRE" sheetId="4" r:id="rId2"/>
    <sheet name="Balanço" sheetId="2" r:id="rId3"/>
    <sheet name="DRE Op Continuada" sheetId="5" r:id="rId4"/>
    <sheet name="Margens E Indicadores" sheetId="16" r:id="rId5"/>
    <sheet name="DFC 10-14" sheetId="9" r:id="rId6"/>
    <sheet name="DFC 15" sheetId="8" r:id="rId7"/>
    <sheet name="DFC 16" sheetId="7" r:id="rId8"/>
    <sheet name="DFC 17-24" sheetId="6" r:id="rId9"/>
    <sheet name="Resultados Valid Visão até 2020" sheetId="10" r:id="rId10"/>
    <sheet name="Resultados Valid Visão 2021" sheetId="11" r:id="rId11"/>
    <sheet name="Resultados Valid Visão 2022" sheetId="12" r:id="rId12"/>
  </sheets>
  <externalReferences>
    <externalReference r:id="rId1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98" i="6" l="1"/>
  <c r="AK102" i="6" s="1"/>
  <c r="AK93" i="6"/>
  <c r="AK95" i="6" s="1"/>
  <c r="AK75" i="6"/>
  <c r="AK57" i="6"/>
  <c r="AK55" i="6"/>
  <c r="AK38" i="6"/>
  <c r="S28" i="16"/>
  <c r="S23" i="16" s="1"/>
  <c r="S27" i="16"/>
  <c r="S19" i="16"/>
  <c r="S18" i="16"/>
  <c r="S29" i="16" s="1"/>
  <c r="S30" i="16" s="1"/>
  <c r="S20" i="16" s="1"/>
  <c r="S16" i="16"/>
  <c r="S12" i="16"/>
  <c r="S14" i="16" s="1"/>
  <c r="S11" i="16"/>
  <c r="S10" i="16"/>
  <c r="S9" i="16"/>
  <c r="S8" i="16"/>
  <c r="S7" i="16"/>
  <c r="S32" i="5"/>
  <c r="S25" i="5"/>
  <c r="S27" i="5" s="1"/>
  <c r="S34" i="5" s="1"/>
  <c r="S39" i="5" s="1"/>
  <c r="S18" i="5"/>
  <c r="BK82" i="2"/>
  <c r="BK84" i="2" s="1"/>
  <c r="BK71" i="2"/>
  <c r="BK86" i="2" s="1"/>
  <c r="BK59" i="2"/>
  <c r="BK47" i="2"/>
  <c r="BK42" i="2"/>
  <c r="BK44" i="2" s="1"/>
  <c r="BK37" i="2"/>
  <c r="BK22" i="2"/>
  <c r="M25" i="5"/>
  <c r="N25" i="5"/>
  <c r="K25" i="5"/>
  <c r="M18" i="5"/>
  <c r="K18" i="5"/>
  <c r="L43" i="5"/>
  <c r="L42" i="5"/>
  <c r="L36" i="5"/>
  <c r="L31" i="5"/>
  <c r="L30" i="5"/>
  <c r="L24" i="5"/>
  <c r="L23" i="5"/>
  <c r="L25" i="5" s="1"/>
  <c r="L17" i="5"/>
  <c r="L16" i="5"/>
  <c r="L15" i="5"/>
  <c r="L14" i="5"/>
  <c r="L18" i="5" s="1"/>
  <c r="L11" i="5"/>
  <c r="L10" i="5"/>
  <c r="L9" i="5"/>
  <c r="G43" i="5"/>
  <c r="G42" i="5"/>
  <c r="G36" i="5"/>
  <c r="G31" i="5"/>
  <c r="G30" i="5"/>
  <c r="G24" i="5"/>
  <c r="G23" i="5"/>
  <c r="G17" i="5"/>
  <c r="G16" i="5"/>
  <c r="G15" i="5"/>
  <c r="G14" i="5"/>
  <c r="G11" i="5"/>
  <c r="G10" i="5"/>
  <c r="G9" i="5"/>
  <c r="T25" i="12"/>
  <c r="S25" i="12"/>
  <c r="BM32" i="4"/>
  <c r="BM25" i="4"/>
  <c r="BM18" i="4"/>
  <c r="AE75" i="6"/>
  <c r="AE55" i="6"/>
  <c r="BL42" i="4"/>
  <c r="O12" i="12"/>
  <c r="F25" i="5"/>
  <c r="F18" i="5"/>
  <c r="BL43" i="4"/>
  <c r="I32" i="5"/>
  <c r="D32" i="5"/>
  <c r="D25" i="5"/>
  <c r="C18" i="5"/>
  <c r="C20" i="5"/>
  <c r="I18" i="5"/>
  <c r="I20" i="5" s="1"/>
  <c r="I27" i="5" s="1"/>
  <c r="I34" i="5" s="1"/>
  <c r="I39" i="5" s="1"/>
  <c r="AE98" i="6"/>
  <c r="E9" i="4"/>
  <c r="E11" i="4"/>
  <c r="E20" i="4" s="1"/>
  <c r="E27" i="4" s="1"/>
  <c r="E39" i="4" s="1"/>
  <c r="G81" i="12"/>
  <c r="G34" i="12" s="1"/>
  <c r="G80" i="12"/>
  <c r="F81" i="12"/>
  <c r="E81" i="12"/>
  <c r="E34" i="12" s="1"/>
  <c r="C81" i="12"/>
  <c r="C34" i="12" s="1"/>
  <c r="G78" i="12"/>
  <c r="N80" i="12"/>
  <c r="F78" i="12"/>
  <c r="E78" i="12"/>
  <c r="D78" i="12"/>
  <c r="C78" i="12"/>
  <c r="G72" i="12"/>
  <c r="G71" i="12"/>
  <c r="N72" i="12"/>
  <c r="E72" i="12"/>
  <c r="D72" i="12"/>
  <c r="G69" i="12"/>
  <c r="E69" i="12"/>
  <c r="D69" i="12"/>
  <c r="C69" i="12"/>
  <c r="G63" i="12"/>
  <c r="G62" i="12"/>
  <c r="F63" i="12"/>
  <c r="E63" i="12"/>
  <c r="D63" i="12"/>
  <c r="C63" i="12"/>
  <c r="G60" i="12"/>
  <c r="F60" i="12"/>
  <c r="D60" i="12"/>
  <c r="C60" i="12"/>
  <c r="Q56" i="12"/>
  <c r="G52" i="12"/>
  <c r="G51" i="12"/>
  <c r="N52" i="12"/>
  <c r="F52" i="12"/>
  <c r="E52" i="12"/>
  <c r="D52" i="12"/>
  <c r="G49" i="12"/>
  <c r="F49" i="12"/>
  <c r="E49" i="12"/>
  <c r="D49" i="12"/>
  <c r="C49" i="12"/>
  <c r="G45" i="12"/>
  <c r="F45" i="12"/>
  <c r="E45" i="12"/>
  <c r="D43" i="12"/>
  <c r="D41" i="12"/>
  <c r="G33" i="12"/>
  <c r="F33" i="12"/>
  <c r="D37" i="12"/>
  <c r="C33" i="12"/>
  <c r="G25" i="12"/>
  <c r="F25" i="12"/>
  <c r="E25" i="12"/>
  <c r="D25" i="12"/>
  <c r="C25" i="12"/>
  <c r="Q24" i="12"/>
  <c r="Q23" i="12"/>
  <c r="G14" i="12"/>
  <c r="G83" i="12"/>
  <c r="F14" i="12"/>
  <c r="E14" i="12"/>
  <c r="D14" i="12"/>
  <c r="C14" i="12"/>
  <c r="C65" i="12"/>
  <c r="G13" i="12"/>
  <c r="F13" i="12"/>
  <c r="C13" i="12"/>
  <c r="N17" i="12"/>
  <c r="M81" i="12"/>
  <c r="M69" i="12"/>
  <c r="AC34" i="11"/>
  <c r="AC87" i="11"/>
  <c r="AF82" i="11"/>
  <c r="AF79" i="11"/>
  <c r="AG78" i="11"/>
  <c r="AC80" i="11"/>
  <c r="AF70" i="11"/>
  <c r="AG71" i="11"/>
  <c r="AE69" i="11"/>
  <c r="AF64" i="11"/>
  <c r="AC62" i="11"/>
  <c r="AF56" i="11"/>
  <c r="AG34" i="11"/>
  <c r="AF48" i="11"/>
  <c r="AB45" i="11"/>
  <c r="AA45" i="11"/>
  <c r="Z45" i="11"/>
  <c r="Y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X43" i="11"/>
  <c r="AF42" i="11"/>
  <c r="X41" i="11"/>
  <c r="AF40" i="11"/>
  <c r="AF38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AB33" i="11"/>
  <c r="AA33" i="11"/>
  <c r="Z33" i="11"/>
  <c r="AG37" i="11"/>
  <c r="X37" i="11"/>
  <c r="W33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AF30" i="11"/>
  <c r="Q30" i="11"/>
  <c r="Q31" i="11" s="1"/>
  <c r="AG31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AF23" i="11"/>
  <c r="AF43" i="11" s="1"/>
  <c r="AF22" i="11"/>
  <c r="AF21" i="11"/>
  <c r="AF18" i="11"/>
  <c r="AB14" i="11"/>
  <c r="AA14" i="11"/>
  <c r="Z14" i="11"/>
  <c r="Y14" i="11"/>
  <c r="X14" i="11"/>
  <c r="W14" i="11"/>
  <c r="V14" i="11"/>
  <c r="U14" i="11"/>
  <c r="T14" i="11"/>
  <c r="S14" i="11"/>
  <c r="R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AB13" i="11"/>
  <c r="AA13" i="11"/>
  <c r="Z13" i="11"/>
  <c r="W13" i="11"/>
  <c r="AG17" i="11"/>
  <c r="AG25" i="11"/>
  <c r="AF12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Q10" i="11"/>
  <c r="AE49" i="11"/>
  <c r="AR60" i="10"/>
  <c r="AQ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AR59" i="10"/>
  <c r="AQ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AR57" i="10"/>
  <c r="AQ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AR49" i="10"/>
  <c r="AQ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AT48" i="10"/>
  <c r="AR48" i="10"/>
  <c r="AQ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AT46" i="10"/>
  <c r="AR46" i="10"/>
  <c r="AQ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AX39" i="10"/>
  <c r="AW39" i="10"/>
  <c r="AV39" i="10"/>
  <c r="AT39" i="10"/>
  <c r="AR39" i="10"/>
  <c r="AQ39" i="10"/>
  <c r="AP39" i="10"/>
  <c r="AO39" i="10"/>
  <c r="AN39" i="10"/>
  <c r="AM39" i="10"/>
  <c r="AL39" i="10"/>
  <c r="AK39" i="10"/>
  <c r="AJ39" i="10"/>
  <c r="AI39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AX33" i="10"/>
  <c r="AX36" i="10" s="1"/>
  <c r="AW33" i="10"/>
  <c r="AW38" i="10" s="1"/>
  <c r="AV33" i="10"/>
  <c r="AV38" i="10" s="1"/>
  <c r="AV36" i="10"/>
  <c r="AU33" i="10"/>
  <c r="AT33" i="10"/>
  <c r="AT38" i="10" s="1"/>
  <c r="AS33" i="10"/>
  <c r="AS36" i="10"/>
  <c r="AR33" i="10"/>
  <c r="AR38" i="10"/>
  <c r="AQ33" i="10"/>
  <c r="AP33" i="10"/>
  <c r="AP38" i="10" s="1"/>
  <c r="AO33" i="10"/>
  <c r="AO38" i="10"/>
  <c r="AN33" i="10"/>
  <c r="AM33" i="10"/>
  <c r="AM38" i="10" s="1"/>
  <c r="AL33" i="10"/>
  <c r="AK33" i="10"/>
  <c r="AK38" i="10" s="1"/>
  <c r="AJ33" i="10"/>
  <c r="AJ38" i="10"/>
  <c r="AI33" i="10"/>
  <c r="AH33" i="10"/>
  <c r="AH38" i="10" s="1"/>
  <c r="AG33" i="10"/>
  <c r="AG36" i="10" s="1"/>
  <c r="AF33" i="10"/>
  <c r="AE33" i="10"/>
  <c r="AD33" i="10"/>
  <c r="AD36" i="10"/>
  <c r="AC33" i="10"/>
  <c r="AB33" i="10"/>
  <c r="AB38" i="10" s="1"/>
  <c r="AA33" i="10"/>
  <c r="Z33" i="10"/>
  <c r="Z38" i="10"/>
  <c r="Y33" i="10"/>
  <c r="Y36" i="10"/>
  <c r="X33" i="10"/>
  <c r="X38" i="10" s="1"/>
  <c r="W33" i="10"/>
  <c r="V33" i="10"/>
  <c r="V36" i="10" s="1"/>
  <c r="U33" i="10"/>
  <c r="T33" i="10"/>
  <c r="T38" i="10" s="1"/>
  <c r="S33" i="10"/>
  <c r="S38" i="10" s="1"/>
  <c r="R33" i="10"/>
  <c r="R36" i="10" s="1"/>
  <c r="Q33" i="10"/>
  <c r="P33" i="10"/>
  <c r="O33" i="10"/>
  <c r="N33" i="10"/>
  <c r="N38" i="10" s="1"/>
  <c r="M33" i="10"/>
  <c r="M38" i="10" s="1"/>
  <c r="L33" i="10"/>
  <c r="L36" i="10" s="1"/>
  <c r="K33" i="10"/>
  <c r="J33" i="10"/>
  <c r="J36" i="10" s="1"/>
  <c r="I33" i="10"/>
  <c r="I38" i="10" s="1"/>
  <c r="H33" i="10"/>
  <c r="H38" i="10"/>
  <c r="G33" i="10"/>
  <c r="G36" i="10"/>
  <c r="F33" i="10"/>
  <c r="F38" i="10" s="1"/>
  <c r="E33" i="10"/>
  <c r="E38" i="10" s="1"/>
  <c r="D33" i="10"/>
  <c r="D38" i="10"/>
  <c r="C33" i="10"/>
  <c r="C30" i="10"/>
  <c r="AX25" i="10"/>
  <c r="AX30" i="10" s="1"/>
  <c r="AW25" i="10"/>
  <c r="AW30" i="10" s="1"/>
  <c r="AV25" i="10"/>
  <c r="AV30" i="10"/>
  <c r="AU25" i="10"/>
  <c r="AU30" i="10"/>
  <c r="AR25" i="10"/>
  <c r="AQ25" i="10"/>
  <c r="AQ30" i="10" s="1"/>
  <c r="AP25" i="10"/>
  <c r="AP30" i="10" s="1"/>
  <c r="AO25" i="10"/>
  <c r="AO30" i="10" s="1"/>
  <c r="F25" i="10"/>
  <c r="F30" i="10" s="1"/>
  <c r="E25" i="10"/>
  <c r="E30" i="10" s="1"/>
  <c r="D25" i="10"/>
  <c r="D30" i="10" s="1"/>
  <c r="BA13" i="10"/>
  <c r="V13" i="10"/>
  <c r="Q13" i="10"/>
  <c r="L13" i="10"/>
  <c r="G13" i="10"/>
  <c r="AT11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AU10" i="10"/>
  <c r="AU11" i="10"/>
  <c r="AA81" i="9"/>
  <c r="Z81" i="9"/>
  <c r="Y81" i="9"/>
  <c r="X81" i="9"/>
  <c r="W81" i="9"/>
  <c r="U81" i="9"/>
  <c r="T81" i="9"/>
  <c r="S81" i="9"/>
  <c r="R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V79" i="9"/>
  <c r="V81" i="9" s="1"/>
  <c r="Q79" i="9"/>
  <c r="Q81" i="9" s="1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I75" i="9" s="1"/>
  <c r="H71" i="9"/>
  <c r="G71" i="9"/>
  <c r="F71" i="9"/>
  <c r="E71" i="9"/>
  <c r="D71" i="9"/>
  <c r="C71" i="9"/>
  <c r="AA55" i="9"/>
  <c r="Z55" i="9"/>
  <c r="Z75" i="9" s="1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L75" i="9" s="1"/>
  <c r="K55" i="9"/>
  <c r="J55" i="9"/>
  <c r="I55" i="9"/>
  <c r="H55" i="9"/>
  <c r="G55" i="9"/>
  <c r="F55" i="9"/>
  <c r="E55" i="9"/>
  <c r="D55" i="9"/>
  <c r="C55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C40" i="9" s="1"/>
  <c r="AA26" i="9"/>
  <c r="Z26" i="9"/>
  <c r="Z40" i="9" s="1"/>
  <c r="Y26" i="9"/>
  <c r="X26" i="9"/>
  <c r="X40" i="9" s="1"/>
  <c r="X75" i="9" s="1"/>
  <c r="W26" i="9"/>
  <c r="V26" i="9"/>
  <c r="V40" i="9" s="1"/>
  <c r="V75" i="9" s="1"/>
  <c r="U26" i="9"/>
  <c r="T26" i="9"/>
  <c r="T40" i="9"/>
  <c r="S26" i="9"/>
  <c r="S40" i="9" s="1"/>
  <c r="R26" i="9"/>
  <c r="R40" i="9" s="1"/>
  <c r="R75" i="9" s="1"/>
  <c r="Q26" i="9"/>
  <c r="Q40" i="9"/>
  <c r="P26" i="9"/>
  <c r="P40" i="9" s="1"/>
  <c r="P75" i="9" s="1"/>
  <c r="O26" i="9"/>
  <c r="N26" i="9"/>
  <c r="N40" i="9" s="1"/>
  <c r="N75" i="9" s="1"/>
  <c r="M26" i="9"/>
  <c r="M40" i="9" s="1"/>
  <c r="M75" i="9" s="1"/>
  <c r="L26" i="9"/>
  <c r="K26" i="9"/>
  <c r="K40" i="9" s="1"/>
  <c r="K75" i="9" s="1"/>
  <c r="J26" i="9"/>
  <c r="J40" i="9"/>
  <c r="I26" i="9"/>
  <c r="I40" i="9"/>
  <c r="H26" i="9"/>
  <c r="G26" i="9"/>
  <c r="F26" i="9"/>
  <c r="F40" i="9"/>
  <c r="F75" i="9" s="1"/>
  <c r="E26" i="9"/>
  <c r="E40" i="9" s="1"/>
  <c r="E75" i="9" s="1"/>
  <c r="D26" i="9"/>
  <c r="C26" i="9"/>
  <c r="C75" i="9"/>
  <c r="F88" i="8"/>
  <c r="E88" i="8"/>
  <c r="G88" i="8" s="1"/>
  <c r="D88" i="8"/>
  <c r="C88" i="8"/>
  <c r="G80" i="8"/>
  <c r="F78" i="8"/>
  <c r="E78" i="8"/>
  <c r="D78" i="8"/>
  <c r="G78" i="8" s="1"/>
  <c r="C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F60" i="8"/>
  <c r="E60" i="8"/>
  <c r="D60" i="8"/>
  <c r="G60" i="8" s="1"/>
  <c r="C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F39" i="8"/>
  <c r="E39" i="8"/>
  <c r="D39" i="8"/>
  <c r="G39" i="8" s="1"/>
  <c r="C39" i="8"/>
  <c r="G38" i="8"/>
  <c r="G37" i="8"/>
  <c r="G36" i="8"/>
  <c r="G35" i="8"/>
  <c r="G34" i="8"/>
  <c r="G33" i="8"/>
  <c r="G32" i="8"/>
  <c r="G31" i="8"/>
  <c r="G30" i="8"/>
  <c r="G29" i="8"/>
  <c r="G28" i="8"/>
  <c r="F26" i="8"/>
  <c r="F41" i="8" s="1"/>
  <c r="F82" i="8" s="1"/>
  <c r="E26" i="8"/>
  <c r="D26" i="8"/>
  <c r="C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9" i="8"/>
  <c r="H92" i="7"/>
  <c r="F92" i="7"/>
  <c r="E92" i="7"/>
  <c r="H90" i="7"/>
  <c r="H88" i="7"/>
  <c r="H83" i="7"/>
  <c r="G83" i="7"/>
  <c r="F83" i="7"/>
  <c r="E83" i="7"/>
  <c r="D83" i="7"/>
  <c r="C83" i="7"/>
  <c r="H65" i="7"/>
  <c r="G65" i="7"/>
  <c r="F65" i="7"/>
  <c r="E65" i="7"/>
  <c r="D65" i="7"/>
  <c r="C65" i="7"/>
  <c r="H42" i="7"/>
  <c r="G42" i="7"/>
  <c r="F42" i="7"/>
  <c r="E42" i="7"/>
  <c r="D42" i="7"/>
  <c r="C42" i="7"/>
  <c r="H29" i="7"/>
  <c r="G29" i="7"/>
  <c r="D29" i="7"/>
  <c r="C29" i="7"/>
  <c r="C44" i="7" s="1"/>
  <c r="E9" i="7"/>
  <c r="F9" i="7"/>
  <c r="F29" i="7" s="1"/>
  <c r="W102" i="6"/>
  <c r="V102" i="6"/>
  <c r="U102" i="6"/>
  <c r="T102" i="6"/>
  <c r="R102" i="6"/>
  <c r="Q102" i="6"/>
  <c r="O102" i="6"/>
  <c r="N102" i="6"/>
  <c r="M102" i="6"/>
  <c r="L102" i="6"/>
  <c r="K102" i="6"/>
  <c r="H102" i="6"/>
  <c r="G102" i="6"/>
  <c r="F102" i="6"/>
  <c r="E102" i="6"/>
  <c r="D102" i="6"/>
  <c r="C102" i="6"/>
  <c r="X102" i="6"/>
  <c r="AC102" i="6"/>
  <c r="S98" i="6"/>
  <c r="S102" i="6"/>
  <c r="W93" i="6"/>
  <c r="V93" i="6"/>
  <c r="U93" i="6"/>
  <c r="T93" i="6"/>
  <c r="S93" i="6"/>
  <c r="R93" i="6"/>
  <c r="Q93" i="6"/>
  <c r="O93" i="6"/>
  <c r="N93" i="6"/>
  <c r="M93" i="6"/>
  <c r="L93" i="6"/>
  <c r="K93" i="6"/>
  <c r="G93" i="6"/>
  <c r="G95" i="6" s="1"/>
  <c r="AA92" i="6"/>
  <c r="AA90" i="6"/>
  <c r="AA89" i="6"/>
  <c r="AA88" i="6"/>
  <c r="AA87" i="6"/>
  <c r="AA86" i="6"/>
  <c r="AA84" i="6"/>
  <c r="AA81" i="6"/>
  <c r="AA80" i="6"/>
  <c r="AA79" i="6"/>
  <c r="W75" i="6"/>
  <c r="V75" i="6"/>
  <c r="U75" i="6"/>
  <c r="T75" i="6"/>
  <c r="S75" i="6"/>
  <c r="R75" i="6"/>
  <c r="Q75" i="6"/>
  <c r="P75" i="6"/>
  <c r="O75" i="6"/>
  <c r="N75" i="6"/>
  <c r="M75" i="6"/>
  <c r="L75" i="6"/>
  <c r="K75" i="6"/>
  <c r="J75" i="6"/>
  <c r="I75" i="6"/>
  <c r="H75" i="6"/>
  <c r="H95" i="6" s="1"/>
  <c r="G75" i="6"/>
  <c r="F75" i="6"/>
  <c r="F95" i="6" s="1"/>
  <c r="E75" i="6"/>
  <c r="E95" i="6" s="1"/>
  <c r="D75" i="6"/>
  <c r="D95" i="6"/>
  <c r="C75" i="6"/>
  <c r="C95" i="6"/>
  <c r="AA74" i="6"/>
  <c r="AA73" i="6"/>
  <c r="AA72" i="6"/>
  <c r="AA71" i="6"/>
  <c r="AA70" i="6"/>
  <c r="AA69" i="6"/>
  <c r="AA68" i="6"/>
  <c r="AA67" i="6"/>
  <c r="AA66" i="6"/>
  <c r="AA65" i="6"/>
  <c r="AA64" i="6"/>
  <c r="AA61" i="6"/>
  <c r="AA60" i="6"/>
  <c r="W55" i="6"/>
  <c r="W57" i="6" s="1"/>
  <c r="V55" i="6"/>
  <c r="U55" i="6"/>
  <c r="T55" i="6"/>
  <c r="S55" i="6"/>
  <c r="R55" i="6"/>
  <c r="Q55" i="6"/>
  <c r="O55" i="6"/>
  <c r="N55" i="6"/>
  <c r="N57" i="6" s="1"/>
  <c r="M55" i="6"/>
  <c r="L55" i="6"/>
  <c r="AA53" i="6"/>
  <c r="AA52" i="6"/>
  <c r="AA51" i="6"/>
  <c r="AA49" i="6"/>
  <c r="AA47" i="6"/>
  <c r="AA46" i="6"/>
  <c r="AB55" i="6"/>
  <c r="X55" i="6"/>
  <c r="AA41" i="6"/>
  <c r="AA40" i="6"/>
  <c r="W38" i="6"/>
  <c r="V38" i="6"/>
  <c r="V57" i="6"/>
  <c r="U38" i="6"/>
  <c r="U57" i="6"/>
  <c r="U95" i="6" s="1"/>
  <c r="R38" i="6"/>
  <c r="Q38" i="6"/>
  <c r="Q57" i="6" s="1"/>
  <c r="O38" i="6"/>
  <c r="O57" i="6"/>
  <c r="N38" i="6"/>
  <c r="M38" i="6"/>
  <c r="M57" i="6" s="1"/>
  <c r="L38" i="6"/>
  <c r="K38" i="6"/>
  <c r="K57" i="6" s="1"/>
  <c r="K95" i="6" s="1"/>
  <c r="AA36" i="6"/>
  <c r="AA35" i="6"/>
  <c r="T35" i="6"/>
  <c r="AA33" i="6"/>
  <c r="AA32" i="6"/>
  <c r="AA31" i="6"/>
  <c r="AA30" i="6"/>
  <c r="Y38" i="6"/>
  <c r="AA26" i="6"/>
  <c r="AA25" i="6"/>
  <c r="AA24" i="6"/>
  <c r="AA23" i="6"/>
  <c r="AA22" i="6"/>
  <c r="S22" i="6"/>
  <c r="AA21" i="6"/>
  <c r="AA20" i="6"/>
  <c r="AB38" i="6"/>
  <c r="AB57" i="6" s="1"/>
  <c r="X38" i="6"/>
  <c r="AA16" i="6"/>
  <c r="H13" i="6"/>
  <c r="AJ43" i="4"/>
  <c r="AS36" i="4"/>
  <c r="AR36" i="4"/>
  <c r="AQ36" i="4"/>
  <c r="AP36" i="4"/>
  <c r="AO36" i="4"/>
  <c r="AN36" i="4"/>
  <c r="AM36" i="4"/>
  <c r="AL36" i="4"/>
  <c r="AK36" i="4"/>
  <c r="AJ36" i="4"/>
  <c r="AI36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I32" i="4"/>
  <c r="AH32" i="4"/>
  <c r="AG32" i="4"/>
  <c r="AJ32" i="4" s="1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AJ31" i="4"/>
  <c r="BI32" i="4"/>
  <c r="AJ30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I25" i="4"/>
  <c r="AJ24" i="4"/>
  <c r="BJ25" i="4"/>
  <c r="BH25" i="4"/>
  <c r="AJ23" i="4"/>
  <c r="BF18" i="4"/>
  <c r="BE18" i="4"/>
  <c r="BC18" i="4"/>
  <c r="BB18" i="4"/>
  <c r="BA18" i="4"/>
  <c r="BA20" i="4" s="1"/>
  <c r="BA27" i="4" s="1"/>
  <c r="BA34" i="4" s="1"/>
  <c r="BA39" i="4" s="1"/>
  <c r="AZ18" i="4"/>
  <c r="AY18" i="4"/>
  <c r="AX18" i="4"/>
  <c r="AW18" i="4"/>
  <c r="AV18" i="4"/>
  <c r="AU18" i="4"/>
  <c r="AT18" i="4"/>
  <c r="AS18" i="4"/>
  <c r="AR18" i="4"/>
  <c r="AQ18" i="4"/>
  <c r="AQ20" i="4" s="1"/>
  <c r="AQ27" i="4" s="1"/>
  <c r="AQ34" i="4" s="1"/>
  <c r="AQ39" i="4" s="1"/>
  <c r="AP18" i="4"/>
  <c r="AO18" i="4"/>
  <c r="AN18" i="4"/>
  <c r="AM18" i="4"/>
  <c r="AL18" i="4"/>
  <c r="AK18" i="4"/>
  <c r="AI18" i="4"/>
  <c r="AH18" i="4"/>
  <c r="AG18" i="4"/>
  <c r="AF18" i="4"/>
  <c r="AE18" i="4"/>
  <c r="AD18" i="4"/>
  <c r="AC18" i="4"/>
  <c r="AB18" i="4"/>
  <c r="AA18" i="4"/>
  <c r="Z18" i="4"/>
  <c r="Z20" i="4" s="1"/>
  <c r="Z27" i="4" s="1"/>
  <c r="Z34" i="4" s="1"/>
  <c r="Z39" i="4" s="1"/>
  <c r="Y18" i="4"/>
  <c r="X18" i="4"/>
  <c r="W18" i="4"/>
  <c r="V18" i="4"/>
  <c r="V20" i="4" s="1"/>
  <c r="V27" i="4" s="1"/>
  <c r="V34" i="4" s="1"/>
  <c r="V39" i="4" s="1"/>
  <c r="U18" i="4"/>
  <c r="U20" i="4" s="1"/>
  <c r="U27" i="4" s="1"/>
  <c r="U34" i="4" s="1"/>
  <c r="U39" i="4" s="1"/>
  <c r="T18" i="4"/>
  <c r="S18" i="4"/>
  <c r="R18" i="4"/>
  <c r="Q18" i="4"/>
  <c r="P18" i="4"/>
  <c r="O18" i="4"/>
  <c r="N18" i="4"/>
  <c r="M18" i="4"/>
  <c r="L18" i="4"/>
  <c r="K18" i="4"/>
  <c r="J18" i="4"/>
  <c r="J20" i="4" s="1"/>
  <c r="I18" i="4"/>
  <c r="H18" i="4"/>
  <c r="H20" i="4" s="1"/>
  <c r="H27" i="4" s="1"/>
  <c r="H34" i="4" s="1"/>
  <c r="H39" i="4" s="1"/>
  <c r="G18" i="4"/>
  <c r="F18" i="4"/>
  <c r="E18" i="4"/>
  <c r="D18" i="4"/>
  <c r="C18" i="4"/>
  <c r="BD17" i="4"/>
  <c r="BD18" i="4" s="1"/>
  <c r="AJ16" i="4"/>
  <c r="BK18" i="4"/>
  <c r="BI18" i="4"/>
  <c r="AJ15" i="4"/>
  <c r="BG18" i="4"/>
  <c r="AJ14" i="4"/>
  <c r="AJ18" i="4" s="1"/>
  <c r="BF11" i="4"/>
  <c r="BF20" i="4" s="1"/>
  <c r="BE11" i="4"/>
  <c r="BE20" i="4"/>
  <c r="BE27" i="4" s="1"/>
  <c r="BE34" i="4" s="1"/>
  <c r="BE39" i="4" s="1"/>
  <c r="BD11" i="4"/>
  <c r="BC11" i="4"/>
  <c r="BC20" i="4" s="1"/>
  <c r="BC27" i="4" s="1"/>
  <c r="BC34" i="4" s="1"/>
  <c r="BC39" i="4" s="1"/>
  <c r="BB11" i="4"/>
  <c r="BB20" i="4" s="1"/>
  <c r="BB27" i="4" s="1"/>
  <c r="BB34" i="4" s="1"/>
  <c r="BB39" i="4" s="1"/>
  <c r="BA11" i="4"/>
  <c r="AZ11" i="4"/>
  <c r="AZ20" i="4" s="1"/>
  <c r="AZ27" i="4" s="1"/>
  <c r="AZ34" i="4" s="1"/>
  <c r="AZ39" i="4" s="1"/>
  <c r="AY11" i="4"/>
  <c r="AY20" i="4" s="1"/>
  <c r="AY27" i="4" s="1"/>
  <c r="AY34" i="4" s="1"/>
  <c r="AY39" i="4" s="1"/>
  <c r="AX11" i="4"/>
  <c r="AX20" i="4" s="1"/>
  <c r="AX27" i="4" s="1"/>
  <c r="AX34" i="4" s="1"/>
  <c r="AX39" i="4" s="1"/>
  <c r="AW11" i="4"/>
  <c r="AW20" i="4" s="1"/>
  <c r="AW27" i="4" s="1"/>
  <c r="AW34" i="4" s="1"/>
  <c r="AV11" i="4"/>
  <c r="AV20" i="4" s="1"/>
  <c r="AV27" i="4" s="1"/>
  <c r="AV34" i="4" s="1"/>
  <c r="AV39" i="4" s="1"/>
  <c r="AU11" i="4"/>
  <c r="AU20" i="4" s="1"/>
  <c r="AU27" i="4" s="1"/>
  <c r="AU34" i="4" s="1"/>
  <c r="AU39" i="4" s="1"/>
  <c r="AT11" i="4"/>
  <c r="AS11" i="4"/>
  <c r="AR11" i="4"/>
  <c r="AR20" i="4" s="1"/>
  <c r="AQ11" i="4"/>
  <c r="AP11" i="4"/>
  <c r="AO11" i="4"/>
  <c r="AO20" i="4"/>
  <c r="AO27" i="4" s="1"/>
  <c r="AO34" i="4" s="1"/>
  <c r="AO39" i="4" s="1"/>
  <c r="AN11" i="4"/>
  <c r="AN20" i="4" s="1"/>
  <c r="AN27" i="4" s="1"/>
  <c r="AN34" i="4" s="1"/>
  <c r="AN39" i="4" s="1"/>
  <c r="AM11" i="4"/>
  <c r="AL11" i="4"/>
  <c r="AL20" i="4" s="1"/>
  <c r="AL27" i="4" s="1"/>
  <c r="AL34" i="4" s="1"/>
  <c r="AL39" i="4" s="1"/>
  <c r="AK11" i="4"/>
  <c r="AI11" i="4"/>
  <c r="AI20" i="4" s="1"/>
  <c r="AI27" i="4" s="1"/>
  <c r="AI34" i="4" s="1"/>
  <c r="AI39" i="4" s="1"/>
  <c r="AH11" i="4"/>
  <c r="AH20" i="4" s="1"/>
  <c r="AH27" i="4" s="1"/>
  <c r="AG11" i="4"/>
  <c r="AG20" i="4" s="1"/>
  <c r="AG27" i="4" s="1"/>
  <c r="AF11" i="4"/>
  <c r="AF20" i="4"/>
  <c r="AF27" i="4" s="1"/>
  <c r="AF34" i="4" s="1"/>
  <c r="AE11" i="4"/>
  <c r="AE20" i="4" s="1"/>
  <c r="AE27" i="4" s="1"/>
  <c r="AE34" i="4"/>
  <c r="AE39" i="4" s="1"/>
  <c r="AD11" i="4"/>
  <c r="AD20" i="4" s="1"/>
  <c r="AD27" i="4" s="1"/>
  <c r="AD34" i="4" s="1"/>
  <c r="AD39" i="4" s="1"/>
  <c r="AC11" i="4"/>
  <c r="AC20" i="4"/>
  <c r="AC27" i="4" s="1"/>
  <c r="AB11" i="4"/>
  <c r="AB20" i="4" s="1"/>
  <c r="AB27" i="4" s="1"/>
  <c r="AB34" i="4" s="1"/>
  <c r="AB39" i="4" s="1"/>
  <c r="AA11" i="4"/>
  <c r="AA20" i="4"/>
  <c r="AA27" i="4" s="1"/>
  <c r="AA34" i="4" s="1"/>
  <c r="AA39" i="4" s="1"/>
  <c r="Z11" i="4"/>
  <c r="Y11" i="4"/>
  <c r="Y20" i="4" s="1"/>
  <c r="Y27" i="4" s="1"/>
  <c r="Y34" i="4"/>
  <c r="Y39" i="4" s="1"/>
  <c r="X11" i="4"/>
  <c r="X20" i="4" s="1"/>
  <c r="W11" i="4"/>
  <c r="W20" i="4" s="1"/>
  <c r="W27" i="4" s="1"/>
  <c r="W34" i="4" s="1"/>
  <c r="W39" i="4"/>
  <c r="V11" i="4"/>
  <c r="U11" i="4"/>
  <c r="T11" i="4"/>
  <c r="T20" i="4" s="1"/>
  <c r="T27" i="4" s="1"/>
  <c r="T34" i="4" s="1"/>
  <c r="T39" i="4" s="1"/>
  <c r="S11" i="4"/>
  <c r="S20" i="4" s="1"/>
  <c r="S27" i="4" s="1"/>
  <c r="S34" i="4" s="1"/>
  <c r="S39" i="4" s="1"/>
  <c r="R11" i="4"/>
  <c r="R20" i="4" s="1"/>
  <c r="R27" i="4" s="1"/>
  <c r="R34" i="4" s="1"/>
  <c r="R39" i="4" s="1"/>
  <c r="Q11" i="4"/>
  <c r="Q20" i="4" s="1"/>
  <c r="Q27" i="4" s="1"/>
  <c r="Q34" i="4" s="1"/>
  <c r="Q39" i="4" s="1"/>
  <c r="P11" i="4"/>
  <c r="P20" i="4"/>
  <c r="P27" i="4" s="1"/>
  <c r="P34" i="4" s="1"/>
  <c r="P39" i="4" s="1"/>
  <c r="O11" i="4"/>
  <c r="O20" i="4" s="1"/>
  <c r="O27" i="4" s="1"/>
  <c r="O34" i="4" s="1"/>
  <c r="O39" i="4"/>
  <c r="N11" i="4"/>
  <c r="N20" i="4" s="1"/>
  <c r="N27" i="4" s="1"/>
  <c r="N34" i="4" s="1"/>
  <c r="N39" i="4" s="1"/>
  <c r="M11" i="4"/>
  <c r="M20" i="4" s="1"/>
  <c r="M27" i="4" s="1"/>
  <c r="M34" i="4" s="1"/>
  <c r="M39" i="4" s="1"/>
  <c r="L11" i="4"/>
  <c r="L20" i="4"/>
  <c r="L27" i="4" s="1"/>
  <c r="L34" i="4" s="1"/>
  <c r="L39" i="4" s="1"/>
  <c r="K11" i="4"/>
  <c r="K20" i="4" s="1"/>
  <c r="K27" i="4" s="1"/>
  <c r="K34" i="4" s="1"/>
  <c r="K39" i="4" s="1"/>
  <c r="J11" i="4"/>
  <c r="I11" i="4"/>
  <c r="H11" i="4"/>
  <c r="G11" i="4"/>
  <c r="G20" i="4" s="1"/>
  <c r="G27" i="4" s="1"/>
  <c r="G34" i="4" s="1"/>
  <c r="G39" i="4" s="1"/>
  <c r="BJ11" i="4"/>
  <c r="BJ20" i="4" s="1"/>
  <c r="BJ27" i="4" s="1"/>
  <c r="BJ34" i="4" s="1"/>
  <c r="AJ10" i="4"/>
  <c r="BH11" i="4"/>
  <c r="F9" i="4"/>
  <c r="F11" i="4" s="1"/>
  <c r="D9" i="4"/>
  <c r="D11" i="4" s="1"/>
  <c r="D20" i="4" s="1"/>
  <c r="D27" i="4" s="1"/>
  <c r="D39" i="4" s="1"/>
  <c r="C9" i="4"/>
  <c r="C11" i="4"/>
  <c r="C20" i="4" s="1"/>
  <c r="C27" i="4" s="1"/>
  <c r="C39" i="4" s="1"/>
  <c r="AZ82" i="2"/>
  <c r="AZ84" i="2"/>
  <c r="AZ42" i="2"/>
  <c r="AZ25" i="2"/>
  <c r="AW59" i="2"/>
  <c r="AW71" i="2"/>
  <c r="AY59" i="2"/>
  <c r="AY37" i="2"/>
  <c r="AY25" i="2"/>
  <c r="AY22" i="2"/>
  <c r="AW82" i="2"/>
  <c r="AW84" i="2" s="1"/>
  <c r="AW37" i="2"/>
  <c r="AW22" i="2"/>
  <c r="AX82" i="2"/>
  <c r="AX84" i="2"/>
  <c r="AX71" i="2"/>
  <c r="AX59" i="2"/>
  <c r="AX42" i="2"/>
  <c r="AX37" i="2"/>
  <c r="AX44" i="2" s="1"/>
  <c r="AX22" i="2"/>
  <c r="AW42" i="2"/>
  <c r="AW44" i="2" s="1"/>
  <c r="AV82" i="2"/>
  <c r="AV84" i="2" s="1"/>
  <c r="AV71" i="2"/>
  <c r="AV59" i="2"/>
  <c r="AV42" i="2"/>
  <c r="AV44" i="2"/>
  <c r="AV37" i="2"/>
  <c r="AV22" i="2"/>
  <c r="AU82" i="2"/>
  <c r="AU84" i="2" s="1"/>
  <c r="AU71" i="2"/>
  <c r="AU59" i="2"/>
  <c r="AU42" i="2"/>
  <c r="AU37" i="2"/>
  <c r="AU44" i="2" s="1"/>
  <c r="AU22" i="2"/>
  <c r="AS82" i="2"/>
  <c r="AS84" i="2" s="1"/>
  <c r="AT82" i="2"/>
  <c r="AT84" i="2" s="1"/>
  <c r="AT71" i="2"/>
  <c r="AT59" i="2"/>
  <c r="AT86" i="2" s="1"/>
  <c r="AT42" i="2"/>
  <c r="AT37" i="2"/>
  <c r="AT44" i="2" s="1"/>
  <c r="AT22" i="2"/>
  <c r="AS71" i="2"/>
  <c r="AS59" i="2"/>
  <c r="AS42" i="2"/>
  <c r="AS37" i="2"/>
  <c r="AS25" i="2"/>
  <c r="AS22" i="2"/>
  <c r="AR82" i="2"/>
  <c r="AR84" i="2" s="1"/>
  <c r="AR71" i="2"/>
  <c r="AR59" i="2"/>
  <c r="AR42" i="2"/>
  <c r="AR37" i="2"/>
  <c r="AR44" i="2" s="1"/>
  <c r="AR25" i="2"/>
  <c r="AR22" i="2"/>
  <c r="AQ82" i="2"/>
  <c r="AQ84" i="2" s="1"/>
  <c r="AQ86" i="2" s="1"/>
  <c r="AQ71" i="2"/>
  <c r="AQ59" i="2"/>
  <c r="AQ42" i="2"/>
  <c r="AQ44" i="2" s="1"/>
  <c r="AQ37" i="2"/>
  <c r="AQ25" i="2"/>
  <c r="AQ22" i="2"/>
  <c r="AP82" i="2"/>
  <c r="AP84" i="2" s="1"/>
  <c r="AP71" i="2"/>
  <c r="AP59" i="2"/>
  <c r="AP42" i="2"/>
  <c r="AP37" i="2"/>
  <c r="AP44" i="2" s="1"/>
  <c r="AP25" i="2"/>
  <c r="AP22" i="2"/>
  <c r="AO82" i="2"/>
  <c r="AO84" i="2" s="1"/>
  <c r="AO71" i="2"/>
  <c r="AO59" i="2"/>
  <c r="AO47" i="2"/>
  <c r="AO42" i="2"/>
  <c r="AO44" i="2" s="1"/>
  <c r="AO37" i="2"/>
  <c r="AO25" i="2"/>
  <c r="AO22" i="2"/>
  <c r="AN22" i="2"/>
  <c r="AN25" i="2"/>
  <c r="AN37" i="2"/>
  <c r="AN42" i="2"/>
  <c r="AN47" i="2"/>
  <c r="AN59" i="2"/>
  <c r="AN71" i="2"/>
  <c r="AN82" i="2"/>
  <c r="AN84" i="2" s="1"/>
  <c r="AN86" i="2" s="1"/>
  <c r="AM47" i="2"/>
  <c r="AM22" i="2"/>
  <c r="AM44" i="2" s="1"/>
  <c r="AM25" i="2"/>
  <c r="AM37" i="2"/>
  <c r="AM42" i="2"/>
  <c r="AM59" i="2"/>
  <c r="AM86" i="2" s="1"/>
  <c r="AM71" i="2"/>
  <c r="AM82" i="2"/>
  <c r="AM84" i="2" s="1"/>
  <c r="AL22" i="2"/>
  <c r="AL25" i="2"/>
  <c r="AL37" i="2"/>
  <c r="AL42" i="2"/>
  <c r="AL44" i="2" s="1"/>
  <c r="AL59" i="2"/>
  <c r="AL71" i="2"/>
  <c r="AL82" i="2"/>
  <c r="AL84" i="2" s="1"/>
  <c r="AL86" i="2" s="1"/>
  <c r="AK82" i="2"/>
  <c r="AK84" i="2"/>
  <c r="AK71" i="2"/>
  <c r="AK86" i="2"/>
  <c r="AK59" i="2"/>
  <c r="AK42" i="2"/>
  <c r="AK37" i="2"/>
  <c r="AK25" i="2"/>
  <c r="AK22" i="2"/>
  <c r="AJ82" i="2"/>
  <c r="AJ84" i="2" s="1"/>
  <c r="AJ71" i="2"/>
  <c r="AJ59" i="2"/>
  <c r="AJ25" i="2"/>
  <c r="AJ42" i="2"/>
  <c r="AJ37" i="2"/>
  <c r="AJ22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G44" i="2" s="1"/>
  <c r="AH25" i="2"/>
  <c r="AI25" i="2"/>
  <c r="AI22" i="2"/>
  <c r="AH22" i="2"/>
  <c r="AI82" i="2"/>
  <c r="AI84" i="2"/>
  <c r="AI71" i="2"/>
  <c r="AI59" i="2"/>
  <c r="AI42" i="2"/>
  <c r="AI37" i="2"/>
  <c r="AH82" i="2"/>
  <c r="AH84" i="2"/>
  <c r="AH71" i="2"/>
  <c r="AH59" i="2"/>
  <c r="AH37" i="2"/>
  <c r="AH42" i="2"/>
  <c r="AG22" i="2"/>
  <c r="AG82" i="2"/>
  <c r="AG84" i="2" s="1"/>
  <c r="AG86" i="2" s="1"/>
  <c r="AG71" i="2"/>
  <c r="AG59" i="2"/>
  <c r="AG42" i="2"/>
  <c r="AG37" i="2"/>
  <c r="AF75" i="2"/>
  <c r="AF82" i="2" s="1"/>
  <c r="AF84" i="2" s="1"/>
  <c r="AF71" i="2"/>
  <c r="AF59" i="2"/>
  <c r="AF42" i="2"/>
  <c r="AF37" i="2"/>
  <c r="AF22" i="2"/>
  <c r="AE82" i="2"/>
  <c r="AE84" i="2" s="1"/>
  <c r="AE86" i="2" s="1"/>
  <c r="AE71" i="2"/>
  <c r="AE59" i="2"/>
  <c r="AE42" i="2"/>
  <c r="AE37" i="2"/>
  <c r="AE22" i="2"/>
  <c r="AD82" i="2"/>
  <c r="AD84" i="2" s="1"/>
  <c r="AD71" i="2"/>
  <c r="AD59" i="2"/>
  <c r="AD86" i="2" s="1"/>
  <c r="AD42" i="2"/>
  <c r="AD37" i="2"/>
  <c r="AD22" i="2"/>
  <c r="T84" i="2"/>
  <c r="S84" i="2"/>
  <c r="R84" i="2"/>
  <c r="V75" i="2"/>
  <c r="V82" i="2" s="1"/>
  <c r="Z75" i="2"/>
  <c r="Z82" i="2" s="1"/>
  <c r="Z84" i="2" s="1"/>
  <c r="W75" i="2"/>
  <c r="W82" i="2"/>
  <c r="AA75" i="2"/>
  <c r="AA82" i="2" s="1"/>
  <c r="AB75" i="2"/>
  <c r="AB82" i="2" s="1"/>
  <c r="T86" i="2"/>
  <c r="S86" i="2"/>
  <c r="R86" i="2"/>
  <c r="Y82" i="2"/>
  <c r="Y84" i="2" s="1"/>
  <c r="X82" i="2"/>
  <c r="X84" i="2"/>
  <c r="U82" i="2"/>
  <c r="U84" i="2"/>
  <c r="Q82" i="2"/>
  <c r="Q84" i="2"/>
  <c r="P82" i="2"/>
  <c r="P84" i="2" s="1"/>
  <c r="O82" i="2"/>
  <c r="O84" i="2"/>
  <c r="N82" i="2"/>
  <c r="N84" i="2"/>
  <c r="M82" i="2"/>
  <c r="M84" i="2"/>
  <c r="L82" i="2"/>
  <c r="L84" i="2" s="1"/>
  <c r="K82" i="2"/>
  <c r="J82" i="2"/>
  <c r="J84" i="2"/>
  <c r="I82" i="2"/>
  <c r="H82" i="2"/>
  <c r="G82" i="2"/>
  <c r="G84" i="2" s="1"/>
  <c r="F82" i="2"/>
  <c r="F84" i="2"/>
  <c r="E82" i="2"/>
  <c r="E84" i="2"/>
  <c r="D82" i="2"/>
  <c r="C82" i="2"/>
  <c r="C84" i="2" s="1"/>
  <c r="AC75" i="2"/>
  <c r="AC82" i="2" s="1"/>
  <c r="AC84" i="2" s="1"/>
  <c r="AC86" i="2" s="1"/>
  <c r="AC71" i="2"/>
  <c r="AB71" i="2"/>
  <c r="AA71" i="2"/>
  <c r="Z71" i="2"/>
  <c r="Y71" i="2"/>
  <c r="X71" i="2"/>
  <c r="W71" i="2"/>
  <c r="V71" i="2"/>
  <c r="U71" i="2"/>
  <c r="Q71" i="2"/>
  <c r="P71" i="2"/>
  <c r="O71" i="2"/>
  <c r="O86" i="2" s="1"/>
  <c r="N71" i="2"/>
  <c r="M71" i="2"/>
  <c r="L71" i="2"/>
  <c r="K71" i="2"/>
  <c r="J71" i="2"/>
  <c r="I71" i="2"/>
  <c r="H71" i="2"/>
  <c r="G71" i="2"/>
  <c r="F71" i="2"/>
  <c r="F86" i="2" s="1"/>
  <c r="E71" i="2"/>
  <c r="D71" i="2"/>
  <c r="C71" i="2"/>
  <c r="AC59" i="2"/>
  <c r="AB59" i="2"/>
  <c r="AA59" i="2"/>
  <c r="Z59" i="2"/>
  <c r="Y59" i="2"/>
  <c r="Y86" i="2" s="1"/>
  <c r="X59" i="2"/>
  <c r="W59" i="2"/>
  <c r="W86" i="2"/>
  <c r="V59" i="2"/>
  <c r="U59" i="2"/>
  <c r="U86" i="2" s="1"/>
  <c r="Q59" i="2"/>
  <c r="Q86" i="2" s="1"/>
  <c r="P59" i="2"/>
  <c r="P86" i="2"/>
  <c r="O59" i="2"/>
  <c r="N59" i="2"/>
  <c r="N86" i="2" s="1"/>
  <c r="M59" i="2"/>
  <c r="M86" i="2" s="1"/>
  <c r="L59" i="2"/>
  <c r="K59" i="2"/>
  <c r="K86" i="2" s="1"/>
  <c r="J59" i="2"/>
  <c r="J86" i="2" s="1"/>
  <c r="I59" i="2"/>
  <c r="H59" i="2"/>
  <c r="G59" i="2"/>
  <c r="G86" i="2" s="1"/>
  <c r="F59" i="2"/>
  <c r="E59" i="2"/>
  <c r="E86" i="2" s="1"/>
  <c r="D59" i="2"/>
  <c r="C59" i="2"/>
  <c r="C86" i="2" s="1"/>
  <c r="AC42" i="2"/>
  <c r="AC44" i="2" s="1"/>
  <c r="AB42" i="2"/>
  <c r="AA42" i="2"/>
  <c r="AA44" i="2"/>
  <c r="Z42" i="2"/>
  <c r="Z44" i="2"/>
  <c r="Y42" i="2"/>
  <c r="X42" i="2"/>
  <c r="W42" i="2"/>
  <c r="V42" i="2"/>
  <c r="U42" i="2"/>
  <c r="Q42" i="2"/>
  <c r="Q44" i="2" s="1"/>
  <c r="P42" i="2"/>
  <c r="O42" i="2"/>
  <c r="O44" i="2" s="1"/>
  <c r="N42" i="2"/>
  <c r="M42" i="2"/>
  <c r="L42" i="2"/>
  <c r="L44" i="2" s="1"/>
  <c r="K42" i="2"/>
  <c r="J42" i="2"/>
  <c r="I42" i="2"/>
  <c r="H42" i="2"/>
  <c r="G42" i="2"/>
  <c r="F42" i="2"/>
  <c r="F44" i="2" s="1"/>
  <c r="E42" i="2"/>
  <c r="D42" i="2"/>
  <c r="C42" i="2"/>
  <c r="C44" i="2" s="1"/>
  <c r="AC37" i="2"/>
  <c r="AB37" i="2"/>
  <c r="AB44" i="2" s="1"/>
  <c r="AA37" i="2"/>
  <c r="Z37" i="2"/>
  <c r="Y37" i="2"/>
  <c r="X37" i="2"/>
  <c r="W37" i="2"/>
  <c r="V37" i="2"/>
  <c r="U37" i="2"/>
  <c r="T37" i="2"/>
  <c r="T44" i="2" s="1"/>
  <c r="S37" i="2"/>
  <c r="S44" i="2" s="1"/>
  <c r="R37" i="2"/>
  <c r="R44" i="2" s="1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AC22" i="2"/>
  <c r="AB22" i="2"/>
  <c r="AA22" i="2"/>
  <c r="Z22" i="2"/>
  <c r="Y22" i="2"/>
  <c r="X22" i="2"/>
  <c r="W22" i="2"/>
  <c r="V22" i="2"/>
  <c r="U22" i="2"/>
  <c r="Q22" i="2"/>
  <c r="P22" i="2"/>
  <c r="O22" i="2"/>
  <c r="N22" i="2"/>
  <c r="N44" i="2" s="1"/>
  <c r="M22" i="2"/>
  <c r="L22" i="2"/>
  <c r="K22" i="2"/>
  <c r="J22" i="2"/>
  <c r="I22" i="2"/>
  <c r="H22" i="2"/>
  <c r="G22" i="2"/>
  <c r="G44" i="2" s="1"/>
  <c r="F22" i="2"/>
  <c r="E22" i="2"/>
  <c r="D22" i="2"/>
  <c r="C22" i="2"/>
  <c r="C62" i="12"/>
  <c r="E80" i="12"/>
  <c r="E83" i="12"/>
  <c r="D54" i="12"/>
  <c r="AC69" i="11"/>
  <c r="AF68" i="11"/>
  <c r="AF71" i="11" s="1"/>
  <c r="AC71" i="11"/>
  <c r="AF73" i="11"/>
  <c r="AG89" i="11"/>
  <c r="F36" i="10"/>
  <c r="N36" i="10"/>
  <c r="Z36" i="10"/>
  <c r="AP36" i="10"/>
  <c r="AD38" i="10"/>
  <c r="S36" i="10"/>
  <c r="V38" i="10"/>
  <c r="D36" i="10"/>
  <c r="H36" i="10"/>
  <c r="T36" i="10"/>
  <c r="X36" i="10"/>
  <c r="AB36" i="10"/>
  <c r="AJ36" i="10"/>
  <c r="AR36" i="10"/>
  <c r="AT36" i="10"/>
  <c r="E36" i="10"/>
  <c r="I36" i="10"/>
  <c r="M36" i="10"/>
  <c r="AK36" i="10"/>
  <c r="AO36" i="10"/>
  <c r="W95" i="6"/>
  <c r="AS20" i="4"/>
  <c r="AS27" i="4"/>
  <c r="AS34" i="4" s="1"/>
  <c r="AS39" i="4" s="1"/>
  <c r="AW39" i="4"/>
  <c r="AE52" i="11"/>
  <c r="AE37" i="11"/>
  <c r="AE51" i="11"/>
  <c r="AE90" i="11"/>
  <c r="C72" i="12"/>
  <c r="AG81" i="11"/>
  <c r="D71" i="12"/>
  <c r="AE14" i="11"/>
  <c r="AC17" i="11"/>
  <c r="AC25" i="11" s="1"/>
  <c r="F62" i="12"/>
  <c r="AC52" i="11"/>
  <c r="N81" i="12"/>
  <c r="M52" i="12"/>
  <c r="AC89" i="11"/>
  <c r="C52" i="12"/>
  <c r="AA78" i="6"/>
  <c r="F80" i="12"/>
  <c r="AF9" i="11"/>
  <c r="AF60" i="11"/>
  <c r="AC81" i="11"/>
  <c r="AG52" i="11"/>
  <c r="AC90" i="11"/>
  <c r="AC14" i="11"/>
  <c r="AC60" i="11"/>
  <c r="AC13" i="11"/>
  <c r="D81" i="12"/>
  <c r="D34" i="12"/>
  <c r="N63" i="12"/>
  <c r="F69" i="12"/>
  <c r="AF10" i="11"/>
  <c r="AG62" i="11"/>
  <c r="AC33" i="11"/>
  <c r="AE43" i="11"/>
  <c r="AG38" i="10"/>
  <c r="AW36" i="10"/>
  <c r="AE60" i="11"/>
  <c r="AF59" i="11"/>
  <c r="AE78" i="11"/>
  <c r="AE72" i="11"/>
  <c r="AE89" i="11"/>
  <c r="AE87" i="11"/>
  <c r="AF86" i="11"/>
  <c r="AA27" i="6"/>
  <c r="Y40" i="9"/>
  <c r="AU38" i="10"/>
  <c r="AU36" i="10"/>
  <c r="AE31" i="11"/>
  <c r="AE17" i="11"/>
  <c r="AE25" i="11"/>
  <c r="AE33" i="11"/>
  <c r="AF50" i="11"/>
  <c r="AF51" i="11" s="1"/>
  <c r="AF53" i="11"/>
  <c r="AE62" i="11"/>
  <c r="AE63" i="11"/>
  <c r="E62" i="12"/>
  <c r="E60" i="12"/>
  <c r="AZ71" i="2"/>
  <c r="BH32" i="4"/>
  <c r="AA50" i="6"/>
  <c r="AY71" i="2"/>
  <c r="BJ32" i="4"/>
  <c r="AA17" i="6"/>
  <c r="AA19" i="6"/>
  <c r="AA34" i="6"/>
  <c r="AA102" i="6"/>
  <c r="AY42" i="2"/>
  <c r="AY44" i="2" s="1"/>
  <c r="BG11" i="4"/>
  <c r="BG20" i="4"/>
  <c r="AA37" i="6"/>
  <c r="AA48" i="6"/>
  <c r="Z102" i="6"/>
  <c r="O9" i="12"/>
  <c r="C25" i="5"/>
  <c r="C27" i="5"/>
  <c r="M72" i="12"/>
  <c r="C71" i="12"/>
  <c r="BL32" i="4"/>
  <c r="O18" i="12"/>
  <c r="F32" i="5"/>
  <c r="E18" i="5"/>
  <c r="E20" i="5"/>
  <c r="E27" i="5" s="1"/>
  <c r="E34" i="5" s="1"/>
  <c r="E39" i="5" s="1"/>
  <c r="AG90" i="11"/>
  <c r="AF39" i="11"/>
  <c r="AC75" i="6"/>
  <c r="AF44" i="11"/>
  <c r="BL11" i="4"/>
  <c r="BH18" i="4"/>
  <c r="BH20" i="4"/>
  <c r="BH27" i="4" s="1"/>
  <c r="BH34" i="4"/>
  <c r="BH39" i="4" s="1"/>
  <c r="BJ18" i="4"/>
  <c r="BJ39" i="4"/>
  <c r="AP20" i="4"/>
  <c r="AP27" i="4"/>
  <c r="AP34" i="4" s="1"/>
  <c r="AP39" i="4" s="1"/>
  <c r="BK32" i="4"/>
  <c r="AC38" i="6"/>
  <c r="AC57" i="6"/>
  <c r="AA28" i="6"/>
  <c r="Y55" i="6"/>
  <c r="Y57" i="6" s="1"/>
  <c r="X75" i="6"/>
  <c r="R57" i="6"/>
  <c r="AC55" i="6"/>
  <c r="AA63" i="6"/>
  <c r="AG72" i="11"/>
  <c r="BI11" i="4"/>
  <c r="BI20" i="4"/>
  <c r="AB93" i="6"/>
  <c r="AB95" i="6" s="1"/>
  <c r="Y102" i="6"/>
  <c r="AG80" i="11"/>
  <c r="Y93" i="6"/>
  <c r="BG32" i="4"/>
  <c r="C41" i="8"/>
  <c r="D40" i="9"/>
  <c r="D75" i="9" s="1"/>
  <c r="L40" i="9"/>
  <c r="AC72" i="11"/>
  <c r="H44" i="2"/>
  <c r="I20" i="4"/>
  <c r="I27" i="4"/>
  <c r="I34" i="4" s="1"/>
  <c r="I39" i="4" s="1"/>
  <c r="AA45" i="6"/>
  <c r="AN44" i="2"/>
  <c r="AY82" i="2"/>
  <c r="AY84" i="2"/>
  <c r="AZ37" i="2"/>
  <c r="AZ59" i="2"/>
  <c r="AZ22" i="2"/>
  <c r="AF29" i="11"/>
  <c r="D65" i="12"/>
  <c r="AA82" i="6"/>
  <c r="AE80" i="11"/>
  <c r="AE81" i="11"/>
  <c r="G44" i="7"/>
  <c r="AF88" i="11"/>
  <c r="J38" i="10"/>
  <c r="AS44" i="2"/>
  <c r="AG34" i="4"/>
  <c r="AG39" i="4" s="1"/>
  <c r="E51" i="12"/>
  <c r="AC41" i="11"/>
  <c r="AF41" i="11" s="1"/>
  <c r="AI44" i="2"/>
  <c r="Z93" i="6"/>
  <c r="AG51" i="11"/>
  <c r="D80" i="12"/>
  <c r="AA15" i="6"/>
  <c r="BK25" i="4"/>
  <c r="O40" i="9"/>
  <c r="O75" i="9" s="1"/>
  <c r="X86" i="2"/>
  <c r="BK11" i="4"/>
  <c r="W40" i="9"/>
  <c r="W75" i="9"/>
  <c r="AK44" i="2"/>
  <c r="AA42" i="6"/>
  <c r="AB75" i="6"/>
  <c r="AA85" i="6"/>
  <c r="AF32" i="11"/>
  <c r="AF37" i="11"/>
  <c r="E74" i="12"/>
  <c r="H32" i="5"/>
  <c r="AA13" i="6"/>
  <c r="AF24" i="11"/>
  <c r="E65" i="12"/>
  <c r="N62" i="12"/>
  <c r="AA44" i="6"/>
  <c r="AF19" i="11"/>
  <c r="AG63" i="11"/>
  <c r="M51" i="12"/>
  <c r="AC54" i="11"/>
  <c r="BG25" i="4"/>
  <c r="AF20" i="11"/>
  <c r="M80" i="12"/>
  <c r="C32" i="5"/>
  <c r="J44" i="2"/>
  <c r="AC93" i="6"/>
  <c r="D44" i="7"/>
  <c r="E44" i="7" s="1"/>
  <c r="AA54" i="6"/>
  <c r="Z75" i="6"/>
  <c r="AA62" i="6"/>
  <c r="AA75" i="6" s="1"/>
  <c r="AA83" i="6"/>
  <c r="AA91" i="6"/>
  <c r="AB102" i="6"/>
  <c r="D74" i="12"/>
  <c r="AE92" i="11"/>
  <c r="AE65" i="11"/>
  <c r="E29" i="7"/>
  <c r="AC74" i="11"/>
  <c r="AE54" i="11"/>
  <c r="AE74" i="11"/>
  <c r="AC43" i="11"/>
  <c r="AC49" i="11"/>
  <c r="BM42" i="4"/>
  <c r="P12" i="12" s="1"/>
  <c r="P13" i="12" s="1"/>
  <c r="K32" i="5"/>
  <c r="BM43" i="4"/>
  <c r="N11" i="12"/>
  <c r="P63" i="12"/>
  <c r="Q70" i="12"/>
  <c r="Q59" i="12"/>
  <c r="N78" i="12"/>
  <c r="N14" i="12"/>
  <c r="N83" i="12"/>
  <c r="F71" i="12"/>
  <c r="N49" i="12"/>
  <c r="C74" i="12"/>
  <c r="F34" i="12"/>
  <c r="M63" i="12"/>
  <c r="N71" i="12"/>
  <c r="D83" i="12"/>
  <c r="M62" i="12"/>
  <c r="AG33" i="11"/>
  <c r="AG69" i="11"/>
  <c r="C83" i="12"/>
  <c r="M13" i="12"/>
  <c r="Q79" i="12"/>
  <c r="Q53" i="12"/>
  <c r="C54" i="12"/>
  <c r="D62" i="12"/>
  <c r="M78" i="12"/>
  <c r="F72" i="12"/>
  <c r="Q48" i="12"/>
  <c r="Q18" i="12"/>
  <c r="N51" i="12"/>
  <c r="E54" i="12"/>
  <c r="Q64" i="12"/>
  <c r="N60" i="12"/>
  <c r="M49" i="12"/>
  <c r="M14" i="12"/>
  <c r="M65" i="12"/>
  <c r="C51" i="12"/>
  <c r="M60" i="12"/>
  <c r="M71" i="12"/>
  <c r="Q82" i="12"/>
  <c r="F51" i="12"/>
  <c r="M25" i="12"/>
  <c r="Q21" i="12"/>
  <c r="Q73" i="12"/>
  <c r="Q61" i="12"/>
  <c r="Q63" i="12" s="1"/>
  <c r="Q77" i="12"/>
  <c r="E71" i="12"/>
  <c r="N69" i="12"/>
  <c r="Q50" i="12"/>
  <c r="Q52" i="12" s="1"/>
  <c r="Q68" i="12"/>
  <c r="Q71" i="12" s="1"/>
  <c r="P9" i="12"/>
  <c r="P69" i="12" s="1"/>
  <c r="BM11" i="4"/>
  <c r="BM20" i="4" s="1"/>
  <c r="BM27" i="4" s="1"/>
  <c r="BM34" i="4" s="1"/>
  <c r="BM39" i="4" s="1"/>
  <c r="Q22" i="12"/>
  <c r="P20" i="12"/>
  <c r="Q10" i="12"/>
  <c r="E32" i="5"/>
  <c r="G32" i="5" s="1"/>
  <c r="BL25" i="4"/>
  <c r="J32" i="5"/>
  <c r="AD38" i="6"/>
  <c r="D18" i="5"/>
  <c r="D20" i="5" s="1"/>
  <c r="AF17" i="11"/>
  <c r="X57" i="6"/>
  <c r="N13" i="12"/>
  <c r="AG49" i="11"/>
  <c r="Z55" i="6"/>
  <c r="M74" i="12"/>
  <c r="AE13" i="11"/>
  <c r="AG14" i="11"/>
  <c r="AG65" i="11"/>
  <c r="AE71" i="11"/>
  <c r="AA18" i="6"/>
  <c r="AD75" i="6"/>
  <c r="E25" i="5"/>
  <c r="O49" i="12"/>
  <c r="J25" i="5"/>
  <c r="AA43" i="6"/>
  <c r="M83" i="12"/>
  <c r="Y75" i="6"/>
  <c r="Y95" i="6" s="1"/>
  <c r="M54" i="12"/>
  <c r="AF77" i="11"/>
  <c r="AF80" i="11" s="1"/>
  <c r="AF78" i="11"/>
  <c r="AC63" i="11"/>
  <c r="AE83" i="11"/>
  <c r="AF61" i="11"/>
  <c r="AF63" i="11" s="1"/>
  <c r="AG60" i="11"/>
  <c r="AD55" i="6"/>
  <c r="AD57" i="6"/>
  <c r="AF45" i="11"/>
  <c r="D51" i="12"/>
  <c r="AE34" i="11"/>
  <c r="AC78" i="11"/>
  <c r="C80" i="12"/>
  <c r="I25" i="5"/>
  <c r="AC51" i="11"/>
  <c r="F20" i="5"/>
  <c r="X93" i="6"/>
  <c r="X95" i="6"/>
  <c r="AF91" i="11"/>
  <c r="AA29" i="6"/>
  <c r="AE102" i="6"/>
  <c r="AG87" i="11"/>
  <c r="AD93" i="6"/>
  <c r="AD95" i="6"/>
  <c r="H18" i="5"/>
  <c r="H20" i="5" s="1"/>
  <c r="J18" i="5"/>
  <c r="J20" i="5" s="1"/>
  <c r="Z38" i="6"/>
  <c r="Z57" i="6"/>
  <c r="AG13" i="11"/>
  <c r="AD102" i="6"/>
  <c r="H25" i="5"/>
  <c r="BL18" i="4"/>
  <c r="BL20" i="4" s="1"/>
  <c r="BL27" i="4" s="1"/>
  <c r="BL34" i="4" s="1"/>
  <c r="BL39" i="4" s="1"/>
  <c r="AE93" i="6"/>
  <c r="AE38" i="6"/>
  <c r="AE57" i="6"/>
  <c r="AE95" i="6" s="1"/>
  <c r="K20" i="5"/>
  <c r="K27" i="5"/>
  <c r="O71" i="12"/>
  <c r="O81" i="12"/>
  <c r="O72" i="12"/>
  <c r="O52" i="12"/>
  <c r="P80" i="12"/>
  <c r="O51" i="12"/>
  <c r="P62" i="12"/>
  <c r="O62" i="12"/>
  <c r="P71" i="12"/>
  <c r="P51" i="12"/>
  <c r="O20" i="12"/>
  <c r="Q20" i="12" s="1"/>
  <c r="O63" i="12"/>
  <c r="O80" i="12"/>
  <c r="P81" i="12"/>
  <c r="P72" i="12"/>
  <c r="P52" i="12"/>
  <c r="Q51" i="12"/>
  <c r="Q19" i="12"/>
  <c r="H40" i="9"/>
  <c r="H75" i="9"/>
  <c r="I84" i="2"/>
  <c r="Q14" i="11"/>
  <c r="Q11" i="11"/>
  <c r="G74" i="12"/>
  <c r="G54" i="12"/>
  <c r="G65" i="12"/>
  <c r="K44" i="2"/>
  <c r="O17" i="12"/>
  <c r="K38" i="10"/>
  <c r="K36" i="10"/>
  <c r="AA38" i="6"/>
  <c r="D84" i="2"/>
  <c r="AF39" i="4"/>
  <c r="S38" i="6"/>
  <c r="S57" i="6"/>
  <c r="S95" i="6"/>
  <c r="T22" i="6"/>
  <c r="T38" i="6"/>
  <c r="T57" i="6"/>
  <c r="T95" i="6"/>
  <c r="G26" i="8"/>
  <c r="G38" i="10"/>
  <c r="AM36" i="10"/>
  <c r="N25" i="12"/>
  <c r="F74" i="12"/>
  <c r="F54" i="12"/>
  <c r="AE38" i="10"/>
  <c r="AE36" i="10"/>
  <c r="W84" i="2"/>
  <c r="E41" i="8"/>
  <c r="E82" i="8" s="1"/>
  <c r="J75" i="9"/>
  <c r="AA38" i="10"/>
  <c r="AA36" i="10"/>
  <c r="H84" i="2"/>
  <c r="H86" i="2"/>
  <c r="AB84" i="2"/>
  <c r="O38" i="10"/>
  <c r="O36" i="10"/>
  <c r="X27" i="4"/>
  <c r="X34" i="4"/>
  <c r="X39" i="4" s="1"/>
  <c r="AC34" i="4"/>
  <c r="AC39" i="4"/>
  <c r="C38" i="10"/>
  <c r="C36" i="10"/>
  <c r="AI38" i="10"/>
  <c r="AI36" i="10"/>
  <c r="D44" i="2"/>
  <c r="AQ38" i="10"/>
  <c r="AQ36" i="10"/>
  <c r="W38" i="10"/>
  <c r="W36" i="10"/>
  <c r="AC65" i="11"/>
  <c r="Q81" i="12"/>
  <c r="AF11" i="11"/>
  <c r="AM20" i="4"/>
  <c r="AM27" i="4"/>
  <c r="AM34" i="4"/>
  <c r="AM39" i="4"/>
  <c r="AF13" i="11"/>
  <c r="AF87" i="11"/>
  <c r="I44" i="2"/>
  <c r="AT20" i="4"/>
  <c r="AT27" i="4"/>
  <c r="AT34" i="4"/>
  <c r="AT39" i="4"/>
  <c r="V95" i="6"/>
  <c r="AA40" i="9"/>
  <c r="AA75" i="9" s="1"/>
  <c r="AU39" i="10"/>
  <c r="P36" i="10"/>
  <c r="P38" i="10"/>
  <c r="AC36" i="10"/>
  <c r="AC38" i="10"/>
  <c r="AJ11" i="4"/>
  <c r="AJ20" i="4"/>
  <c r="AJ27" i="4" s="1"/>
  <c r="AJ34" i="4" s="1"/>
  <c r="AJ39" i="4" s="1"/>
  <c r="AJ42" i="4" s="1"/>
  <c r="AK20" i="4"/>
  <c r="AK27" i="4"/>
  <c r="AK34" i="4"/>
  <c r="AK39" i="4"/>
  <c r="AK42" i="4" s="1"/>
  <c r="AF89" i="11"/>
  <c r="N95" i="6"/>
  <c r="U40" i="9"/>
  <c r="U75" i="9" s="1"/>
  <c r="Q72" i="12"/>
  <c r="G25" i="5"/>
  <c r="AA93" i="6"/>
  <c r="AA95" i="6" s="1"/>
  <c r="AF44" i="2"/>
  <c r="AR86" i="2"/>
  <c r="O95" i="6"/>
  <c r="F65" i="12"/>
  <c r="F83" i="12"/>
  <c r="Q12" i="12"/>
  <c r="G18" i="5"/>
  <c r="AE44" i="2"/>
  <c r="AA55" i="6"/>
  <c r="AA57" i="6" s="1"/>
  <c r="Q95" i="6"/>
  <c r="Y38" i="10"/>
  <c r="AL38" i="10"/>
  <c r="AL36" i="10"/>
  <c r="AF49" i="11"/>
  <c r="AZ86" i="2"/>
  <c r="AG83" i="11"/>
  <c r="BF27" i="4"/>
  <c r="BF34" i="4" s="1"/>
  <c r="BF39" i="4" s="1"/>
  <c r="T75" i="9"/>
  <c r="AF38" i="10"/>
  <c r="AF36" i="10"/>
  <c r="AG74" i="11"/>
  <c r="BI27" i="4"/>
  <c r="BI34" i="4" s="1"/>
  <c r="BI39" i="4" s="1"/>
  <c r="O14" i="12"/>
  <c r="O83" i="12" s="1"/>
  <c r="AB86" i="2"/>
  <c r="AV86" i="2"/>
  <c r="AH34" i="4"/>
  <c r="AH39" i="4" s="1"/>
  <c r="AJ25" i="4"/>
  <c r="R95" i="6"/>
  <c r="H44" i="7"/>
  <c r="F44" i="7"/>
  <c r="N65" i="12"/>
  <c r="N54" i="12"/>
  <c r="AZ44" i="2"/>
  <c r="V44" i="2"/>
  <c r="I86" i="2"/>
  <c r="AU86" i="2"/>
  <c r="J27" i="4"/>
  <c r="J34" i="4"/>
  <c r="J39" i="4"/>
  <c r="AF90" i="11"/>
  <c r="AG92" i="11"/>
  <c r="P17" i="12"/>
  <c r="P25" i="12" s="1"/>
  <c r="Q62" i="12"/>
  <c r="N74" i="12"/>
  <c r="AY86" i="2"/>
  <c r="W44" i="2"/>
  <c r="AI86" i="2"/>
  <c r="AO86" i="2"/>
  <c r="AX86" i="2"/>
  <c r="L57" i="6"/>
  <c r="L95" i="6" s="1"/>
  <c r="C82" i="8"/>
  <c r="AF34" i="11"/>
  <c r="Z86" i="2"/>
  <c r="AJ44" i="2"/>
  <c r="AF81" i="11"/>
  <c r="AF72" i="11"/>
  <c r="AF31" i="11"/>
  <c r="M44" i="2"/>
  <c r="D86" i="2"/>
  <c r="AF86" i="2"/>
  <c r="M95" i="6"/>
  <c r="AG54" i="11"/>
  <c r="AC83" i="11"/>
  <c r="AC92" i="11"/>
  <c r="AF14" i="11"/>
  <c r="AF83" i="11" s="1"/>
  <c r="AF92" i="11"/>
  <c r="R38" i="10"/>
  <c r="Y44" i="2"/>
  <c r="L86" i="2"/>
  <c r="AD44" i="2"/>
  <c r="AJ86" i="2"/>
  <c r="AF65" i="11"/>
  <c r="O54" i="12"/>
  <c r="O74" i="12"/>
  <c r="O65" i="12"/>
  <c r="Q17" i="12"/>
  <c r="J27" i="5"/>
  <c r="J34" i="5" s="1"/>
  <c r="J39" i="5" s="1"/>
  <c r="C34" i="5"/>
  <c r="C39" i="5" s="1"/>
  <c r="F27" i="5"/>
  <c r="F34" i="5"/>
  <c r="F39" i="5"/>
  <c r="P44" i="2"/>
  <c r="D27" i="5"/>
  <c r="D34" i="5" s="1"/>
  <c r="AF74" i="11"/>
  <c r="BD20" i="4"/>
  <c r="BD27" i="4"/>
  <c r="BD34" i="4" s="1"/>
  <c r="BD39" i="4" s="1"/>
  <c r="L32" i="5"/>
  <c r="O69" i="12"/>
  <c r="O60" i="12"/>
  <c r="O11" i="12"/>
  <c r="O13" i="12"/>
  <c r="O78" i="12"/>
  <c r="AF54" i="11"/>
  <c r="K34" i="5"/>
  <c r="K39" i="5"/>
  <c r="AF52" i="11"/>
  <c r="BG27" i="4"/>
  <c r="BG34" i="4"/>
  <c r="BG39" i="4"/>
  <c r="AF25" i="11"/>
  <c r="K84" i="2"/>
  <c r="AF33" i="11"/>
  <c r="AF69" i="11"/>
  <c r="S22" i="16" l="1"/>
  <c r="S21" i="16"/>
  <c r="Q25" i="12"/>
  <c r="G39" i="5"/>
  <c r="Q13" i="12"/>
  <c r="D39" i="5"/>
  <c r="G34" i="5"/>
  <c r="H27" i="5"/>
  <c r="L20" i="5"/>
  <c r="G27" i="5"/>
  <c r="Q69" i="12"/>
  <c r="P11" i="12"/>
  <c r="AH44" i="2"/>
  <c r="F20" i="4"/>
  <c r="F27" i="4" s="1"/>
  <c r="F39" i="4" s="1"/>
  <c r="AR27" i="4"/>
  <c r="AR34" i="4" s="1"/>
  <c r="AR39" i="4" s="1"/>
  <c r="Q75" i="9"/>
  <c r="U38" i="10"/>
  <c r="U36" i="10"/>
  <c r="AN38" i="10"/>
  <c r="AN36" i="10"/>
  <c r="G20" i="5"/>
  <c r="P49" i="12"/>
  <c r="Q9" i="12"/>
  <c r="L38" i="10"/>
  <c r="BK20" i="4"/>
  <c r="BK27" i="4" s="1"/>
  <c r="BK34" i="4" s="1"/>
  <c r="BK39" i="4" s="1"/>
  <c r="U44" i="2"/>
  <c r="AH86" i="2"/>
  <c r="AP86" i="2"/>
  <c r="AA86" i="2"/>
  <c r="AA84" i="2"/>
  <c r="AS86" i="2"/>
  <c r="D41" i="8"/>
  <c r="AF62" i="11"/>
  <c r="P78" i="12"/>
  <c r="Z95" i="6"/>
  <c r="Y75" i="9"/>
  <c r="Q80" i="12"/>
  <c r="V86" i="2"/>
  <c r="V84" i="2"/>
  <c r="S75" i="9"/>
  <c r="P14" i="12"/>
  <c r="P60" i="12"/>
  <c r="E44" i="2"/>
  <c r="X44" i="2"/>
  <c r="AW86" i="2"/>
  <c r="G40" i="9"/>
  <c r="G75" i="9" s="1"/>
  <c r="Q38" i="10"/>
  <c r="Q36" i="10"/>
  <c r="O25" i="12"/>
  <c r="AC95" i="6"/>
  <c r="AH36" i="10"/>
  <c r="H34" i="5" l="1"/>
  <c r="L27" i="5"/>
  <c r="P65" i="12"/>
  <c r="P54" i="12"/>
  <c r="Q14" i="12"/>
  <c r="P74" i="12"/>
  <c r="P83" i="12"/>
  <c r="D82" i="8"/>
  <c r="G82" i="8" s="1"/>
  <c r="G41" i="8"/>
  <c r="Q78" i="12"/>
  <c r="Q11" i="12"/>
  <c r="Q60" i="12"/>
  <c r="Q49" i="12"/>
  <c r="Q83" i="12" l="1"/>
  <c r="Q65" i="12"/>
  <c r="Q54" i="12"/>
  <c r="Q74" i="12"/>
  <c r="L34" i="5"/>
  <c r="H39" i="5"/>
  <c r="L3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Paulo Vitor Moreira Lima</author>
  </authors>
  <commentList>
    <comment ref="AK20" authorId="0" shapeId="0" xr:uid="{FD5E2BEA-9FD9-413A-89AF-1509B87770A2}">
      <text>
        <r>
          <rPr>
            <b/>
            <sz val="9"/>
            <color indexed="81"/>
            <rFont val="Segoe UI"/>
            <family val="2"/>
          </rPr>
          <t>Soma de Provisãop/ perdas sobre créditos + Baixa de títulos contas a rec</t>
        </r>
      </text>
    </comment>
  </commentList>
</comments>
</file>

<file path=xl/sharedStrings.xml><?xml version="1.0" encoding="utf-8"?>
<sst xmlns="http://schemas.openxmlformats.org/spreadsheetml/2006/main" count="1049" uniqueCount="376">
  <si>
    <t>Caixa e equivalentes de caixa</t>
  </si>
  <si>
    <t>Estoques</t>
  </si>
  <si>
    <t>Imposto de renda e contribuição social diferidos</t>
  </si>
  <si>
    <t>Depósitos judiciais</t>
  </si>
  <si>
    <t>Investimentos</t>
  </si>
  <si>
    <t>TOTAL DO ATIVO</t>
  </si>
  <si>
    <t>CIRCULANTE</t>
  </si>
  <si>
    <t>NÃO CIRCULANTE</t>
  </si>
  <si>
    <t>3T13</t>
  </si>
  <si>
    <t>4T12</t>
  </si>
  <si>
    <t>3T12</t>
  </si>
  <si>
    <t>2T13</t>
  </si>
  <si>
    <t>2T12</t>
  </si>
  <si>
    <t>1T13</t>
  </si>
  <si>
    <t>1T12</t>
  </si>
  <si>
    <t>4T11</t>
  </si>
  <si>
    <t>3T11</t>
  </si>
  <si>
    <t>4T10</t>
  </si>
  <si>
    <t>2T11</t>
  </si>
  <si>
    <t>1T11</t>
  </si>
  <si>
    <t>3T10</t>
  </si>
  <si>
    <t>2T10</t>
  </si>
  <si>
    <t>1T10</t>
  </si>
  <si>
    <t>PATRIMÔNIO LÍQUIDO</t>
  </si>
  <si>
    <t>Capital social</t>
  </si>
  <si>
    <t>4T13</t>
  </si>
  <si>
    <t>1T14</t>
  </si>
  <si>
    <t>Outras contas a receber</t>
  </si>
  <si>
    <t>Impostos a recuperar</t>
  </si>
  <si>
    <t>Imobilizado</t>
  </si>
  <si>
    <t>Intangível</t>
  </si>
  <si>
    <t>Fornecedores</t>
  </si>
  <si>
    <t>Salários, provisões e encargos sociais a recolher</t>
  </si>
  <si>
    <t>Dividendos e juros sobre capital próprio a pagar</t>
  </si>
  <si>
    <t>Outras contas a pagar</t>
  </si>
  <si>
    <t>Total do passivo circulante</t>
  </si>
  <si>
    <t>Reservas de lucros</t>
  </si>
  <si>
    <t>Ajustes acumulados de conversão</t>
  </si>
  <si>
    <t>Proposta de distribuição de dividendo adicional</t>
  </si>
  <si>
    <t xml:space="preserve">Lucro líquido do período </t>
  </si>
  <si>
    <t>Empréstimos, financiamentos, debêntures e leasing a pagar</t>
  </si>
  <si>
    <t>Impostos, taxas e contribuições a recolher</t>
  </si>
  <si>
    <t>Contas a pagar-aquisição de empresas</t>
  </si>
  <si>
    <t>Provisões</t>
  </si>
  <si>
    <t>Despesas antecipadas</t>
  </si>
  <si>
    <t>Contas a receber de clientes</t>
  </si>
  <si>
    <t>Provisão para perdas sobre crédito</t>
  </si>
  <si>
    <t>Dividendos a receber</t>
  </si>
  <si>
    <t>Aplicações Financeiras - caixa restrito</t>
  </si>
  <si>
    <t>Parcelamento de débitos fiscais</t>
  </si>
  <si>
    <t>Derivativos</t>
  </si>
  <si>
    <t>Lucros acumulados</t>
  </si>
  <si>
    <t>Operações com derivativos (Swap)</t>
  </si>
  <si>
    <t>ATIVO (R$ milhares)</t>
  </si>
  <si>
    <t>PASSIVO (R$ milhares)</t>
  </si>
  <si>
    <t>2T14</t>
  </si>
  <si>
    <t>3T14</t>
  </si>
  <si>
    <t>4T14</t>
  </si>
  <si>
    <t>1T15</t>
  </si>
  <si>
    <t>2T15</t>
  </si>
  <si>
    <t>3T15</t>
  </si>
  <si>
    <t>Títulos e Valores Mobiliários</t>
  </si>
  <si>
    <t>4T15</t>
  </si>
  <si>
    <t>Ações em tesouraria*</t>
  </si>
  <si>
    <t>Reservas de capital*</t>
  </si>
  <si>
    <t>*Reclassificação, a partir de 2014, do ganho na operação de ações em tesouraria que anteriormente estavam classificadas em reservas de capital</t>
  </si>
  <si>
    <t>Patrimônio Líquido atribuível aos proprietários da Companhia</t>
  </si>
  <si>
    <t>Participações não controladoras</t>
  </si>
  <si>
    <t>Total  Patrimônio Líquido</t>
  </si>
  <si>
    <t>1T16</t>
  </si>
  <si>
    <t>2T16</t>
  </si>
  <si>
    <t>Ativo disponível para venda</t>
  </si>
  <si>
    <t>3T16</t>
  </si>
  <si>
    <t>4T16</t>
  </si>
  <si>
    <t>1T17</t>
  </si>
  <si>
    <t>2T17</t>
  </si>
  <si>
    <t>Créditos com partes relacionadas</t>
  </si>
  <si>
    <t>3T17</t>
  </si>
  <si>
    <t>Outros ativos</t>
  </si>
  <si>
    <t>4T17</t>
  </si>
  <si>
    <t>1T18</t>
  </si>
  <si>
    <t>2T18</t>
  </si>
  <si>
    <t>3T18</t>
  </si>
  <si>
    <t/>
  </si>
  <si>
    <t>4T18</t>
  </si>
  <si>
    <t>TOTAL DO PASSIVO E PATRIMÔNIO LÍQUIDO</t>
  </si>
  <si>
    <t xml:space="preserve"> </t>
  </si>
  <si>
    <r>
      <t xml:space="preserve">1T19 </t>
    </r>
    <r>
      <rPr>
        <b/>
        <vertAlign val="superscript"/>
        <sz val="11"/>
        <color indexed="9"/>
        <rFont val="Roboto Condensed"/>
      </rPr>
      <t>IFRS16</t>
    </r>
  </si>
  <si>
    <r>
      <t xml:space="preserve">2T19 </t>
    </r>
    <r>
      <rPr>
        <b/>
        <vertAlign val="superscript"/>
        <sz val="11"/>
        <color indexed="9"/>
        <rFont val="Roboto Condensed"/>
      </rPr>
      <t>IFRS16</t>
    </r>
  </si>
  <si>
    <r>
      <t xml:space="preserve">3T19 </t>
    </r>
    <r>
      <rPr>
        <b/>
        <vertAlign val="superscript"/>
        <sz val="11"/>
        <color indexed="9"/>
        <rFont val="Roboto Condensed"/>
      </rPr>
      <t>IFRS16</t>
    </r>
  </si>
  <si>
    <r>
      <t xml:space="preserve">4T19 </t>
    </r>
    <r>
      <rPr>
        <b/>
        <vertAlign val="superscript"/>
        <sz val="11"/>
        <color indexed="9"/>
        <rFont val="Roboto Condensed"/>
      </rPr>
      <t>IFRS16</t>
    </r>
  </si>
  <si>
    <r>
      <t xml:space="preserve">1T20 </t>
    </r>
    <r>
      <rPr>
        <b/>
        <vertAlign val="superscript"/>
        <sz val="11"/>
        <color indexed="9"/>
        <rFont val="Roboto Condensed"/>
      </rPr>
      <t>IFRS16</t>
    </r>
  </si>
  <si>
    <r>
      <t xml:space="preserve">2T20 </t>
    </r>
    <r>
      <rPr>
        <b/>
        <vertAlign val="superscript"/>
        <sz val="11"/>
        <color indexed="9"/>
        <rFont val="Roboto Condensed"/>
      </rPr>
      <t>IFRS16</t>
    </r>
  </si>
  <si>
    <r>
      <t xml:space="preserve">3T20 </t>
    </r>
    <r>
      <rPr>
        <b/>
        <vertAlign val="superscript"/>
        <sz val="11"/>
        <color indexed="9"/>
        <rFont val="Roboto Condensed"/>
      </rPr>
      <t>IFRS16</t>
    </r>
  </si>
  <si>
    <r>
      <t xml:space="preserve">4T20 </t>
    </r>
    <r>
      <rPr>
        <b/>
        <vertAlign val="superscript"/>
        <sz val="11"/>
        <color indexed="9"/>
        <rFont val="Roboto Condensed"/>
      </rPr>
      <t>IFRS16</t>
    </r>
  </si>
  <si>
    <r>
      <t xml:space="preserve">1T21 </t>
    </r>
    <r>
      <rPr>
        <b/>
        <vertAlign val="superscript"/>
        <sz val="11"/>
        <color indexed="9"/>
        <rFont val="Roboto Condensed"/>
      </rPr>
      <t>IFRS16</t>
    </r>
  </si>
  <si>
    <r>
      <t xml:space="preserve">2T21 </t>
    </r>
    <r>
      <rPr>
        <b/>
        <vertAlign val="superscript"/>
        <sz val="11"/>
        <color indexed="9"/>
        <rFont val="Roboto Condensed"/>
      </rPr>
      <t>IFRS16</t>
    </r>
  </si>
  <si>
    <r>
      <t xml:space="preserve">3T21 </t>
    </r>
    <r>
      <rPr>
        <b/>
        <vertAlign val="superscript"/>
        <sz val="11"/>
        <color indexed="9"/>
        <rFont val="Roboto Condensed"/>
      </rPr>
      <t>IFRS16</t>
    </r>
  </si>
  <si>
    <r>
      <t xml:space="preserve">4T21 </t>
    </r>
    <r>
      <rPr>
        <b/>
        <vertAlign val="superscript"/>
        <sz val="11"/>
        <color indexed="9"/>
        <rFont val="Roboto Condensed"/>
      </rPr>
      <t>IFRS16</t>
    </r>
  </si>
  <si>
    <r>
      <t xml:space="preserve">1T22 </t>
    </r>
    <r>
      <rPr>
        <b/>
        <vertAlign val="superscript"/>
        <sz val="11"/>
        <color indexed="9"/>
        <rFont val="Roboto Condensed"/>
      </rPr>
      <t>IFRS16</t>
    </r>
  </si>
  <si>
    <r>
      <t xml:space="preserve">2T22 </t>
    </r>
    <r>
      <rPr>
        <b/>
        <vertAlign val="superscript"/>
        <sz val="11"/>
        <color indexed="9"/>
        <rFont val="Roboto Condensed"/>
      </rPr>
      <t>IFRS16</t>
    </r>
  </si>
  <si>
    <t>Ativo de operações descontinuadas</t>
  </si>
  <si>
    <t>Passivo de operações descontinuadas</t>
  </si>
  <si>
    <t>Proprietários da Companhia</t>
  </si>
  <si>
    <t>Lucro Atribuível a:</t>
  </si>
  <si>
    <t>Lucro (prejuízo) do periodo</t>
  </si>
  <si>
    <t xml:space="preserve">Resultado líquido do período proveniente de oper. desc. </t>
  </si>
  <si>
    <t>Lucro líquido do período de operações descontinuadas</t>
  </si>
  <si>
    <t>Lucro líquido do período de operações continuadas</t>
  </si>
  <si>
    <t>Diferidos</t>
  </si>
  <si>
    <t>Correntes</t>
  </si>
  <si>
    <t>Imposto de renda e contribuição social</t>
  </si>
  <si>
    <t>Lucro (prejuízo) antes do IRCS</t>
  </si>
  <si>
    <t>Despesas financeiras</t>
  </si>
  <si>
    <t>Receitas financeiras</t>
  </si>
  <si>
    <t>Resultado financeiro</t>
  </si>
  <si>
    <t>Lucro operacional</t>
  </si>
  <si>
    <t>Resultado de equivalência patrimonial</t>
  </si>
  <si>
    <t>Outras receitas (despesas) operacionais, líquidas</t>
  </si>
  <si>
    <t>Despesas administrativas</t>
  </si>
  <si>
    <t>Despesas com vendas</t>
  </si>
  <si>
    <t>Receitas (despesas) operacionais</t>
  </si>
  <si>
    <t>Resultado bruto</t>
  </si>
  <si>
    <t>Custos</t>
  </si>
  <si>
    <t>Receita operacional líquida</t>
  </si>
  <si>
    <r>
      <t xml:space="preserve">2020 </t>
    </r>
    <r>
      <rPr>
        <b/>
        <vertAlign val="superscript"/>
        <sz val="11"/>
        <color indexed="9"/>
        <rFont val="Roboto Condensed"/>
      </rPr>
      <t>IFRS16</t>
    </r>
  </si>
  <si>
    <r>
      <t xml:space="preserve">2019 </t>
    </r>
    <r>
      <rPr>
        <b/>
        <vertAlign val="superscript"/>
        <sz val="11"/>
        <color indexed="9"/>
        <rFont val="Roboto Condensed"/>
      </rPr>
      <t>IFRS16</t>
    </r>
  </si>
  <si>
    <t>Demonstração dos Resultados (R$ milhares)</t>
  </si>
  <si>
    <r>
      <t xml:space="preserve">1T19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</si>
  <si>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2T19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</si>
  <si>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3T19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</si>
  <si>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4T19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</si>
  <si>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2019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</si>
  <si>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1T20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</si>
  <si>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2T20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</si>
  <si>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3T20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</si>
  <si>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4T20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</si>
  <si>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2020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</si>
  <si>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1T21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</si>
  <si>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2T21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</si>
  <si>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3T21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</si>
  <si>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4T21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</si>
  <si>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2021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</si>
  <si>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1T22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</si>
  <si>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2T22 </t>
    </r>
    <r>
      <rPr>
        <b/>
        <vertAlign val="superscript"/>
        <sz val="11"/>
        <color indexed="9"/>
        <rFont val="Fractul"/>
        <family val="3"/>
      </rPr>
      <t>IFRS16</t>
    </r>
  </si>
  <si>
    <t>Lucro antes do IR</t>
  </si>
  <si>
    <t>Ajustes para reconciliar o lucro (prejuízo) líquido do período com recursos provenientes de atividades operacionais:</t>
  </si>
  <si>
    <t>Depreciação</t>
  </si>
  <si>
    <t>Baixa de ativos</t>
  </si>
  <si>
    <t>Amortização</t>
  </si>
  <si>
    <t>Amortização do Fundo Criatec III</t>
  </si>
  <si>
    <t>Provisões para perdas sobre créditos</t>
  </si>
  <si>
    <t>Provisões para obsolescência de imobilizado</t>
  </si>
  <si>
    <t>Provisão para perdas de estoques</t>
  </si>
  <si>
    <t>Impairment</t>
  </si>
  <si>
    <t>Equivalência patrimonial</t>
  </si>
  <si>
    <t>Despesas de juros sobre debêntures, empréstimos e financiamentos</t>
  </si>
  <si>
    <t>Outras Obrigações com debêntures</t>
  </si>
  <si>
    <t>Juros e variação cambial de arrendamentos</t>
  </si>
  <si>
    <t>Juros e variação cambial de emprestimos</t>
  </si>
  <si>
    <t>Juros e Variação Cambial sobre Mútuos</t>
  </si>
  <si>
    <t>Opções de outorga reconhecidas</t>
  </si>
  <si>
    <t>Atualização de depósitos judiciais</t>
  </si>
  <si>
    <t>Outras variações cambiais</t>
  </si>
  <si>
    <t>Outros</t>
  </si>
  <si>
    <t>Fluxo de caixa das atividades operacionais:</t>
  </si>
  <si>
    <t>Pagamento de IR e CSLL</t>
  </si>
  <si>
    <t>Adiantamento de Clientes e Outras contas a pagar</t>
  </si>
  <si>
    <t>Pagamentos de riscos trabalhistas, cíveis e tributários</t>
  </si>
  <si>
    <t>Pagamento de ernaut out</t>
  </si>
  <si>
    <t>Débito com partes relacionadas</t>
  </si>
  <si>
    <t>Variações nos ativos e passivos</t>
  </si>
  <si>
    <t>Caixa líquido gerado (consumido) pelas atividades operacionais</t>
  </si>
  <si>
    <t>Fluxo de caixa das atividades de investimento</t>
  </si>
  <si>
    <t>Aquisição de imobilizado</t>
  </si>
  <si>
    <t>Aquisição de investimentos e intangível</t>
  </si>
  <si>
    <t>Títulos e valores mobiliarios</t>
  </si>
  <si>
    <t>Aplicação financeira vinculada</t>
  </si>
  <si>
    <t>Outros investimentos avaliados a custo</t>
  </si>
  <si>
    <t>Aquisição de participação de não controladores</t>
  </si>
  <si>
    <t>Aquisição de participação Minoritária - Cubic</t>
  </si>
  <si>
    <t>Aquisição da TRESS, líquido do caixa adquirido</t>
  </si>
  <si>
    <t>Aquisição da participação minoritária - BCT</t>
  </si>
  <si>
    <t>Aquisição da Agrótopus</t>
  </si>
  <si>
    <t>Aquisição da BluPay</t>
  </si>
  <si>
    <t>Aquisição da Serbet, líquido de caixa adquirido</t>
  </si>
  <si>
    <t>Aquisição da Alpdex, líquido de caixa adquirido</t>
  </si>
  <si>
    <t>Aquisição da MITRA</t>
  </si>
  <si>
    <t xml:space="preserve">Outros  </t>
  </si>
  <si>
    <t>Caixa líquido gerado (consumido) pelas atividades de investimento</t>
  </si>
  <si>
    <t>Fluxos de caixa das atividades de financiamento</t>
  </si>
  <si>
    <t>Dividendos pagos</t>
  </si>
  <si>
    <t>Emissão de ações na controladora, líquido dos custos da transação</t>
  </si>
  <si>
    <t>Juros sobre capital próprio pagos</t>
  </si>
  <si>
    <t>Ações em tesouraria</t>
  </si>
  <si>
    <t>Pagamento de Arrendamento</t>
  </si>
  <si>
    <t>Pagamento de juros sobre arrendamento</t>
  </si>
  <si>
    <t>Captação de debêntures</t>
  </si>
  <si>
    <t>Pagamento de debêntures</t>
  </si>
  <si>
    <t>Pagamento de juros sobre debêntures</t>
  </si>
  <si>
    <t>Captação de Financiamentos</t>
  </si>
  <si>
    <t>Pagamentos de juros sobre financiamentos</t>
  </si>
  <si>
    <t>Pagamento de Financiamento</t>
  </si>
  <si>
    <t>Empréstimos</t>
  </si>
  <si>
    <t>Pagamento de empréstimos</t>
  </si>
  <si>
    <t>Pagamento de juros sobre empréstimos</t>
  </si>
  <si>
    <t>Caixa líquido gerado (consumido) pelas atividades de financiamento</t>
  </si>
  <si>
    <t>Aumento (redução) do caixa e equivalentes de caixa</t>
  </si>
  <si>
    <t>Saldos do caixa e equivalentes de caixa</t>
  </si>
  <si>
    <t>No início do exercício</t>
  </si>
  <si>
    <t>Ajuste acumulado de conversão</t>
  </si>
  <si>
    <t>No fim do exercício</t>
  </si>
  <si>
    <t>9M16</t>
  </si>
  <si>
    <t>Amortização mais valia dos estoques</t>
  </si>
  <si>
    <t>Provisões para riscos fiscais, previdenciários trabalhistas e cíveis</t>
  </si>
  <si>
    <t>Provisões para obsolescência</t>
  </si>
  <si>
    <t>Ganho na compra vantajosa</t>
  </si>
  <si>
    <t>Ganho na alienação de controlada</t>
  </si>
  <si>
    <t>Juros sobre debêntures, empréstimos e financiamentos</t>
  </si>
  <si>
    <t>Juros e Variação cambial de adiantamento e leasing</t>
  </si>
  <si>
    <t>Juros sobre aplicação financeira - caixa restrito</t>
  </si>
  <si>
    <t>Imposto sobre recebimento de dividendos de controladas no exterior</t>
  </si>
  <si>
    <t>Títulos e valores mobiliários</t>
  </si>
  <si>
    <t>Valores recebidos na alienação de investimentos</t>
  </si>
  <si>
    <t>Aumento nos saldos de títulos e valores mobiliários</t>
  </si>
  <si>
    <t>Dividendos recebidos</t>
  </si>
  <si>
    <t>Aquisição e venda de ações em tesouraria</t>
  </si>
  <si>
    <t>Liberação de caixa restrito</t>
  </si>
  <si>
    <t>Liquidação de derivativos</t>
  </si>
  <si>
    <t>Aquisição de coligadas - Inemator</t>
  </si>
  <si>
    <t>Aquisição de coligadas - Uram</t>
  </si>
  <si>
    <t>Aquisição da Fundamenture líquido do caixa adquirido</t>
  </si>
  <si>
    <t>Aquisição de ativos da Vmark</t>
  </si>
  <si>
    <t>Aquisição da PPI menos caixa líquido adquirido</t>
  </si>
  <si>
    <t>Aquisição de Ativos da Valid Secure Packaging</t>
  </si>
  <si>
    <t>Liquidação da contraprestação contingênte ScreenCheck</t>
  </si>
  <si>
    <t>Aquisição da ScreenCheck menos caixa liquido adquirido</t>
  </si>
  <si>
    <t xml:space="preserve">  Aquisição de Ativos da MSC</t>
  </si>
  <si>
    <t>Pagamento de IR referentes ao JSCP pagos</t>
  </si>
  <si>
    <t>Emissão de Ações na Controladora</t>
  </si>
  <si>
    <t>Pagamento de Leasing</t>
  </si>
  <si>
    <t>Captação de financiamentos</t>
  </si>
  <si>
    <t>Lucro Líquido  (prejuízo) do periodo</t>
  </si>
  <si>
    <t>Resultados Valid</t>
  </si>
  <si>
    <r>
      <t>1T19</t>
    </r>
    <r>
      <rPr>
        <b/>
        <vertAlign val="superscript"/>
        <sz val="11"/>
        <color indexed="9"/>
        <rFont val="Roboto Condensed"/>
      </rPr>
      <t>IFRS16</t>
    </r>
  </si>
  <si>
    <r>
      <t>2T19</t>
    </r>
    <r>
      <rPr>
        <b/>
        <vertAlign val="superscript"/>
        <sz val="11"/>
        <color indexed="9"/>
        <rFont val="Roboto Condensed"/>
      </rPr>
      <t>IFRS16</t>
    </r>
  </si>
  <si>
    <r>
      <t>3T19</t>
    </r>
    <r>
      <rPr>
        <b/>
        <vertAlign val="superscript"/>
        <sz val="11"/>
        <color indexed="9"/>
        <rFont val="Roboto Condensed"/>
      </rPr>
      <t>IFRS16</t>
    </r>
  </si>
  <si>
    <r>
      <t>4T19</t>
    </r>
    <r>
      <rPr>
        <b/>
        <vertAlign val="superscript"/>
        <sz val="11"/>
        <color indexed="9"/>
        <rFont val="Roboto Condensed"/>
      </rPr>
      <t>IFRS16</t>
    </r>
  </si>
  <si>
    <r>
      <t>1T20</t>
    </r>
    <r>
      <rPr>
        <b/>
        <vertAlign val="superscript"/>
        <sz val="11"/>
        <color indexed="9"/>
        <rFont val="Roboto Condensed"/>
      </rPr>
      <t>IFRS16</t>
    </r>
  </si>
  <si>
    <r>
      <t>2T20</t>
    </r>
    <r>
      <rPr>
        <b/>
        <vertAlign val="superscript"/>
        <sz val="11"/>
        <color indexed="9"/>
        <rFont val="Roboto Condensed"/>
      </rPr>
      <t>IFRS16</t>
    </r>
  </si>
  <si>
    <r>
      <t>3T20</t>
    </r>
    <r>
      <rPr>
        <b/>
        <vertAlign val="superscript"/>
        <sz val="11"/>
        <color indexed="9"/>
        <rFont val="Roboto Condensed"/>
      </rPr>
      <t>IFRS16</t>
    </r>
  </si>
  <si>
    <r>
      <t>4T20</t>
    </r>
    <r>
      <rPr>
        <b/>
        <vertAlign val="superscript"/>
        <sz val="11"/>
        <color indexed="9"/>
        <rFont val="Roboto Condensed"/>
      </rPr>
      <t>IFRS16</t>
    </r>
  </si>
  <si>
    <r>
      <t>2020</t>
    </r>
    <r>
      <rPr>
        <b/>
        <vertAlign val="superscript"/>
        <sz val="11"/>
        <color indexed="9"/>
        <rFont val="Roboto Condensed"/>
      </rPr>
      <t>IFRS16</t>
    </r>
  </si>
  <si>
    <r>
      <t>1T21</t>
    </r>
    <r>
      <rPr>
        <b/>
        <vertAlign val="superscript"/>
        <sz val="11"/>
        <color indexed="9"/>
        <rFont val="Roboto Condensed"/>
      </rPr>
      <t>IFRS16</t>
    </r>
  </si>
  <si>
    <t>Receita Líquida</t>
  </si>
  <si>
    <t>EBITDA Ajustado</t>
  </si>
  <si>
    <t>Margem</t>
  </si>
  <si>
    <t>Lucro Líquido Ajustado</t>
  </si>
  <si>
    <t>Reconciliação do EBITDA RS milhões</t>
  </si>
  <si>
    <t>Lucro Líquido do período</t>
  </si>
  <si>
    <t>(+) Pariticpaçãoes dos não controladores</t>
  </si>
  <si>
    <t>(+) IR e contr social</t>
  </si>
  <si>
    <t>(+) desp/rec financeira</t>
  </si>
  <si>
    <t>(+/-) depre e amortz</t>
  </si>
  <si>
    <t>(+/-) equivalência patrimonial</t>
  </si>
  <si>
    <t>(+) Outras (receitas) desp oper</t>
  </si>
  <si>
    <t>(+) despesas não recorrentes</t>
  </si>
  <si>
    <t>EBITDA</t>
  </si>
  <si>
    <t>(+) deprec e amortz</t>
  </si>
  <si>
    <t>(+/-) Equivalência patrimonial do minoritário</t>
  </si>
  <si>
    <t>Identificação (R$ Milhões)</t>
  </si>
  <si>
    <t>Receita Líquida Identificação</t>
  </si>
  <si>
    <t>Receita Líquida Certificadora</t>
  </si>
  <si>
    <t>% Receita Líquida</t>
  </si>
  <si>
    <t>% EBITDA Total</t>
  </si>
  <si>
    <t>Volume de Vendas</t>
  </si>
  <si>
    <t>Volume Identificação (milhões)</t>
  </si>
  <si>
    <t>Volume Certificadora (milhares)</t>
  </si>
  <si>
    <t xml:space="preserve">Mobile (R$ milhões) </t>
  </si>
  <si>
    <t xml:space="preserve">% Receita Líquida </t>
  </si>
  <si>
    <t>Volume de Vendas (milhões)</t>
  </si>
  <si>
    <t>*valor da equivalencia patrimonial Mult</t>
  </si>
  <si>
    <t>*valor da equivalencia patrimonial Incard</t>
  </si>
  <si>
    <t>Total equivalência patrimonial</t>
  </si>
  <si>
    <t>Meios de Pagamento ( R$ Milhões)</t>
  </si>
  <si>
    <t>Resultados Reportados Valid</t>
  </si>
  <si>
    <r>
      <t>2T21</t>
    </r>
    <r>
      <rPr>
        <b/>
        <vertAlign val="superscript"/>
        <sz val="11"/>
        <color indexed="9"/>
        <rFont val="Roboto Condensed"/>
      </rPr>
      <t>IFRS16</t>
    </r>
  </si>
  <si>
    <r>
      <t>3T21</t>
    </r>
    <r>
      <rPr>
        <b/>
        <vertAlign val="superscript"/>
        <sz val="11"/>
        <color indexed="9"/>
        <rFont val="Roboto Condensed"/>
      </rPr>
      <t>IFRS16</t>
    </r>
  </si>
  <si>
    <r>
      <t>4T21</t>
    </r>
    <r>
      <rPr>
        <b/>
        <vertAlign val="superscript"/>
        <sz val="11"/>
        <color indexed="9"/>
        <rFont val="Roboto Condensed"/>
      </rPr>
      <t>IFRS16</t>
    </r>
  </si>
  <si>
    <r>
      <t>2021</t>
    </r>
    <r>
      <rPr>
        <b/>
        <vertAlign val="superscript"/>
        <sz val="11"/>
        <color indexed="9"/>
        <rFont val="Roboto Condensed"/>
      </rPr>
      <t>IFRS16</t>
    </r>
  </si>
  <si>
    <r>
      <t>1T22</t>
    </r>
    <r>
      <rPr>
        <b/>
        <vertAlign val="superscript"/>
        <sz val="11"/>
        <color indexed="9"/>
        <rFont val="Roboto Condensed"/>
      </rPr>
      <t>IFRS16</t>
    </r>
  </si>
  <si>
    <t>Lucro Líquido</t>
  </si>
  <si>
    <t>OPEX</t>
  </si>
  <si>
    <t>Resultados Normalizados Valid</t>
  </si>
  <si>
    <t>Valid Government Solutions - VGS (R$ Milhões)</t>
  </si>
  <si>
    <t>% OPEX Total</t>
  </si>
  <si>
    <t>Volume de vendas (milhões)</t>
  </si>
  <si>
    <t>Valid Business Solutions - VBS (R$ Milhões)</t>
  </si>
  <si>
    <t>Valid Digital Solutions - VDS (R$ Milhões)</t>
  </si>
  <si>
    <t>USA (R$ Milhões)</t>
  </si>
  <si>
    <t>Telco Global (R$ Milhões)</t>
  </si>
  <si>
    <r>
      <t>2T22</t>
    </r>
    <r>
      <rPr>
        <b/>
        <vertAlign val="superscript"/>
        <sz val="11"/>
        <color indexed="9"/>
        <rFont val="Roboto Condensed"/>
      </rPr>
      <t>IFRS16</t>
    </r>
  </si>
  <si>
    <t>Identificação - ID (R$ Milhões)</t>
  </si>
  <si>
    <t>Banking e Meios de Pagamento - PAY (R$ Milhões)</t>
  </si>
  <si>
    <t>MOBILE (R$ Milhões)</t>
  </si>
  <si>
    <r>
      <t xml:space="preserve">3T22 </t>
    </r>
    <r>
      <rPr>
        <b/>
        <vertAlign val="superscript"/>
        <sz val="11"/>
        <color indexed="9"/>
        <rFont val="Roboto Condensed"/>
      </rPr>
      <t>IFRS16</t>
    </r>
  </si>
  <si>
    <r>
      <t xml:space="preserve">3T22 </t>
    </r>
    <r>
      <rPr>
        <b/>
        <vertAlign val="superscript"/>
        <sz val="11"/>
        <color indexed="9"/>
        <rFont val="Fractul"/>
        <family val="3"/>
      </rPr>
      <t>IFRS16</t>
    </r>
  </si>
  <si>
    <r>
      <t>3T22</t>
    </r>
    <r>
      <rPr>
        <b/>
        <vertAlign val="superscript"/>
        <sz val="11"/>
        <color indexed="9"/>
        <rFont val="Roboto Condensed"/>
      </rPr>
      <t>IFRS16</t>
    </r>
  </si>
  <si>
    <r>
      <t xml:space="preserve">4T22 </t>
    </r>
    <r>
      <rPr>
        <b/>
        <vertAlign val="superscript"/>
        <sz val="11"/>
        <color indexed="9"/>
        <rFont val="Roboto Condensed"/>
      </rPr>
      <t>IFRS16</t>
    </r>
  </si>
  <si>
    <t>4T22 IFRS16</t>
  </si>
  <si>
    <r>
      <t xml:space="preserve">4T22 </t>
    </r>
    <r>
      <rPr>
        <b/>
        <vertAlign val="superscript"/>
        <sz val="11"/>
        <color indexed="9"/>
        <rFont val="Fractul"/>
        <family val="3"/>
      </rPr>
      <t>IFRS16</t>
    </r>
  </si>
  <si>
    <r>
      <t>4T22</t>
    </r>
    <r>
      <rPr>
        <b/>
        <vertAlign val="superscript"/>
        <sz val="11"/>
        <color indexed="9"/>
        <rFont val="Roboto Condensed"/>
      </rPr>
      <t>IFRS16</t>
    </r>
  </si>
  <si>
    <t>Aquisição da V e ViaSoft</t>
  </si>
  <si>
    <r>
      <t>2022</t>
    </r>
    <r>
      <rPr>
        <b/>
        <vertAlign val="superscript"/>
        <sz val="11"/>
        <color indexed="9"/>
        <rFont val="Roboto Condensed"/>
      </rPr>
      <t>IFRS16</t>
    </r>
  </si>
  <si>
    <t>1T23 IFRS16</t>
  </si>
  <si>
    <r>
      <t xml:space="preserve">1T23 </t>
    </r>
    <r>
      <rPr>
        <b/>
        <vertAlign val="superscript"/>
        <sz val="11"/>
        <color indexed="9"/>
        <rFont val="Fractul"/>
        <family val="3"/>
      </rPr>
      <t>IFRS16</t>
    </r>
  </si>
  <si>
    <t>N/A</t>
  </si>
  <si>
    <r>
      <t>1T23</t>
    </r>
    <r>
      <rPr>
        <b/>
        <vertAlign val="superscript"/>
        <sz val="11"/>
        <color indexed="9"/>
        <rFont val="Roboto Condensed"/>
      </rPr>
      <t>IFRS16</t>
    </r>
  </si>
  <si>
    <r>
      <t xml:space="preserve">1T23 </t>
    </r>
    <r>
      <rPr>
        <b/>
        <vertAlign val="superscript"/>
        <sz val="11"/>
        <color indexed="9"/>
        <rFont val="Roboto Condensed"/>
      </rPr>
      <t>IFRS16</t>
    </r>
  </si>
  <si>
    <t>2T23 IFRS16</t>
  </si>
  <si>
    <r>
      <t xml:space="preserve">2T23 </t>
    </r>
    <r>
      <rPr>
        <b/>
        <vertAlign val="superscript"/>
        <sz val="11"/>
        <color indexed="9"/>
        <rFont val="Roboto Condensed"/>
      </rPr>
      <t>IFRS16</t>
    </r>
  </si>
  <si>
    <r>
      <t xml:space="preserve">2T23 </t>
    </r>
    <r>
      <rPr>
        <b/>
        <vertAlign val="superscript"/>
        <sz val="11"/>
        <color indexed="9"/>
        <rFont val="Fractul"/>
        <family val="3"/>
      </rPr>
      <t>IFRS16</t>
    </r>
  </si>
  <si>
    <r>
      <t>2T23</t>
    </r>
    <r>
      <rPr>
        <b/>
        <vertAlign val="superscript"/>
        <sz val="11"/>
        <color indexed="9"/>
        <rFont val="Roboto Condensed"/>
      </rPr>
      <t>IFRS16</t>
    </r>
  </si>
  <si>
    <t>3T23 IFRS16</t>
  </si>
  <si>
    <r>
      <t xml:space="preserve">3T23 </t>
    </r>
    <r>
      <rPr>
        <b/>
        <vertAlign val="superscript"/>
        <sz val="11"/>
        <color indexed="9"/>
        <rFont val="Roboto Condensed"/>
      </rPr>
      <t>IFRS16</t>
    </r>
  </si>
  <si>
    <t>07/11/202307/11/2023</t>
  </si>
  <si>
    <r>
      <t xml:space="preserve">3T23 </t>
    </r>
    <r>
      <rPr>
        <b/>
        <vertAlign val="superscript"/>
        <sz val="11"/>
        <color indexed="9"/>
        <rFont val="Fractul"/>
        <family val="3"/>
      </rPr>
      <t>IFRS16</t>
    </r>
  </si>
  <si>
    <r>
      <t>3T23</t>
    </r>
    <r>
      <rPr>
        <b/>
        <vertAlign val="superscript"/>
        <sz val="11"/>
        <color indexed="9"/>
        <rFont val="Roboto Condensed"/>
      </rPr>
      <t>IFRS16</t>
    </r>
  </si>
  <si>
    <t>4T23 IFRS16</t>
  </si>
  <si>
    <r>
      <t xml:space="preserve">4T23 </t>
    </r>
    <r>
      <rPr>
        <b/>
        <vertAlign val="superscript"/>
        <sz val="11"/>
        <color indexed="9"/>
        <rFont val="Roboto Condensed"/>
      </rPr>
      <t>IFRS16</t>
    </r>
  </si>
  <si>
    <r>
      <t xml:space="preserve">4T23 </t>
    </r>
    <r>
      <rPr>
        <b/>
        <vertAlign val="superscript"/>
        <sz val="11"/>
        <color indexed="9"/>
        <rFont val="Fractul"/>
        <family val="3"/>
      </rPr>
      <t>IFRS16</t>
    </r>
  </si>
  <si>
    <r>
      <t>4T23</t>
    </r>
    <r>
      <rPr>
        <b/>
        <vertAlign val="superscript"/>
        <sz val="11"/>
        <color indexed="9"/>
        <rFont val="Roboto Condensed"/>
      </rPr>
      <t>IFRS16</t>
    </r>
  </si>
  <si>
    <t xml:space="preserve">Margem e Indicadores </t>
  </si>
  <si>
    <t>Margem Bruta (%)</t>
  </si>
  <si>
    <t>Margem EBIT (%)</t>
  </si>
  <si>
    <t>Margem Líquida (%)</t>
  </si>
  <si>
    <t>Liquidez Corrente</t>
  </si>
  <si>
    <t>Dívida Total Bruta (mil)</t>
  </si>
  <si>
    <t>Dívida Total Líquida (mil)</t>
  </si>
  <si>
    <t>Dívida Líquida/EBITDA 12M</t>
  </si>
  <si>
    <t xml:space="preserve">Roe </t>
  </si>
  <si>
    <t>P/L</t>
  </si>
  <si>
    <t>EV/EBITDA LTM</t>
  </si>
  <si>
    <t>EV/SALES LTM</t>
  </si>
  <si>
    <t>EV</t>
  </si>
  <si>
    <t>Roic (LTM)</t>
  </si>
  <si>
    <t>Dívida Bruta/EBITDA 12M</t>
  </si>
  <si>
    <t>Lucro Líquido LTM</t>
  </si>
  <si>
    <r>
      <t xml:space="preserve">1T21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</si>
  <si>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2T21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</si>
  <si>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3T21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</si>
  <si>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4T21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</si>
  <si>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2021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</si>
  <si>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1T22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</si>
  <si>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2T22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</si>
  <si>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3T22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</si>
  <si>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4T22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</si>
  <si>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2022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</si>
  <si>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1T23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</si>
  <si>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2T23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</si>
  <si>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3T23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</si>
  <si>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4T23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</si>
  <si>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2023 </t>
    </r>
    <r>
      <rPr>
        <b/>
        <vertAlign val="superscript"/>
        <sz val="10"/>
        <color indexed="9"/>
        <rFont val="Calibri"/>
        <family val="2"/>
      </rPr>
      <t>IFRS17</t>
    </r>
    <r>
      <rPr>
        <sz val="11"/>
        <color indexed="8"/>
        <rFont val="Calibri"/>
        <family val="2"/>
      </rPr>
      <t/>
    </r>
  </si>
  <si>
    <r>
      <t xml:space="preserve">1T24 </t>
    </r>
    <r>
      <rPr>
        <b/>
        <vertAlign val="superscript"/>
        <sz val="11"/>
        <color indexed="9"/>
        <rFont val="Roboto Condensed"/>
      </rPr>
      <t>IFRS16</t>
    </r>
  </si>
  <si>
    <t>-</t>
  </si>
  <si>
    <r>
      <t xml:space="preserve">1T24 </t>
    </r>
    <r>
      <rPr>
        <b/>
        <vertAlign val="superscript"/>
        <sz val="10"/>
        <color indexed="9"/>
        <rFont val="Calibri"/>
        <family val="2"/>
      </rPr>
      <t>IFRS16</t>
    </r>
  </si>
  <si>
    <t xml:space="preserve">    Outros ativos financeiros</t>
  </si>
  <si>
    <r>
      <t>1T24</t>
    </r>
    <r>
      <rPr>
        <b/>
        <vertAlign val="superscript"/>
        <sz val="11"/>
        <color indexed="9"/>
        <rFont val="Fractul"/>
        <family val="3"/>
      </rPr>
      <t>IFRS16</t>
    </r>
  </si>
  <si>
    <t xml:space="preserve">  Ajuste a valor presente</t>
  </si>
  <si>
    <t>Receita/Custo na Alienação de Controladoras</t>
  </si>
  <si>
    <t xml:space="preserve">  Reversão de provisão - venda imóvel SBC</t>
  </si>
  <si>
    <r>
      <t xml:space="preserve">2T24 </t>
    </r>
    <r>
      <rPr>
        <b/>
        <vertAlign val="superscript"/>
        <sz val="11"/>
        <color indexed="9"/>
        <rFont val="Roboto Condensed"/>
      </rPr>
      <t>IFRS16</t>
    </r>
  </si>
  <si>
    <r>
      <t xml:space="preserve">2T24 </t>
    </r>
    <r>
      <rPr>
        <b/>
        <vertAlign val="superscript"/>
        <sz val="10"/>
        <color indexed="9"/>
        <rFont val="Calibri"/>
        <family val="2"/>
      </rPr>
      <t>IFRS16</t>
    </r>
  </si>
  <si>
    <t>2T24 IFRS16</t>
  </si>
  <si>
    <t>2T24IFRS16</t>
  </si>
  <si>
    <t>1T24IFRS16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</si>
</sst>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_-* #,##0.0_-;\-* #,##0.0_-;_-* &quot;-&quot;_-;_-@_-"/>
    <numFmt numFmtId="167" formatCode="0.0"/>
    <numFmt numFmtId="168" formatCode="0.0%"/>
    <numFmt numFmtId="169" formatCode="0.00000"/>
    <numFmt numFmtId="170" formatCode="0.0000"/>
    <numFmt numFmtId="171" formatCode="0.000"/>
  </numFmts>
  <fonts count="4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Roboto Condensed"/>
    </font>
    <font>
      <b/>
      <vertAlign val="superscript"/>
      <sz val="11"/>
      <color indexed="9"/>
      <name val="Roboto Condensed"/>
    </font>
    <font>
      <b/>
      <vertAlign val="superscript"/>
      <sz val="11"/>
      <color indexed="9"/>
      <name val="Fractul"/>
      <family val="3"/>
    </font>
    <font>
      <b/>
      <sz val="11"/>
      <name val="Fractul"/>
      <family val="3"/>
    </font>
    <font>
      <sz val="11"/>
      <name val="Fractul"/>
      <family val="3"/>
    </font>
    <font>
      <b/>
      <sz val="11"/>
      <name val="Roboto Condensed"/>
    </font>
    <font>
      <b/>
      <vertAlign val="superscript"/>
      <sz val="10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1"/>
      <name val="Roboto Condensed"/>
    </font>
    <font>
      <b/>
      <sz val="11"/>
      <color theme="1"/>
      <name val="Roboto Condensed"/>
    </font>
    <font>
      <b/>
      <sz val="11"/>
      <color theme="0"/>
      <name val="Roboto Condensed"/>
    </font>
    <font>
      <sz val="11"/>
      <color theme="0"/>
      <name val="Roboto Condensed"/>
    </font>
    <font>
      <sz val="11"/>
      <name val="Calibri"/>
      <family val="2"/>
      <scheme val="minor"/>
    </font>
    <font>
      <b/>
      <sz val="11"/>
      <color theme="0"/>
      <name val="Fractul"/>
      <family val="3"/>
    </font>
    <font>
      <sz val="11"/>
      <color theme="1"/>
      <name val="Fractul"/>
      <family val="3"/>
    </font>
    <font>
      <b/>
      <sz val="11"/>
      <color rgb="FF01010D"/>
      <name val="Fractul"/>
      <family val="3"/>
    </font>
    <font>
      <sz val="11"/>
      <color rgb="FF01010D"/>
      <name val="Fractul"/>
      <family val="3"/>
    </font>
    <font>
      <b/>
      <sz val="11"/>
      <color theme="1"/>
      <name val="Fractul"/>
      <family val="3"/>
    </font>
    <font>
      <b/>
      <i/>
      <sz val="11"/>
      <color theme="1"/>
      <name val="Roboto Condensed"/>
    </font>
    <font>
      <sz val="11"/>
      <color rgb="FFFF0000"/>
      <name val="Roboto Condensed"/>
    </font>
    <font>
      <i/>
      <sz val="11"/>
      <color theme="1"/>
      <name val="Roboto Condensed"/>
    </font>
    <font>
      <i/>
      <sz val="10"/>
      <color theme="1"/>
      <name val="Roboto Condensed"/>
    </font>
    <font>
      <sz val="10"/>
      <color theme="1"/>
      <name val="Roboto Condensed"/>
    </font>
    <font>
      <i/>
      <sz val="11"/>
      <color theme="1"/>
      <name val="Calibri"/>
      <family val="2"/>
      <scheme val="minor"/>
    </font>
    <font>
      <sz val="9"/>
      <color theme="1"/>
      <name val="Roboto Condensed"/>
    </font>
    <font>
      <i/>
      <sz val="9"/>
      <color theme="1"/>
      <name val="Roboto Condensed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9"/>
      <color indexed="81"/>
      <name val="Segoe UI"/>
      <family val="2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1010D"/>
        <bgColor indexed="64"/>
      </patternFill>
    </fill>
    <fill>
      <patternFill patternType="solid">
        <fgColor rgb="FF323232"/>
        <bgColor indexed="64"/>
      </patternFill>
    </fill>
    <fill>
      <patternFill patternType="solid">
        <fgColor rgb="FF00BBEE"/>
        <bgColor indexed="64"/>
      </patternFill>
    </fill>
    <fill>
      <patternFill patternType="solid">
        <fgColor rgb="FF645FAA"/>
        <bgColor indexed="64"/>
      </patternFill>
    </fill>
    <fill>
      <patternFill patternType="solid">
        <fgColor rgb="FF43BB85"/>
        <bgColor indexed="64"/>
      </patternFill>
    </fill>
    <fill>
      <patternFill patternType="solid">
        <fgColor rgb="FF43028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BE11F"/>
        <bgColor indexed="64"/>
      </patternFill>
    </fill>
    <fill>
      <patternFill patternType="solid">
        <fgColor rgb="FF0066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3" fillId="28" borderId="4" applyNumberFormat="0" applyAlignment="0" applyProtection="0"/>
    <xf numFmtId="0" fontId="14" fillId="29" borderId="5" applyNumberFormat="0" applyAlignment="0" applyProtection="0"/>
    <xf numFmtId="0" fontId="17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6" fillId="30" borderId="4" applyNumberFormat="0" applyAlignment="0" applyProtection="0"/>
    <xf numFmtId="0" fontId="15" fillId="0" borderId="6" applyNumberFormat="0" applyFill="0" applyAlignment="0" applyProtection="0"/>
    <xf numFmtId="0" fontId="21" fillId="31" borderId="0" applyNumberFormat="0" applyBorder="0" applyAlignment="0" applyProtection="0"/>
    <xf numFmtId="0" fontId="9" fillId="32" borderId="10" applyNumberFormat="0" applyFont="0" applyAlignment="0" applyProtection="0"/>
    <xf numFmtId="0" fontId="22" fillId="28" borderId="11" applyNumberFormat="0" applyAlignment="0" applyProtection="0"/>
    <xf numFmtId="9" fontId="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95">
    <xf numFmtId="0" fontId="0" fillId="0" borderId="0" xfId="0"/>
    <xf numFmtId="0" fontId="0" fillId="33" borderId="0" xfId="0" applyFill="1"/>
    <xf numFmtId="0" fontId="0" fillId="0" borderId="0" xfId="0" applyAlignment="1">
      <alignment vertical="center"/>
    </xf>
    <xf numFmtId="41" fontId="25" fillId="0" borderId="0" xfId="0" applyNumberFormat="1" applyFont="1" applyAlignment="1">
      <alignment vertical="center"/>
    </xf>
    <xf numFmtId="0" fontId="2" fillId="33" borderId="0" xfId="0" applyFont="1" applyFill="1"/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33" borderId="0" xfId="0" applyFont="1" applyFill="1" applyAlignment="1">
      <alignment vertical="center"/>
    </xf>
    <xf numFmtId="41" fontId="25" fillId="33" borderId="0" xfId="0" applyNumberFormat="1" applyFont="1" applyFill="1" applyAlignment="1">
      <alignment horizontal="right" vertical="center"/>
    </xf>
    <xf numFmtId="0" fontId="2" fillId="33" borderId="0" xfId="0" applyFont="1" applyFill="1" applyAlignment="1">
      <alignment vertical="center"/>
    </xf>
    <xf numFmtId="164" fontId="25" fillId="33" borderId="0" xfId="0" applyNumberFormat="1" applyFont="1" applyFill="1" applyAlignment="1">
      <alignment vertical="center"/>
    </xf>
    <xf numFmtId="0" fontId="26" fillId="33" borderId="0" xfId="0" applyFont="1" applyFill="1" applyAlignment="1">
      <alignment vertical="center"/>
    </xf>
    <xf numFmtId="3" fontId="25" fillId="33" borderId="0" xfId="0" applyNumberFormat="1" applyFont="1" applyFill="1" applyAlignment="1">
      <alignment vertical="center"/>
    </xf>
    <xf numFmtId="41" fontId="25" fillId="33" borderId="0" xfId="0" applyNumberFormat="1" applyFont="1" applyFill="1" applyAlignment="1">
      <alignment vertical="center"/>
    </xf>
    <xf numFmtId="41" fontId="26" fillId="33" borderId="0" xfId="0" applyNumberFormat="1" applyFont="1" applyFill="1" applyAlignment="1">
      <alignment vertical="center"/>
    </xf>
    <xf numFmtId="0" fontId="27" fillId="34" borderId="0" xfId="0" applyFont="1" applyFill="1" applyAlignment="1">
      <alignment vertical="center"/>
    </xf>
    <xf numFmtId="41" fontId="27" fillId="34" borderId="0" xfId="0" applyNumberFormat="1" applyFont="1" applyFill="1" applyAlignment="1">
      <alignment vertical="center"/>
    </xf>
    <xf numFmtId="0" fontId="25" fillId="0" borderId="0" xfId="0" applyFont="1" applyAlignment="1">
      <alignment vertical="center" wrapText="1"/>
    </xf>
    <xf numFmtId="3" fontId="25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2" fillId="33" borderId="0" xfId="0" applyNumberFormat="1" applyFont="1" applyFill="1" applyAlignment="1">
      <alignment vertical="center"/>
    </xf>
    <xf numFmtId="41" fontId="28" fillId="34" borderId="0" xfId="0" applyNumberFormat="1" applyFont="1" applyFill="1" applyAlignment="1">
      <alignment vertical="center"/>
    </xf>
    <xf numFmtId="0" fontId="29" fillId="33" borderId="0" xfId="0" applyFont="1" applyFill="1"/>
    <xf numFmtId="41" fontId="25" fillId="0" borderId="0" xfId="0" quotePrefix="1" applyNumberFormat="1" applyFont="1" applyAlignment="1">
      <alignment vertical="center"/>
    </xf>
    <xf numFmtId="43" fontId="9" fillId="0" borderId="0" xfId="41"/>
    <xf numFmtId="0" fontId="27" fillId="35" borderId="0" xfId="0" applyFont="1" applyFill="1" applyAlignment="1">
      <alignment vertical="center"/>
    </xf>
    <xf numFmtId="0" fontId="27" fillId="35" borderId="0" xfId="0" applyFont="1" applyFill="1" applyAlignment="1">
      <alignment horizontal="center" vertical="center"/>
    </xf>
    <xf numFmtId="0" fontId="29" fillId="0" borderId="0" xfId="0" applyFont="1"/>
    <xf numFmtId="41" fontId="25" fillId="0" borderId="0" xfId="0" applyNumberFormat="1" applyFont="1" applyAlignment="1">
      <alignment horizontal="right" vertical="center"/>
    </xf>
    <xf numFmtId="41" fontId="26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26" fillId="33" borderId="0" xfId="0" applyNumberFormat="1" applyFont="1" applyFill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1" fontId="26" fillId="33" borderId="0" xfId="0" applyNumberFormat="1" applyFont="1" applyFill="1" applyAlignment="1">
      <alignment horizontal="center" vertical="center"/>
    </xf>
    <xf numFmtId="3" fontId="26" fillId="33" borderId="0" xfId="0" applyNumberFormat="1" applyFont="1" applyFill="1" applyAlignment="1">
      <alignment vertical="center"/>
    </xf>
    <xf numFmtId="3" fontId="25" fillId="33" borderId="0" xfId="0" applyNumberFormat="1" applyFont="1" applyFill="1" applyAlignment="1">
      <alignment horizontal="center" vertical="center"/>
    </xf>
    <xf numFmtId="167" fontId="0" fillId="0" borderId="0" xfId="0" applyNumberFormat="1"/>
    <xf numFmtId="3" fontId="25" fillId="0" borderId="0" xfId="0" applyNumberFormat="1" applyFont="1" applyAlignment="1">
      <alignment horizontal="center" vertical="center"/>
    </xf>
    <xf numFmtId="0" fontId="27" fillId="35" borderId="0" xfId="0" applyFont="1" applyFill="1" applyAlignment="1">
      <alignment horizontal="left" vertical="center"/>
    </xf>
    <xf numFmtId="0" fontId="29" fillId="33" borderId="0" xfId="0" applyFont="1" applyFill="1" applyAlignment="1">
      <alignment horizontal="center"/>
    </xf>
    <xf numFmtId="0" fontId="2" fillId="33" borderId="0" xfId="0" applyFont="1" applyFill="1" applyAlignment="1">
      <alignment horizontal="center" vertical="center"/>
    </xf>
    <xf numFmtId="0" fontId="30" fillId="36" borderId="0" xfId="0" applyFont="1" applyFill="1" applyAlignment="1">
      <alignment vertical="center"/>
    </xf>
    <xf numFmtId="0" fontId="30" fillId="36" borderId="0" xfId="0" applyFont="1" applyFill="1" applyAlignment="1">
      <alignment horizontal="center" vertical="center"/>
    </xf>
    <xf numFmtId="0" fontId="31" fillId="0" borderId="0" xfId="0" applyFont="1"/>
    <xf numFmtId="0" fontId="3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1" fontId="32" fillId="0" borderId="0" xfId="0" applyNumberFormat="1" applyFont="1" applyAlignment="1">
      <alignment vertical="center"/>
    </xf>
    <xf numFmtId="0" fontId="31" fillId="0" borderId="0" xfId="0" applyFont="1" applyAlignment="1">
      <alignment vertical="center" wrapText="1"/>
    </xf>
    <xf numFmtId="0" fontId="33" fillId="0" borderId="0" xfId="0" applyFont="1" applyAlignment="1">
      <alignment vertical="center"/>
    </xf>
    <xf numFmtId="0" fontId="33" fillId="33" borderId="0" xfId="0" applyFont="1" applyFill="1"/>
    <xf numFmtId="0" fontId="33" fillId="0" borderId="0" xfId="0" applyFont="1"/>
    <xf numFmtId="41" fontId="33" fillId="0" borderId="0" xfId="0" applyNumberFormat="1" applyFont="1"/>
    <xf numFmtId="41" fontId="33" fillId="0" borderId="0" xfId="0" applyNumberFormat="1" applyFont="1" applyAlignment="1">
      <alignment vertical="center"/>
    </xf>
    <xf numFmtId="41" fontId="33" fillId="33" borderId="0" xfId="0" applyNumberFormat="1" applyFont="1" applyFill="1"/>
    <xf numFmtId="0" fontId="6" fillId="0" borderId="0" xfId="0" applyFont="1" applyAlignment="1">
      <alignment vertical="center" wrapText="1"/>
    </xf>
    <xf numFmtId="41" fontId="33" fillId="33" borderId="0" xfId="0" applyNumberFormat="1" applyFont="1" applyFill="1" applyAlignment="1">
      <alignment vertical="center"/>
    </xf>
    <xf numFmtId="0" fontId="31" fillId="33" borderId="0" xfId="0" applyFont="1" applyFill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30" fillId="34" borderId="0" xfId="0" applyFont="1" applyFill="1" applyAlignment="1">
      <alignment vertical="center"/>
    </xf>
    <xf numFmtId="41" fontId="30" fillId="34" borderId="0" xfId="0" applyNumberFormat="1" applyFont="1" applyFill="1" applyAlignment="1">
      <alignment vertical="center"/>
    </xf>
    <xf numFmtId="41" fontId="0" fillId="0" borderId="0" xfId="0" applyNumberFormat="1"/>
    <xf numFmtId="41" fontId="31" fillId="0" borderId="0" xfId="0" applyNumberFormat="1" applyFont="1" applyAlignment="1">
      <alignment vertical="center"/>
    </xf>
    <xf numFmtId="41" fontId="31" fillId="33" borderId="0" xfId="0" applyNumberFormat="1" applyFont="1" applyFill="1" applyAlignment="1">
      <alignment vertical="center"/>
    </xf>
    <xf numFmtId="41" fontId="31" fillId="33" borderId="0" xfId="0" applyNumberFormat="1" applyFont="1" applyFill="1"/>
    <xf numFmtId="41" fontId="31" fillId="0" borderId="0" xfId="0" applyNumberFormat="1" applyFont="1"/>
    <xf numFmtId="0" fontId="31" fillId="33" borderId="0" xfId="0" applyFont="1" applyFill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0" fontId="6" fillId="33" borderId="0" xfId="0" applyFont="1" applyFill="1" applyAlignment="1">
      <alignment vertical="center" wrapText="1"/>
    </xf>
    <xf numFmtId="166" fontId="31" fillId="0" borderId="0" xfId="0" applyNumberFormat="1" applyFont="1"/>
    <xf numFmtId="0" fontId="31" fillId="33" borderId="0" xfId="0" applyFont="1" applyFill="1"/>
    <xf numFmtId="0" fontId="35" fillId="0" borderId="0" xfId="0" applyFont="1" applyAlignment="1">
      <alignment vertical="center" wrapText="1"/>
    </xf>
    <xf numFmtId="41" fontId="0" fillId="33" borderId="0" xfId="0" applyNumberFormat="1" applyFill="1"/>
    <xf numFmtId="0" fontId="14" fillId="33" borderId="0" xfId="0" applyFont="1" applyFill="1" applyAlignment="1">
      <alignment horizontal="center"/>
    </xf>
    <xf numFmtId="0" fontId="2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41" fontId="26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3" fontId="26" fillId="0" borderId="0" xfId="0" applyNumberFormat="1" applyFont="1" applyAlignment="1">
      <alignment vertical="center"/>
    </xf>
    <xf numFmtId="41" fontId="25" fillId="0" borderId="1" xfId="0" applyNumberFormat="1" applyFont="1" applyBorder="1" applyAlignment="1">
      <alignment vertical="center"/>
    </xf>
    <xf numFmtId="3" fontId="36" fillId="0" borderId="0" xfId="0" applyNumberFormat="1" applyFont="1" applyAlignment="1">
      <alignment vertical="center"/>
    </xf>
    <xf numFmtId="0" fontId="27" fillId="37" borderId="0" xfId="0" applyFont="1" applyFill="1" applyAlignment="1">
      <alignment horizontal="left" vertical="center" wrapText="1"/>
    </xf>
    <xf numFmtId="0" fontId="27" fillId="37" borderId="0" xfId="0" applyFont="1" applyFill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164" fontId="25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67" fontId="26" fillId="0" borderId="0" xfId="0" applyNumberFormat="1" applyFont="1" applyAlignment="1">
      <alignment horizontal="center" vertical="center"/>
    </xf>
    <xf numFmtId="165" fontId="26" fillId="0" borderId="0" xfId="41" applyNumberFormat="1" applyFont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168" fontId="38" fillId="0" borderId="0" xfId="0" applyNumberFormat="1" applyFont="1" applyAlignment="1">
      <alignment horizontal="center" vertical="center"/>
    </xf>
    <xf numFmtId="168" fontId="38" fillId="0" borderId="0" xfId="39" applyNumberFormat="1" applyFont="1" applyAlignment="1">
      <alignment horizontal="center" vertical="center"/>
    </xf>
    <xf numFmtId="168" fontId="39" fillId="0" borderId="0" xfId="0" applyNumberFormat="1" applyFont="1" applyAlignment="1">
      <alignment horizontal="center" vertical="center"/>
    </xf>
    <xf numFmtId="168" fontId="40" fillId="0" borderId="0" xfId="39" applyNumberFormat="1" applyFont="1" applyAlignment="1">
      <alignment horizontal="center"/>
    </xf>
    <xf numFmtId="167" fontId="25" fillId="0" borderId="0" xfId="0" applyNumberFormat="1" applyFont="1" applyAlignment="1">
      <alignment horizontal="center" vertical="center"/>
    </xf>
    <xf numFmtId="0" fontId="27" fillId="38" borderId="0" xfId="0" applyFont="1" applyFill="1" applyAlignment="1">
      <alignment vertical="center"/>
    </xf>
    <xf numFmtId="0" fontId="28" fillId="38" borderId="0" xfId="0" applyFont="1" applyFill="1" applyAlignment="1">
      <alignment vertical="center"/>
    </xf>
    <xf numFmtId="0" fontId="25" fillId="0" borderId="0" xfId="0" applyFont="1" applyAlignment="1">
      <alignment horizontal="left" vertical="center" wrapText="1" indent="2"/>
    </xf>
    <xf numFmtId="0" fontId="25" fillId="0" borderId="0" xfId="0" applyFont="1" applyAlignment="1">
      <alignment horizontal="left" vertical="center" indent="2"/>
    </xf>
    <xf numFmtId="0" fontId="27" fillId="39" borderId="0" xfId="0" applyFont="1" applyFill="1" applyAlignment="1">
      <alignment vertical="center"/>
    </xf>
    <xf numFmtId="0" fontId="14" fillId="39" borderId="0" xfId="0" applyFont="1" applyFill="1" applyAlignment="1">
      <alignment vertical="center"/>
    </xf>
    <xf numFmtId="168" fontId="37" fillId="0" borderId="0" xfId="39" applyNumberFormat="1" applyFont="1" applyAlignment="1">
      <alignment horizontal="center" vertical="center"/>
    </xf>
    <xf numFmtId="168" fontId="25" fillId="0" borderId="0" xfId="39" applyNumberFormat="1" applyFont="1" applyAlignment="1">
      <alignment horizontal="center" vertical="center"/>
    </xf>
    <xf numFmtId="168" fontId="39" fillId="0" borderId="0" xfId="39" applyNumberFormat="1" applyFont="1" applyAlignment="1">
      <alignment horizontal="center" vertical="center"/>
    </xf>
    <xf numFmtId="0" fontId="41" fillId="0" borderId="0" xfId="0" applyFont="1" applyAlignment="1">
      <alignment vertical="center"/>
    </xf>
    <xf numFmtId="164" fontId="42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167" fontId="42" fillId="0" borderId="0" xfId="0" applyNumberFormat="1" applyFont="1" applyAlignment="1">
      <alignment horizontal="center" vertical="center"/>
    </xf>
    <xf numFmtId="0" fontId="27" fillId="40" borderId="0" xfId="0" applyFont="1" applyFill="1" applyAlignment="1">
      <alignment horizontal="left" vertical="center"/>
    </xf>
    <xf numFmtId="0" fontId="14" fillId="40" borderId="0" xfId="0" applyFont="1" applyFill="1" applyAlignment="1">
      <alignment horizontal="right" vertical="center"/>
    </xf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68" fontId="9" fillId="0" borderId="0" xfId="39" applyNumberFormat="1" applyFont="1"/>
    <xf numFmtId="168" fontId="40" fillId="0" borderId="0" xfId="39" applyNumberFormat="1" applyFont="1" applyFill="1" applyAlignment="1">
      <alignment horizontal="center"/>
    </xf>
    <xf numFmtId="0" fontId="27" fillId="41" borderId="0" xfId="0" applyFont="1" applyFill="1" applyAlignment="1">
      <alignment horizontal="left" vertical="center" wrapText="1"/>
    </xf>
    <xf numFmtId="0" fontId="27" fillId="41" borderId="0" xfId="0" applyFont="1" applyFill="1" applyAlignment="1">
      <alignment horizontal="center" vertical="center"/>
    </xf>
    <xf numFmtId="0" fontId="27" fillId="42" borderId="0" xfId="0" applyFont="1" applyFill="1" applyAlignment="1">
      <alignment vertical="center"/>
    </xf>
    <xf numFmtId="0" fontId="28" fillId="42" borderId="0" xfId="0" applyFont="1" applyFill="1" applyAlignment="1">
      <alignment vertical="center"/>
    </xf>
    <xf numFmtId="0" fontId="27" fillId="43" borderId="0" xfId="0" applyFont="1" applyFill="1" applyAlignment="1">
      <alignment vertical="center"/>
    </xf>
    <xf numFmtId="0" fontId="14" fillId="43" borderId="0" xfId="0" applyFont="1" applyFill="1" applyAlignment="1">
      <alignment vertical="center"/>
    </xf>
    <xf numFmtId="0" fontId="27" fillId="44" borderId="0" xfId="0" applyFont="1" applyFill="1" applyAlignment="1">
      <alignment horizontal="left" vertical="center"/>
    </xf>
    <xf numFmtId="0" fontId="14" fillId="44" borderId="0" xfId="0" applyFont="1" applyFill="1" applyAlignment="1">
      <alignment horizontal="right" vertical="center"/>
    </xf>
    <xf numFmtId="0" fontId="27" fillId="45" borderId="0" xfId="0" applyFont="1" applyFill="1" applyAlignment="1">
      <alignment horizontal="left" vertical="center"/>
    </xf>
    <xf numFmtId="0" fontId="14" fillId="45" borderId="0" xfId="0" applyFont="1" applyFill="1" applyAlignment="1">
      <alignment horizontal="right" vertical="center"/>
    </xf>
    <xf numFmtId="0" fontId="27" fillId="46" borderId="0" xfId="0" applyFont="1" applyFill="1" applyAlignment="1">
      <alignment horizontal="left" vertical="center"/>
    </xf>
    <xf numFmtId="0" fontId="14" fillId="46" borderId="0" xfId="0" applyFont="1" applyFill="1" applyAlignment="1">
      <alignment horizontal="right" vertical="center"/>
    </xf>
    <xf numFmtId="0" fontId="28" fillId="47" borderId="0" xfId="0" applyFont="1" applyFill="1" applyAlignment="1">
      <alignment vertical="center"/>
    </xf>
    <xf numFmtId="0" fontId="27" fillId="47" borderId="0" xfId="0" applyFont="1" applyFill="1" applyAlignment="1">
      <alignment horizontal="center" vertical="center"/>
    </xf>
    <xf numFmtId="0" fontId="27" fillId="47" borderId="0" xfId="0" applyFont="1" applyFill="1" applyAlignment="1">
      <alignment vertical="center"/>
    </xf>
    <xf numFmtId="41" fontId="27" fillId="47" borderId="2" xfId="0" applyNumberFormat="1" applyFont="1" applyFill="1" applyBorder="1" applyAlignment="1">
      <alignment vertical="center"/>
    </xf>
    <xf numFmtId="41" fontId="27" fillId="47" borderId="0" xfId="0" applyNumberFormat="1" applyFont="1" applyFill="1" applyAlignment="1">
      <alignment vertical="center"/>
    </xf>
    <xf numFmtId="41" fontId="27" fillId="47" borderId="3" xfId="0" applyNumberFormat="1" applyFont="1" applyFill="1" applyBorder="1" applyAlignment="1">
      <alignment vertic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5" fillId="33" borderId="0" xfId="0" applyFont="1" applyFill="1"/>
    <xf numFmtId="0" fontId="27" fillId="48" borderId="0" xfId="0" applyFont="1" applyFill="1" applyAlignment="1">
      <alignment vertical="center"/>
    </xf>
    <xf numFmtId="0" fontId="28" fillId="48" borderId="0" xfId="0" applyFont="1" applyFill="1" applyAlignment="1">
      <alignment vertical="center"/>
    </xf>
    <xf numFmtId="0" fontId="27" fillId="49" borderId="0" xfId="0" applyFont="1" applyFill="1" applyAlignment="1">
      <alignment horizontal="left" vertical="center"/>
    </xf>
    <xf numFmtId="0" fontId="14" fillId="49" borderId="0" xfId="0" applyFont="1" applyFill="1" applyAlignment="1">
      <alignment horizontal="right" vertical="center"/>
    </xf>
    <xf numFmtId="0" fontId="27" fillId="50" borderId="0" xfId="0" applyFont="1" applyFill="1" applyAlignment="1">
      <alignment horizontal="left" vertical="center"/>
    </xf>
    <xf numFmtId="0" fontId="14" fillId="50" borderId="0" xfId="0" applyFont="1" applyFill="1" applyAlignment="1">
      <alignment horizontal="right" vertical="center"/>
    </xf>
    <xf numFmtId="4" fontId="0" fillId="0" borderId="0" xfId="0" applyNumberFormat="1"/>
    <xf numFmtId="167" fontId="26" fillId="33" borderId="0" xfId="0" applyNumberFormat="1" applyFont="1" applyFill="1" applyAlignment="1">
      <alignment horizontal="center" vertical="center"/>
    </xf>
    <xf numFmtId="168" fontId="38" fillId="33" borderId="0" xfId="0" applyNumberFormat="1" applyFont="1" applyFill="1" applyAlignment="1">
      <alignment horizontal="center" vertical="center"/>
    </xf>
    <xf numFmtId="168" fontId="40" fillId="33" borderId="0" xfId="39" applyNumberFormat="1" applyFont="1" applyFill="1" applyAlignment="1">
      <alignment horizontal="center"/>
    </xf>
    <xf numFmtId="3" fontId="0" fillId="0" borderId="0" xfId="0" applyNumberFormat="1"/>
    <xf numFmtId="0" fontId="43" fillId="33" borderId="0" xfId="0" applyFont="1" applyFill="1"/>
    <xf numFmtId="0" fontId="44" fillId="0" borderId="0" xfId="0" applyFont="1"/>
    <xf numFmtId="0" fontId="45" fillId="47" borderId="0" xfId="0" applyFont="1" applyFill="1" applyAlignment="1">
      <alignment horizontal="center" vertical="center"/>
    </xf>
    <xf numFmtId="168" fontId="43" fillId="33" borderId="0" xfId="0" applyNumberFormat="1" applyFont="1" applyFill="1"/>
    <xf numFmtId="168" fontId="44" fillId="0" borderId="0" xfId="0" applyNumberFormat="1" applyFont="1"/>
    <xf numFmtId="0" fontId="44" fillId="33" borderId="0" xfId="0" applyFont="1" applyFill="1"/>
    <xf numFmtId="0" fontId="43" fillId="33" borderId="0" xfId="0" applyFont="1" applyFill="1" applyAlignment="1">
      <alignment vertical="center"/>
    </xf>
    <xf numFmtId="0" fontId="44" fillId="0" borderId="0" xfId="0" applyFont="1" applyAlignment="1">
      <alignment vertical="center"/>
    </xf>
    <xf numFmtId="0" fontId="46" fillId="47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166" fontId="44" fillId="0" borderId="0" xfId="0" applyNumberFormat="1" applyFont="1" applyAlignment="1">
      <alignment vertical="center"/>
    </xf>
    <xf numFmtId="168" fontId="44" fillId="0" borderId="0" xfId="0" applyNumberFormat="1" applyFont="1" applyAlignment="1">
      <alignment vertical="center" wrapText="1"/>
    </xf>
    <xf numFmtId="0" fontId="43" fillId="0" borderId="0" xfId="0" applyFont="1" applyAlignment="1">
      <alignment vertical="center" wrapText="1"/>
    </xf>
    <xf numFmtId="10" fontId="44" fillId="0" borderId="0" xfId="0" applyNumberFormat="1" applyFont="1"/>
    <xf numFmtId="0" fontId="44" fillId="0" borderId="0" xfId="0" applyFont="1" applyAlignment="1">
      <alignment vertical="center" wrapText="1"/>
    </xf>
    <xf numFmtId="10" fontId="44" fillId="0" borderId="0" xfId="39" applyNumberFormat="1" applyFont="1" applyAlignment="1">
      <alignment vertical="center"/>
    </xf>
    <xf numFmtId="4" fontId="44" fillId="0" borderId="0" xfId="0" applyNumberFormat="1" applyFont="1" applyAlignment="1">
      <alignment vertical="center"/>
    </xf>
    <xf numFmtId="4" fontId="44" fillId="0" borderId="0" xfId="41" applyNumberFormat="1" applyFont="1" applyFill="1" applyAlignment="1">
      <alignment vertical="center"/>
    </xf>
    <xf numFmtId="166" fontId="43" fillId="0" borderId="0" xfId="0" applyNumberFormat="1" applyFont="1" applyAlignment="1">
      <alignment vertical="center"/>
    </xf>
    <xf numFmtId="41" fontId="44" fillId="0" borderId="0" xfId="0" applyNumberFormat="1" applyFont="1" applyAlignment="1">
      <alignment vertical="center"/>
    </xf>
    <xf numFmtId="3" fontId="43" fillId="0" borderId="0" xfId="39" applyNumberFormat="1" applyFont="1" applyFill="1" applyAlignment="1">
      <alignment vertical="center"/>
    </xf>
    <xf numFmtId="10" fontId="43" fillId="0" borderId="0" xfId="39" applyNumberFormat="1" applyFont="1" applyFill="1" applyAlignment="1">
      <alignment vertical="center"/>
    </xf>
    <xf numFmtId="41" fontId="43" fillId="0" borderId="0" xfId="0" applyNumberFormat="1" applyFont="1" applyAlignment="1">
      <alignment vertical="center"/>
    </xf>
    <xf numFmtId="4" fontId="44" fillId="0" borderId="0" xfId="39" applyNumberFormat="1" applyFont="1" applyFill="1" applyAlignment="1">
      <alignment vertical="center"/>
    </xf>
    <xf numFmtId="10" fontId="44" fillId="0" borderId="0" xfId="39" applyNumberFormat="1" applyFont="1" applyFill="1" applyAlignment="1">
      <alignment vertical="center"/>
    </xf>
    <xf numFmtId="41" fontId="33" fillId="0" borderId="0" xfId="0" applyNumberFormat="1" applyFont="1" applyAlignment="1">
      <alignment horizontal="right"/>
    </xf>
    <xf numFmtId="41" fontId="33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31" fillId="51" borderId="0" xfId="0" applyFont="1" applyFill="1"/>
    <xf numFmtId="0" fontId="0" fillId="51" borderId="0" xfId="0" applyFill="1"/>
    <xf numFmtId="0" fontId="25" fillId="0" borderId="0" xfId="0" applyFont="1" applyAlignment="1">
      <alignment horizontal="left" vertical="center" wrapText="1"/>
    </xf>
    <xf numFmtId="168" fontId="44" fillId="33" borderId="0" xfId="0" applyNumberFormat="1" applyFont="1" applyFill="1"/>
    <xf numFmtId="10" fontId="44" fillId="33" borderId="0" xfId="39" applyNumberFormat="1" applyFont="1" applyFill="1" applyAlignment="1">
      <alignment vertical="center"/>
    </xf>
    <xf numFmtId="4" fontId="44" fillId="33" borderId="0" xfId="0" applyNumberFormat="1" applyFont="1" applyFill="1" applyAlignment="1">
      <alignment vertical="center"/>
    </xf>
    <xf numFmtId="168" fontId="44" fillId="33" borderId="0" xfId="39" applyNumberFormat="1" applyFont="1" applyFill="1" applyAlignment="1">
      <alignment vertical="center"/>
    </xf>
    <xf numFmtId="3" fontId="43" fillId="33" borderId="0" xfId="39" applyNumberFormat="1" applyFont="1" applyFill="1" applyAlignment="1">
      <alignment vertical="center"/>
    </xf>
    <xf numFmtId="10" fontId="43" fillId="33" borderId="0" xfId="39" applyNumberFormat="1" applyFont="1" applyFill="1" applyAlignment="1">
      <alignment vertical="center"/>
    </xf>
    <xf numFmtId="166" fontId="43" fillId="33" borderId="0" xfId="0" applyNumberFormat="1" applyFont="1" applyFill="1" applyAlignment="1">
      <alignment vertical="center"/>
    </xf>
    <xf numFmtId="41" fontId="43" fillId="33" borderId="0" xfId="0" applyNumberFormat="1" applyFont="1" applyFill="1" applyAlignment="1">
      <alignment vertical="center"/>
    </xf>
    <xf numFmtId="4" fontId="43" fillId="33" borderId="0" xfId="0" applyNumberFormat="1" applyFont="1" applyFill="1" applyAlignment="1">
      <alignment vertical="center"/>
    </xf>
    <xf numFmtId="3" fontId="43" fillId="33" borderId="0" xfId="0" applyNumberFormat="1" applyFont="1" applyFill="1"/>
    <xf numFmtId="14" fontId="43" fillId="33" borderId="0" xfId="0" applyNumberFormat="1" applyFont="1" applyFill="1" applyAlignment="1">
      <alignment vertical="center"/>
    </xf>
    <xf numFmtId="3" fontId="47" fillId="33" borderId="0" xfId="0" applyNumberFormat="1" applyFont="1" applyFill="1"/>
    <xf numFmtId="4" fontId="47" fillId="33" borderId="0" xfId="0" applyNumberFormat="1" applyFont="1" applyFill="1" applyAlignment="1">
      <alignment vertical="center"/>
    </xf>
    <xf numFmtId="164" fontId="47" fillId="33" borderId="0" xfId="0" applyNumberFormat="1" applyFont="1" applyFill="1"/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te" xfId="37" xr:uid="{00000000-0005-0000-0000-000025000000}"/>
    <cellStyle name="Output" xfId="38" xr:uid="{00000000-0005-0000-0000-000026000000}"/>
    <cellStyle name="Porcentagem" xfId="39" builtinId="5"/>
    <cellStyle name="Title" xfId="40" xr:uid="{00000000-0005-0000-0000-000028000000}"/>
    <cellStyle name="Vírgula" xfId="41" builtinId="3"/>
    <cellStyle name="Vírgula 6" xfId="42" xr:uid="{00000000-0005-0000-0000-00002A000000}"/>
    <cellStyle name="Warning Text" xfId="43" xr:uid="{00000000-0005-0000-0000-00002B000000}"/>
  </cellStyles>
  <dxfs count="0"/>
  <tableStyles count="0" defaultTableStyle="TableStyleMedium2" defaultPivotStyle="PivotStyleLight16"/>
  <colors>
    <mruColors>
      <color rgb="FF3366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Resultados Valid Vis&#227;o 2022'!A1"/><Relationship Id="rId13" Type="http://schemas.openxmlformats.org/officeDocument/2006/relationships/image" Target="../media/image2.png"/><Relationship Id="rId3" Type="http://schemas.openxmlformats.org/officeDocument/2006/relationships/hyperlink" Target="#DRE!A1"/><Relationship Id="rId7" Type="http://schemas.openxmlformats.org/officeDocument/2006/relationships/hyperlink" Target="#'Resultados Valid Vis&#227;o 2021'!A1"/><Relationship Id="rId12" Type="http://schemas.openxmlformats.org/officeDocument/2006/relationships/hyperlink" Target="#'Margens E Indicadores'!A1"/><Relationship Id="rId2" Type="http://schemas.openxmlformats.org/officeDocument/2006/relationships/hyperlink" Target="#Balan&#231;o!A1"/><Relationship Id="rId1" Type="http://schemas.openxmlformats.org/officeDocument/2006/relationships/image" Target="../media/image1.png"/><Relationship Id="rId6" Type="http://schemas.openxmlformats.org/officeDocument/2006/relationships/hyperlink" Target="#'Resultados Valid Vis&#227;o at&#233; 2020'!A1"/><Relationship Id="rId11" Type="http://schemas.openxmlformats.org/officeDocument/2006/relationships/hyperlink" Target="#'DFC 17-24'!A1"/><Relationship Id="rId5" Type="http://schemas.openxmlformats.org/officeDocument/2006/relationships/hyperlink" Target="#'DFC 10-14'!A1"/><Relationship Id="rId10" Type="http://schemas.openxmlformats.org/officeDocument/2006/relationships/hyperlink" Target="#'DFC 16'!A1"/><Relationship Id="rId4" Type="http://schemas.openxmlformats.org/officeDocument/2006/relationships/hyperlink" Target="#'DRE Op Continuada'!A1"/><Relationship Id="rId9" Type="http://schemas.openxmlformats.org/officeDocument/2006/relationships/hyperlink" Target="#'DFC 15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lanilha1!A1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u!A1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u!A1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lanilha1!A1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lanilha1!A1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lanilha1!A1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image" Target="../media/image3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lanilha1!A1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lanilha1!A1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u!A1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0</xdr:rowOff>
    </xdr:from>
    <xdr:to>
      <xdr:col>9</xdr:col>
      <xdr:colOff>133350</xdr:colOff>
      <xdr:row>8</xdr:row>
      <xdr:rowOff>28575</xdr:rowOff>
    </xdr:to>
    <xdr:pic>
      <xdr:nvPicPr>
        <xdr:cNvPr id="22612" name="Imagem 11" descr="Ícone&#10;&#10;Descrição gerada automaticamente">
          <a:extLst>
            <a:ext uri="{FF2B5EF4-FFF2-40B4-BE49-F238E27FC236}">
              <a16:creationId xmlns:a16="http://schemas.microsoft.com/office/drawing/2014/main" id="{52404125-6B4F-0892-65D7-649770918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67"/>
        <a:stretch>
          <a:fillRect/>
        </a:stretch>
      </xdr:blipFill>
      <xdr:spPr bwMode="auto">
        <a:xfrm>
          <a:off x="3409950" y="0"/>
          <a:ext cx="22098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179063</xdr:colOff>
      <xdr:row>2</xdr:row>
      <xdr:rowOff>316</xdr:rowOff>
    </xdr:from>
    <xdr:ext cx="5155835" cy="64633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F78DFBA0-C470-3DBE-FBAE-84454D1914CE}"/>
            </a:ext>
          </a:extLst>
        </xdr:cNvPr>
        <xdr:cNvSpPr txBox="1"/>
      </xdr:nvSpPr>
      <xdr:spPr>
        <a:xfrm>
          <a:off x="5644032" y="381316"/>
          <a:ext cx="5155835" cy="646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3600" b="1">
              <a:solidFill>
                <a:schemeClr val="bg1"/>
              </a:solidFill>
              <a:latin typeface="Fractul" panose="02000500000000000000" pitchFamily="50" charset="0"/>
            </a:rPr>
            <a:t>Planilha Dinâmica 2T24</a:t>
          </a:r>
        </a:p>
      </xdr:txBody>
    </xdr:sp>
    <xdr:clientData/>
  </xdr:oneCellAnchor>
  <xdr:twoCellAnchor>
    <xdr:from>
      <xdr:col>0</xdr:col>
      <xdr:colOff>555765</xdr:colOff>
      <xdr:row>9</xdr:row>
      <xdr:rowOff>83617</xdr:rowOff>
    </xdr:from>
    <xdr:to>
      <xdr:col>4</xdr:col>
      <xdr:colOff>576572</xdr:colOff>
      <xdr:row>13</xdr:row>
      <xdr:rowOff>13270</xdr:rowOff>
    </xdr:to>
    <xdr:sp macro="" textlink="">
      <xdr:nvSpPr>
        <xdr:cNvPr id="5" name="Retângulo de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773108-090F-63AF-554C-D25C9B8113CB}"/>
            </a:ext>
          </a:extLst>
        </xdr:cNvPr>
        <xdr:cNvSpPr/>
      </xdr:nvSpPr>
      <xdr:spPr>
        <a:xfrm>
          <a:off x="577990" y="1726680"/>
          <a:ext cx="2592557" cy="659903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Balanço</a:t>
          </a:r>
          <a:r>
            <a:rPr lang="pt-BR" sz="1300" b="1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 Patrimonial</a:t>
          </a:r>
          <a:endParaRPr lang="pt-BR" sz="1300" b="1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5</xdr:col>
      <xdr:colOff>326416</xdr:colOff>
      <xdr:row>14</xdr:row>
      <xdr:rowOff>20114</xdr:rowOff>
    </xdr:from>
    <xdr:to>
      <xdr:col>9</xdr:col>
      <xdr:colOff>341075</xdr:colOff>
      <xdr:row>17</xdr:row>
      <xdr:rowOff>138675</xdr:rowOff>
    </xdr:to>
    <xdr:sp macro="" textlink="">
      <xdr:nvSpPr>
        <xdr:cNvPr id="6" name="Retângulo de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382965F-43A9-710F-BCB1-62640BA3B0AC}"/>
            </a:ext>
          </a:extLst>
        </xdr:cNvPr>
        <xdr:cNvSpPr/>
      </xdr:nvSpPr>
      <xdr:spPr>
        <a:xfrm>
          <a:off x="3560154" y="2575989"/>
          <a:ext cx="2573678" cy="666249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Demonstração</a:t>
          </a:r>
          <a:r>
            <a:rPr lang="pt-BR" sz="1300" b="1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 de Resultado</a:t>
          </a:r>
          <a:endParaRPr lang="pt-BR" sz="1300" b="1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5</xdr:col>
      <xdr:colOff>303714</xdr:colOff>
      <xdr:row>9</xdr:row>
      <xdr:rowOff>98747</xdr:rowOff>
    </xdr:from>
    <xdr:to>
      <xdr:col>9</xdr:col>
      <xdr:colOff>325029</xdr:colOff>
      <xdr:row>13</xdr:row>
      <xdr:rowOff>95293</xdr:rowOff>
    </xdr:to>
    <xdr:sp macro="" textlink="">
      <xdr:nvSpPr>
        <xdr:cNvPr id="7" name="Retângulo de cantos arredondado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4252B00-C2DE-3C38-35AF-60201C33522A}"/>
            </a:ext>
          </a:extLst>
        </xdr:cNvPr>
        <xdr:cNvSpPr/>
      </xdr:nvSpPr>
      <xdr:spPr>
        <a:xfrm>
          <a:off x="3534277" y="1732285"/>
          <a:ext cx="2586694" cy="736278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Demonstração</a:t>
          </a:r>
          <a:r>
            <a:rPr lang="pt-BR" sz="1300" b="1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 de Resultado</a:t>
          </a:r>
        </a:p>
        <a:p>
          <a:pPr algn="ctr"/>
          <a:r>
            <a:rPr lang="pt-BR" sz="11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(apenas operações continuadas)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53674</xdr:colOff>
      <xdr:row>9</xdr:row>
      <xdr:rowOff>99490</xdr:rowOff>
    </xdr:from>
    <xdr:to>
      <xdr:col>14</xdr:col>
      <xdr:colOff>221844</xdr:colOff>
      <xdr:row>13</xdr:row>
      <xdr:rowOff>29143</xdr:rowOff>
    </xdr:to>
    <xdr:sp macro="" textlink="">
      <xdr:nvSpPr>
        <xdr:cNvPr id="8" name="Retângulo de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DED2DD0-E74D-C3F6-A985-D32DDE528893}"/>
            </a:ext>
          </a:extLst>
        </xdr:cNvPr>
        <xdr:cNvSpPr/>
      </xdr:nvSpPr>
      <xdr:spPr>
        <a:xfrm>
          <a:off x="6483049" y="1742553"/>
          <a:ext cx="2733491" cy="659903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Demonstração</a:t>
          </a:r>
          <a:r>
            <a:rPr lang="pt-BR" sz="1300" b="1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 Fluxo de Caixa</a:t>
          </a:r>
        </a:p>
        <a:p>
          <a:pPr algn="ctr"/>
          <a:r>
            <a:rPr lang="pt-BR" sz="11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(2010-2014)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577231</xdr:colOff>
      <xdr:row>19</xdr:row>
      <xdr:rowOff>8208</xdr:rowOff>
    </xdr:from>
    <xdr:to>
      <xdr:col>19</xdr:col>
      <xdr:colOff>173324</xdr:colOff>
      <xdr:row>23</xdr:row>
      <xdr:rowOff>154781</xdr:rowOff>
    </xdr:to>
    <xdr:sp macro="" textlink="">
      <xdr:nvSpPr>
        <xdr:cNvPr id="9" name="Retângulo de cantos arredondados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A2AE263-8FF5-6D6C-F9E8-2A07A4D17E94}"/>
            </a:ext>
          </a:extLst>
        </xdr:cNvPr>
        <xdr:cNvSpPr/>
      </xdr:nvSpPr>
      <xdr:spPr>
        <a:xfrm>
          <a:off x="9078294" y="3627708"/>
          <a:ext cx="2632186" cy="908573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Resultado</a:t>
          </a:r>
          <a:r>
            <a:rPr lang="pt-BR" sz="1300" b="1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 Unidades de Negócio</a:t>
          </a:r>
        </a:p>
        <a:p>
          <a:pPr algn="ctr"/>
          <a:r>
            <a:rPr lang="pt-BR" sz="12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(visão até 2020)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590194</xdr:colOff>
      <xdr:row>14</xdr:row>
      <xdr:rowOff>1909</xdr:rowOff>
    </xdr:from>
    <xdr:to>
      <xdr:col>19</xdr:col>
      <xdr:colOff>205021</xdr:colOff>
      <xdr:row>18</xdr:row>
      <xdr:rowOff>83344</xdr:rowOff>
    </xdr:to>
    <xdr:sp macro="" textlink="">
      <xdr:nvSpPr>
        <xdr:cNvPr id="10" name="Retângulo de cantos arredondados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F85F183-BD10-42E4-891C-137167C4FFE0}"/>
            </a:ext>
          </a:extLst>
        </xdr:cNvPr>
        <xdr:cNvSpPr/>
      </xdr:nvSpPr>
      <xdr:spPr>
        <a:xfrm>
          <a:off x="9091257" y="2668909"/>
          <a:ext cx="2650920" cy="843435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Resultado</a:t>
          </a:r>
          <a:r>
            <a:rPr lang="pt-BR" sz="1300" b="1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 Unidades de Negócio</a:t>
          </a:r>
        </a:p>
        <a:p>
          <a:pPr algn="ctr"/>
          <a:r>
            <a:rPr lang="pt-BR" sz="12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(visão 2021)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15</xdr:col>
      <xdr:colOff>24992</xdr:colOff>
      <xdr:row>9</xdr:row>
      <xdr:rowOff>12314</xdr:rowOff>
    </xdr:from>
    <xdr:to>
      <xdr:col>19</xdr:col>
      <xdr:colOff>214280</xdr:colOff>
      <xdr:row>13</xdr:row>
      <xdr:rowOff>11905</xdr:rowOff>
    </xdr:to>
    <xdr:sp macro="" textlink="">
      <xdr:nvSpPr>
        <xdr:cNvPr id="11" name="Retângulo de cantos arredondados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587FFFA-08C7-320D-FD2D-404C63B89760}"/>
            </a:ext>
          </a:extLst>
        </xdr:cNvPr>
        <xdr:cNvSpPr/>
      </xdr:nvSpPr>
      <xdr:spPr>
        <a:xfrm>
          <a:off x="9133273" y="1726814"/>
          <a:ext cx="2618163" cy="761591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Resultado</a:t>
          </a:r>
          <a:r>
            <a:rPr lang="pt-BR" sz="1300" b="1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 Unidades de Negócio</a:t>
          </a:r>
        </a:p>
        <a:p>
          <a:pPr algn="ctr"/>
          <a:r>
            <a:rPr lang="pt-BR" sz="12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(visão 2023)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53674</xdr:colOff>
      <xdr:row>14</xdr:row>
      <xdr:rowOff>57473</xdr:rowOff>
    </xdr:from>
    <xdr:to>
      <xdr:col>14</xdr:col>
      <xdr:colOff>221844</xdr:colOff>
      <xdr:row>17</xdr:row>
      <xdr:rowOff>160112</xdr:rowOff>
    </xdr:to>
    <xdr:sp macro="" textlink="">
      <xdr:nvSpPr>
        <xdr:cNvPr id="12" name="Retângulo de cantos arredondados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27BD5F0-65EF-6079-F196-CE23D801CB2A}"/>
            </a:ext>
          </a:extLst>
        </xdr:cNvPr>
        <xdr:cNvSpPr/>
      </xdr:nvSpPr>
      <xdr:spPr>
        <a:xfrm>
          <a:off x="6483049" y="2613348"/>
          <a:ext cx="2733491" cy="637654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Demonstração</a:t>
          </a:r>
          <a:r>
            <a:rPr lang="pt-BR" sz="1300" b="1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 Fluxo de Caixa</a:t>
          </a:r>
        </a:p>
        <a:p>
          <a:pPr algn="ctr"/>
          <a:r>
            <a:rPr lang="pt-BR" sz="11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(2015)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53674</xdr:colOff>
      <xdr:row>18</xdr:row>
      <xdr:rowOff>178209</xdr:rowOff>
    </xdr:from>
    <xdr:to>
      <xdr:col>14</xdr:col>
      <xdr:colOff>221844</xdr:colOff>
      <xdr:row>22</xdr:row>
      <xdr:rowOff>96494</xdr:rowOff>
    </xdr:to>
    <xdr:sp macro="" textlink="">
      <xdr:nvSpPr>
        <xdr:cNvPr id="13" name="Retângulo de cantos arredondados 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02AADAE-0ED8-AF7B-685A-FBBAA5B0A11D}"/>
            </a:ext>
          </a:extLst>
        </xdr:cNvPr>
        <xdr:cNvSpPr/>
      </xdr:nvSpPr>
      <xdr:spPr>
        <a:xfrm>
          <a:off x="6483049" y="3451634"/>
          <a:ext cx="2733491" cy="651788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Demonstração</a:t>
          </a:r>
          <a:r>
            <a:rPr lang="pt-BR" sz="1300" b="1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 Fluxo de Caixa</a:t>
          </a:r>
        </a:p>
        <a:p>
          <a:pPr algn="ctr"/>
          <a:r>
            <a:rPr lang="pt-BR" sz="11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(2016)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53674</xdr:colOff>
      <xdr:row>23</xdr:row>
      <xdr:rowOff>96363</xdr:rowOff>
    </xdr:from>
    <xdr:to>
      <xdr:col>14</xdr:col>
      <xdr:colOff>221844</xdr:colOff>
      <xdr:row>27</xdr:row>
      <xdr:rowOff>22481</xdr:rowOff>
    </xdr:to>
    <xdr:sp macro="" textlink="">
      <xdr:nvSpPr>
        <xdr:cNvPr id="14" name="Retângulo de cantos arredondados 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B0EB1FC-9352-2561-CDE6-7F1F6ADBCD20}"/>
            </a:ext>
          </a:extLst>
        </xdr:cNvPr>
        <xdr:cNvSpPr/>
      </xdr:nvSpPr>
      <xdr:spPr>
        <a:xfrm>
          <a:off x="6483049" y="4295301"/>
          <a:ext cx="2733491" cy="656368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Demonstração</a:t>
          </a:r>
          <a:r>
            <a:rPr lang="pt-BR" sz="1300" b="1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 Fluxo de Caixa</a:t>
          </a:r>
        </a:p>
        <a:p>
          <a:pPr algn="ctr"/>
          <a:r>
            <a:rPr lang="pt-BR" sz="11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(2017-2024)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5</xdr:col>
      <xdr:colOff>326416</xdr:colOff>
      <xdr:row>18</xdr:row>
      <xdr:rowOff>115887</xdr:rowOff>
    </xdr:from>
    <xdr:to>
      <xdr:col>9</xdr:col>
      <xdr:colOff>343779</xdr:colOff>
      <xdr:row>22</xdr:row>
      <xdr:rowOff>24700</xdr:rowOff>
    </xdr:to>
    <xdr:sp macro="" textlink="">
      <xdr:nvSpPr>
        <xdr:cNvPr id="15" name="Retângulo de cantos arredondados 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88A5AC36-9176-2CDF-D76F-BDA85C628A5F}"/>
            </a:ext>
          </a:extLst>
        </xdr:cNvPr>
        <xdr:cNvSpPr/>
      </xdr:nvSpPr>
      <xdr:spPr>
        <a:xfrm>
          <a:off x="3560154" y="3405187"/>
          <a:ext cx="2589113" cy="635857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Margens e Indicadores </a:t>
          </a:r>
        </a:p>
      </xdr:txBody>
    </xdr:sp>
    <xdr:clientData/>
  </xdr:twoCellAnchor>
  <xdr:twoCellAnchor editAs="oneCell">
    <xdr:from>
      <xdr:col>1</xdr:col>
      <xdr:colOff>83343</xdr:colOff>
      <xdr:row>1</xdr:row>
      <xdr:rowOff>130968</xdr:rowOff>
    </xdr:from>
    <xdr:to>
      <xdr:col>4</xdr:col>
      <xdr:colOff>309563</xdr:colOff>
      <xdr:row>6</xdr:row>
      <xdr:rowOff>83343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FEC99D1-7EA5-4DA8-CA4A-01A408F11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duotone>
            <a:prstClr val="black"/>
            <a:schemeClr val="bg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" y="321468"/>
          <a:ext cx="2047876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85725</xdr:rowOff>
    </xdr:from>
    <xdr:to>
      <xdr:col>1</xdr:col>
      <xdr:colOff>3257550</xdr:colOff>
      <xdr:row>4</xdr:row>
      <xdr:rowOff>28575</xdr:rowOff>
    </xdr:to>
    <xdr:pic>
      <xdr:nvPicPr>
        <xdr:cNvPr id="5516" name="Imagem 2">
          <a:extLst>
            <a:ext uri="{FF2B5EF4-FFF2-40B4-BE49-F238E27FC236}">
              <a16:creationId xmlns:a16="http://schemas.microsoft.com/office/drawing/2014/main" id="{0516F9B9-C690-2316-F2FA-4DB8DB2C2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0"/>
          <a:ext cx="3219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613199</xdr:colOff>
      <xdr:row>1</xdr:row>
      <xdr:rowOff>74083</xdr:rowOff>
    </xdr:from>
    <xdr:to>
      <xdr:col>62</xdr:col>
      <xdr:colOff>634536</xdr:colOff>
      <xdr:row>5</xdr:row>
      <xdr:rowOff>78783</xdr:rowOff>
    </xdr:to>
    <xdr:pic>
      <xdr:nvPicPr>
        <xdr:cNvPr id="9" name="Imagem 8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A9DFBE4-2F9F-AB44-A39A-24A3A057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832667" y="179916"/>
          <a:ext cx="730250" cy="71478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85725</xdr:rowOff>
    </xdr:from>
    <xdr:to>
      <xdr:col>1</xdr:col>
      <xdr:colOff>3343275</xdr:colOff>
      <xdr:row>4</xdr:row>
      <xdr:rowOff>28575</xdr:rowOff>
    </xdr:to>
    <xdr:pic>
      <xdr:nvPicPr>
        <xdr:cNvPr id="2685" name="Imagem 2">
          <a:extLst>
            <a:ext uri="{FF2B5EF4-FFF2-40B4-BE49-F238E27FC236}">
              <a16:creationId xmlns:a16="http://schemas.microsoft.com/office/drawing/2014/main" id="{BA6F7737-F333-8839-2196-AE592E22D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00"/>
          <a:ext cx="3228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92499</xdr:colOff>
      <xdr:row>2</xdr:row>
      <xdr:rowOff>1905</xdr:rowOff>
    </xdr:from>
    <xdr:to>
      <xdr:col>62</xdr:col>
      <xdr:colOff>802708</xdr:colOff>
      <xdr:row>5</xdr:row>
      <xdr:rowOff>174789</xdr:rowOff>
    </xdr:to>
    <xdr:pic>
      <xdr:nvPicPr>
        <xdr:cNvPr id="7" name="Imagem 6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BCCCEC-6440-E16F-9E54-4E0E41172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64832" y="298238"/>
          <a:ext cx="710209" cy="744384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0</xdr:rowOff>
    </xdr:from>
    <xdr:to>
      <xdr:col>1</xdr:col>
      <xdr:colOff>3228975</xdr:colOff>
      <xdr:row>4</xdr:row>
      <xdr:rowOff>85725</xdr:rowOff>
    </xdr:to>
    <xdr:pic>
      <xdr:nvPicPr>
        <xdr:cNvPr id="6599" name="Imagem 2">
          <a:extLst>
            <a:ext uri="{FF2B5EF4-FFF2-40B4-BE49-F238E27FC236}">
              <a16:creationId xmlns:a16="http://schemas.microsoft.com/office/drawing/2014/main" id="{31F7E0C5-DAEF-567D-4693-E688C86CB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95275"/>
          <a:ext cx="32194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193675</xdr:colOff>
      <xdr:row>1</xdr:row>
      <xdr:rowOff>101600</xdr:rowOff>
    </xdr:from>
    <xdr:to>
      <xdr:col>3</xdr:col>
      <xdr:colOff>56558</xdr:colOff>
      <xdr:row>5</xdr:row>
      <xdr:rowOff>20260</xdr:rowOff>
    </xdr:to>
    <xdr:pic>
      <xdr:nvPicPr>
        <xdr:cNvPr id="9" name="Imagem 8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C62D35-9435-93CA-051A-CCC21ED4C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48100" y="190500"/>
          <a:ext cx="726572" cy="68066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160345</xdr:colOff>
      <xdr:row>0</xdr:row>
      <xdr:rowOff>75988</xdr:rowOff>
    </xdr:from>
    <xdr:to>
      <xdr:col>17</xdr:col>
      <xdr:colOff>17395</xdr:colOff>
      <xdr:row>5</xdr:row>
      <xdr:rowOff>14415</xdr:rowOff>
    </xdr:to>
    <xdr:pic>
      <xdr:nvPicPr>
        <xdr:cNvPr id="3" name="Imagem 2" descr="Seta Para A Esquerda O Símbolo ícone Preto PNG , Seta, Direcção, Seta  Imagem PNG e Vetor Para Download Gratui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934477-DA0D-0542-D0EC-F5BE32F06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75008" y="82338"/>
          <a:ext cx="793750" cy="671724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47625</xdr:colOff>
      <xdr:row>1</xdr:row>
      <xdr:rowOff>114300</xdr:rowOff>
    </xdr:from>
    <xdr:to>
      <xdr:col>3</xdr:col>
      <xdr:colOff>828675</xdr:colOff>
      <xdr:row>4</xdr:row>
      <xdr:rowOff>76200</xdr:rowOff>
    </xdr:to>
    <xdr:pic>
      <xdr:nvPicPr>
        <xdr:cNvPr id="19566" name="Imagem 2">
          <a:extLst>
            <a:ext uri="{FF2B5EF4-FFF2-40B4-BE49-F238E27FC236}">
              <a16:creationId xmlns:a16="http://schemas.microsoft.com/office/drawing/2014/main" id="{5760544A-1E6D-C3BF-1BFD-C93784590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19075"/>
          <a:ext cx="3209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123825</xdr:rowOff>
    </xdr:from>
    <xdr:to>
      <xdr:col>1</xdr:col>
      <xdr:colOff>3419475</xdr:colOff>
      <xdr:row>4</xdr:row>
      <xdr:rowOff>57150</xdr:rowOff>
    </xdr:to>
    <xdr:pic>
      <xdr:nvPicPr>
        <xdr:cNvPr id="10634" name="Imagem 2">
          <a:extLst>
            <a:ext uri="{FF2B5EF4-FFF2-40B4-BE49-F238E27FC236}">
              <a16:creationId xmlns:a16="http://schemas.microsoft.com/office/drawing/2014/main" id="{CEDE099C-A08A-BDCF-30A2-3492B2106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28600"/>
          <a:ext cx="32004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583564</xdr:colOff>
      <xdr:row>1</xdr:row>
      <xdr:rowOff>2963</xdr:rowOff>
    </xdr:from>
    <xdr:to>
      <xdr:col>26</xdr:col>
      <xdr:colOff>606004</xdr:colOff>
      <xdr:row>5</xdr:row>
      <xdr:rowOff>18554</xdr:rowOff>
    </xdr:to>
    <xdr:pic>
      <xdr:nvPicPr>
        <xdr:cNvPr id="9" name="Imagem 8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57D978-A0AF-0930-B13B-636F70574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006166" y="116416"/>
          <a:ext cx="730250" cy="71478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2</xdr:row>
      <xdr:rowOff>9525</xdr:rowOff>
    </xdr:from>
    <xdr:to>
      <xdr:col>1</xdr:col>
      <xdr:colOff>3438525</xdr:colOff>
      <xdr:row>4</xdr:row>
      <xdr:rowOff>133350</xdr:rowOff>
    </xdr:to>
    <xdr:pic>
      <xdr:nvPicPr>
        <xdr:cNvPr id="9610" name="Imagem 3">
          <a:extLst>
            <a:ext uri="{FF2B5EF4-FFF2-40B4-BE49-F238E27FC236}">
              <a16:creationId xmlns:a16="http://schemas.microsoft.com/office/drawing/2014/main" id="{577FC36F-8982-28C7-7825-31A1BA29D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04800"/>
          <a:ext cx="3219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553932</xdr:colOff>
      <xdr:row>1</xdr:row>
      <xdr:rowOff>73872</xdr:rowOff>
    </xdr:from>
    <xdr:to>
      <xdr:col>7</xdr:col>
      <xdr:colOff>2322</xdr:colOff>
      <xdr:row>5</xdr:row>
      <xdr:rowOff>73576</xdr:rowOff>
    </xdr:to>
    <xdr:pic>
      <xdr:nvPicPr>
        <xdr:cNvPr id="10" name="Imagem 9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67B1E1-BF74-782E-257D-92DC7701C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74417" y="158750"/>
          <a:ext cx="730250" cy="71478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</xdr:row>
      <xdr:rowOff>180975</xdr:rowOff>
    </xdr:from>
    <xdr:to>
      <xdr:col>1</xdr:col>
      <xdr:colOff>3467100</xdr:colOff>
      <xdr:row>4</xdr:row>
      <xdr:rowOff>114300</xdr:rowOff>
    </xdr:to>
    <xdr:pic>
      <xdr:nvPicPr>
        <xdr:cNvPr id="8586" name="Imagem 2">
          <a:extLst>
            <a:ext uri="{FF2B5EF4-FFF2-40B4-BE49-F238E27FC236}">
              <a16:creationId xmlns:a16="http://schemas.microsoft.com/office/drawing/2014/main" id="{5FE678BE-5C8B-2A30-3BE4-28AFF9F7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85750"/>
          <a:ext cx="32004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559434</xdr:colOff>
      <xdr:row>1</xdr:row>
      <xdr:rowOff>82339</xdr:rowOff>
    </xdr:from>
    <xdr:to>
      <xdr:col>7</xdr:col>
      <xdr:colOff>654070</xdr:colOff>
      <xdr:row>5</xdr:row>
      <xdr:rowOff>37805</xdr:rowOff>
    </xdr:to>
    <xdr:pic>
      <xdr:nvPicPr>
        <xdr:cNvPr id="9" name="Imagem 8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BE1A8A3-BBAA-1ED1-7EEE-CB33FF2F9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49" y="148167"/>
          <a:ext cx="730250" cy="71478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9525</xdr:rowOff>
    </xdr:from>
    <xdr:to>
      <xdr:col>1</xdr:col>
      <xdr:colOff>2038350</xdr:colOff>
      <xdr:row>6</xdr:row>
      <xdr:rowOff>57150</xdr:rowOff>
    </xdr:to>
    <xdr:pic>
      <xdr:nvPicPr>
        <xdr:cNvPr id="7760" name="Imagem 2">
          <a:extLst>
            <a:ext uri="{FF2B5EF4-FFF2-40B4-BE49-F238E27FC236}">
              <a16:creationId xmlns:a16="http://schemas.microsoft.com/office/drawing/2014/main" id="{220AB4EC-B4EF-4CFF-C7C8-F56A8BCB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525"/>
          <a:ext cx="17716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6</xdr:row>
      <xdr:rowOff>161925</xdr:rowOff>
    </xdr:from>
    <xdr:to>
      <xdr:col>1</xdr:col>
      <xdr:colOff>3400425</xdr:colOff>
      <xdr:row>9</xdr:row>
      <xdr:rowOff>104775</xdr:rowOff>
    </xdr:to>
    <xdr:pic>
      <xdr:nvPicPr>
        <xdr:cNvPr id="7761" name="Imagem 3">
          <a:extLst>
            <a:ext uri="{FF2B5EF4-FFF2-40B4-BE49-F238E27FC236}">
              <a16:creationId xmlns:a16="http://schemas.microsoft.com/office/drawing/2014/main" id="{EA5315CE-156D-A27F-0F40-85620BCDD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19200"/>
          <a:ext cx="3228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221827</xdr:colOff>
      <xdr:row>6</xdr:row>
      <xdr:rowOff>61383</xdr:rowOff>
    </xdr:from>
    <xdr:to>
      <xdr:col>36</xdr:col>
      <xdr:colOff>920180</xdr:colOff>
      <xdr:row>9</xdr:row>
      <xdr:rowOff>242797</xdr:rowOff>
    </xdr:to>
    <xdr:pic>
      <xdr:nvPicPr>
        <xdr:cNvPr id="10" name="Imagem 9" descr="Seta Para A Esquerda O Símbolo ícone Preto PNG , Seta, Direcção, Seta  Imagem PNG e Vetor Para Download Gratuit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719C791-8895-504C-79AB-C6B2E8A2C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1949602" y="1118658"/>
          <a:ext cx="698353" cy="752914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11</xdr:col>
      <xdr:colOff>57150</xdr:colOff>
      <xdr:row>4</xdr:row>
      <xdr:rowOff>123825</xdr:rowOff>
    </xdr:to>
    <xdr:pic>
      <xdr:nvPicPr>
        <xdr:cNvPr id="11658" name="Imagem 2">
          <a:extLst>
            <a:ext uri="{FF2B5EF4-FFF2-40B4-BE49-F238E27FC236}">
              <a16:creationId xmlns:a16="http://schemas.microsoft.com/office/drawing/2014/main" id="{BDDAE370-4086-4655-55BA-647D4410A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95275"/>
          <a:ext cx="3209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688339</xdr:colOff>
      <xdr:row>1</xdr:row>
      <xdr:rowOff>2963</xdr:rowOff>
    </xdr:from>
    <xdr:to>
      <xdr:col>57</xdr:col>
      <xdr:colOff>684491</xdr:colOff>
      <xdr:row>5</xdr:row>
      <xdr:rowOff>18554</xdr:rowOff>
    </xdr:to>
    <xdr:pic>
      <xdr:nvPicPr>
        <xdr:cNvPr id="9" name="Imagem 8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DF5112-4BE2-7A18-D570-F512345B5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483416" y="116416"/>
          <a:ext cx="730250" cy="71478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390525</xdr:colOff>
      <xdr:row>4</xdr:row>
      <xdr:rowOff>123825</xdr:rowOff>
    </xdr:to>
    <xdr:pic>
      <xdr:nvPicPr>
        <xdr:cNvPr id="12682" name="Imagem 2">
          <a:extLst>
            <a:ext uri="{FF2B5EF4-FFF2-40B4-BE49-F238E27FC236}">
              <a16:creationId xmlns:a16="http://schemas.microsoft.com/office/drawing/2014/main" id="{D15683D2-D641-6FF5-BC30-7EA94B72B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95275"/>
          <a:ext cx="3209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39370</xdr:colOff>
      <xdr:row>1</xdr:row>
      <xdr:rowOff>73872</xdr:rowOff>
    </xdr:from>
    <xdr:to>
      <xdr:col>32</xdr:col>
      <xdr:colOff>722771</xdr:colOff>
      <xdr:row>5</xdr:row>
      <xdr:rowOff>73576</xdr:rowOff>
    </xdr:to>
    <xdr:pic>
      <xdr:nvPicPr>
        <xdr:cNvPr id="9" name="Imagem 8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37A005C-699B-32F3-C241-6EFD6647A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28250" y="158750"/>
          <a:ext cx="730250" cy="71478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123825</xdr:rowOff>
    </xdr:from>
    <xdr:to>
      <xdr:col>2</xdr:col>
      <xdr:colOff>0</xdr:colOff>
      <xdr:row>4</xdr:row>
      <xdr:rowOff>57150</xdr:rowOff>
    </xdr:to>
    <xdr:pic>
      <xdr:nvPicPr>
        <xdr:cNvPr id="13764" name="Imagem 2">
          <a:extLst>
            <a:ext uri="{FF2B5EF4-FFF2-40B4-BE49-F238E27FC236}">
              <a16:creationId xmlns:a16="http://schemas.microsoft.com/office/drawing/2014/main" id="{6FC54408-6632-CEA8-907D-355565155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28600"/>
          <a:ext cx="3209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33866</xdr:colOff>
      <xdr:row>1</xdr:row>
      <xdr:rowOff>54822</xdr:rowOff>
    </xdr:from>
    <xdr:to>
      <xdr:col>13</xdr:col>
      <xdr:colOff>742703</xdr:colOff>
      <xdr:row>5</xdr:row>
      <xdr:rowOff>37268</xdr:rowOff>
    </xdr:to>
    <xdr:pic>
      <xdr:nvPicPr>
        <xdr:cNvPr id="9" name="Imagem 8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DCC370-4680-7A2F-31D7-63918050E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77416" y="158750"/>
          <a:ext cx="730250" cy="71478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GERENCIAL\Dados%20Financeiros%20e%20Operacionais\Hist&#243;rico%20resultados\Port\Resultados%20Compilados%202T24.xls" TargetMode="External"/><Relationship Id="rId1" Type="http://schemas.openxmlformats.org/officeDocument/2006/relationships/externalLinkPath" Target="Resultados%20Compilados%202T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DRE"/>
      <sheetName val="Balanço"/>
      <sheetName val="DRE Op Continuada"/>
      <sheetName val="Margens E Indicadores"/>
      <sheetName val="DFC 10-14"/>
      <sheetName val="DFC 15"/>
      <sheetName val="DFC 16"/>
      <sheetName val="DFC 17-24"/>
      <sheetName val="Resultados Valid Visão até 2020"/>
      <sheetName val="Resultados Valid Visão 2021"/>
      <sheetName val="Resultados Valid Visão 2022"/>
    </sheetNames>
    <sheetDataSet>
      <sheetData sheetId="0" refreshError="1"/>
      <sheetData sheetId="1" refreshError="1"/>
      <sheetData sheetId="2">
        <row r="22">
          <cell r="BK22">
            <v>1415035</v>
          </cell>
        </row>
        <row r="25">
          <cell r="BK25">
            <v>4275</v>
          </cell>
        </row>
        <row r="50">
          <cell r="BK50">
            <v>104185</v>
          </cell>
        </row>
        <row r="59">
          <cell r="BK59">
            <v>454950</v>
          </cell>
        </row>
        <row r="63">
          <cell r="BK63">
            <v>493485</v>
          </cell>
        </row>
        <row r="84">
          <cell r="BK84">
            <v>1680279</v>
          </cell>
        </row>
      </sheetData>
      <sheetData sheetId="3">
        <row r="9">
          <cell r="S9">
            <v>518153</v>
          </cell>
        </row>
        <row r="11">
          <cell r="S11">
            <v>189438.41000000003</v>
          </cell>
        </row>
        <row r="20">
          <cell r="S20">
            <v>104203.41000000003</v>
          </cell>
        </row>
        <row r="42">
          <cell r="R42">
            <v>147874</v>
          </cell>
          <cell r="S42">
            <v>79635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1">
          <cell r="AK11" t="str">
            <v>2T24 IFRS16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T1"/>
  <sheetViews>
    <sheetView showGridLines="0" showRowColHeaders="0" tabSelected="1" zoomScale="80" zoomScaleNormal="80" workbookViewId="0">
      <selection activeCell="V8" sqref="V8"/>
    </sheetView>
  </sheetViews>
  <sheetFormatPr defaultRowHeight="15" x14ac:dyDescent="0.25"/>
  <cols>
    <col min="1" max="20" width="9.140625" style="178" customWidth="1"/>
    <col min="21" max="16384" width="9.140625" style="179"/>
  </cols>
  <sheetData/>
  <pageMargins left="0.511811024" right="0.511811024" top="0.78740157499999996" bottom="0.78740157499999996" header="0.31496062000000002" footer="0.31496062000000002"/>
  <pageSetup paperSize="9" orientation="portrait" horizontalDpi="4294967292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/>
  <dimension ref="A1:BM98"/>
  <sheetViews>
    <sheetView showGridLines="0" zoomScaleNormal="100" workbookViewId="0">
      <pane xSplit="2" ySplit="7" topLeftCell="BC8" activePane="bottomRight" state="frozen"/>
      <selection activeCell="R26" sqref="R26"/>
      <selection pane="topRight" activeCell="R26" sqref="R26"/>
      <selection pane="bottomLeft" activeCell="R26" sqref="R26"/>
      <selection pane="bottomRight" activeCell="BM1" sqref="BL1:BM1048576"/>
    </sheetView>
  </sheetViews>
  <sheetFormatPr defaultRowHeight="15" outlineLevelCol="1" x14ac:dyDescent="0.25"/>
  <cols>
    <col min="1" max="1" width="1.5703125" style="1" customWidth="1"/>
    <col min="2" max="2" width="50.5703125" style="6" bestFit="1" customWidth="1"/>
    <col min="3" max="6" width="11.42578125" style="6" hidden="1" customWidth="1" outlineLevel="1"/>
    <col min="7" max="7" width="11.42578125" style="32" customWidth="1" collapsed="1"/>
    <col min="8" max="11" width="11.42578125" style="32" hidden="1" customWidth="1" outlineLevel="1"/>
    <col min="12" max="12" width="11.42578125" style="32" customWidth="1" collapsed="1"/>
    <col min="13" max="16" width="11.42578125" style="32" hidden="1" customWidth="1" outlineLevel="1"/>
    <col min="17" max="17" width="11.42578125" style="32" customWidth="1" collapsed="1"/>
    <col min="18" max="21" width="11.42578125" style="32" hidden="1" customWidth="1" outlineLevel="1"/>
    <col min="22" max="22" width="11.42578125" style="32" customWidth="1" collapsed="1"/>
    <col min="23" max="23" width="11.42578125" style="32" hidden="1" customWidth="1" outlineLevel="1"/>
    <col min="24" max="26" width="9.140625" style="32" hidden="1" customWidth="1" outlineLevel="1"/>
    <col min="27" max="27" width="11.42578125" style="32" customWidth="1" collapsed="1"/>
    <col min="28" max="31" width="9.140625" style="32" hidden="1" customWidth="1" outlineLevel="1"/>
    <col min="32" max="32" width="10.42578125" style="32" bestFit="1" customWidth="1" collapsed="1"/>
    <col min="33" max="35" width="9.140625" style="32" hidden="1" customWidth="1" outlineLevel="1"/>
    <col min="36" max="36" width="9.5703125" style="32" hidden="1" customWidth="1" outlineLevel="1"/>
    <col min="37" max="37" width="10.42578125" style="32" bestFit="1" customWidth="1" collapsed="1"/>
    <col min="38" max="41" width="9.85546875" style="32" hidden="1" customWidth="1" outlineLevel="1"/>
    <col min="42" max="42" width="10.42578125" style="32" bestFit="1" customWidth="1" collapsed="1"/>
    <col min="43" max="45" width="10.42578125" style="32" hidden="1" customWidth="1" outlineLevel="1" collapsed="1"/>
    <col min="46" max="46" width="10.140625" style="31" hidden="1" customWidth="1" outlineLevel="1"/>
    <col min="47" max="47" width="12.140625" style="31" bestFit="1" customWidth="1" collapsed="1"/>
    <col min="48" max="51" width="12.140625" style="31" hidden="1" customWidth="1" outlineLevel="1"/>
    <col min="52" max="52" width="12.140625" style="31" bestFit="1" customWidth="1" collapsed="1"/>
    <col min="53" max="56" width="11.42578125" customWidth="1" outlineLevel="1"/>
    <col min="57" max="59" width="11.42578125" bestFit="1" customWidth="1"/>
    <col min="62" max="63" width="10.140625" bestFit="1" customWidth="1"/>
    <col min="64" max="65" width="11.5703125" bestFit="1" customWidth="1"/>
  </cols>
  <sheetData>
    <row r="1" spans="1:65" s="22" customFormat="1" ht="8.25" customHeight="1" x14ac:dyDescent="0.25">
      <c r="B1" s="9"/>
      <c r="C1" s="9"/>
      <c r="D1" s="9"/>
      <c r="E1" s="9"/>
      <c r="F1" s="9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3"/>
      <c r="AU1" s="43"/>
      <c r="AV1" s="43"/>
      <c r="AW1" s="43"/>
      <c r="AX1" s="43"/>
      <c r="AY1" s="43"/>
      <c r="AZ1" s="43"/>
    </row>
    <row r="2" spans="1:65" x14ac:dyDescent="0.25">
      <c r="A2" s="22"/>
    </row>
    <row r="3" spans="1:65" x14ac:dyDescent="0.25">
      <c r="A3" s="22"/>
    </row>
    <row r="4" spans="1:65" x14ac:dyDescent="0.25">
      <c r="A4" s="22"/>
    </row>
    <row r="5" spans="1:65" x14ac:dyDescent="0.25">
      <c r="A5" s="22"/>
    </row>
    <row r="6" spans="1:65" x14ac:dyDescent="0.25">
      <c r="A6" s="22"/>
    </row>
    <row r="7" spans="1:65" ht="16.5" customHeight="1" x14ac:dyDescent="0.25">
      <c r="A7" s="22"/>
      <c r="B7" s="42" t="s">
        <v>127</v>
      </c>
      <c r="C7" s="26" t="s">
        <v>22</v>
      </c>
      <c r="D7" s="26" t="s">
        <v>21</v>
      </c>
      <c r="E7" s="26" t="s">
        <v>20</v>
      </c>
      <c r="F7" s="26" t="s">
        <v>17</v>
      </c>
      <c r="G7" s="26">
        <v>2010</v>
      </c>
      <c r="H7" s="26" t="s">
        <v>19</v>
      </c>
      <c r="I7" s="26" t="s">
        <v>18</v>
      </c>
      <c r="J7" s="26" t="s">
        <v>16</v>
      </c>
      <c r="K7" s="26" t="s">
        <v>15</v>
      </c>
      <c r="L7" s="26">
        <v>2011</v>
      </c>
      <c r="M7" s="26" t="s">
        <v>14</v>
      </c>
      <c r="N7" s="26" t="s">
        <v>12</v>
      </c>
      <c r="O7" s="26" t="s">
        <v>10</v>
      </c>
      <c r="P7" s="26" t="s">
        <v>9</v>
      </c>
      <c r="Q7" s="26">
        <v>2012</v>
      </c>
      <c r="R7" s="26" t="s">
        <v>13</v>
      </c>
      <c r="S7" s="26" t="s">
        <v>11</v>
      </c>
      <c r="T7" s="26" t="s">
        <v>8</v>
      </c>
      <c r="U7" s="26" t="s">
        <v>25</v>
      </c>
      <c r="V7" s="26">
        <v>2013</v>
      </c>
      <c r="W7" s="26" t="s">
        <v>26</v>
      </c>
      <c r="X7" s="26" t="s">
        <v>55</v>
      </c>
      <c r="Y7" s="26" t="s">
        <v>56</v>
      </c>
      <c r="Z7" s="26" t="s">
        <v>57</v>
      </c>
      <c r="AA7" s="26">
        <v>2014</v>
      </c>
      <c r="AB7" s="26" t="s">
        <v>58</v>
      </c>
      <c r="AC7" s="26" t="s">
        <v>59</v>
      </c>
      <c r="AD7" s="26" t="s">
        <v>60</v>
      </c>
      <c r="AE7" s="26" t="s">
        <v>62</v>
      </c>
      <c r="AF7" s="26">
        <v>2015</v>
      </c>
      <c r="AG7" s="26" t="s">
        <v>69</v>
      </c>
      <c r="AH7" s="26" t="s">
        <v>70</v>
      </c>
      <c r="AI7" s="26" t="s">
        <v>72</v>
      </c>
      <c r="AJ7" s="26" t="s">
        <v>73</v>
      </c>
      <c r="AK7" s="26">
        <v>2016</v>
      </c>
      <c r="AL7" s="26" t="s">
        <v>74</v>
      </c>
      <c r="AM7" s="26" t="s">
        <v>75</v>
      </c>
      <c r="AN7" s="26" t="s">
        <v>77</v>
      </c>
      <c r="AO7" s="26" t="s">
        <v>79</v>
      </c>
      <c r="AP7" s="26">
        <v>2017</v>
      </c>
      <c r="AQ7" s="26" t="s">
        <v>80</v>
      </c>
      <c r="AR7" s="26" t="s">
        <v>81</v>
      </c>
      <c r="AS7" s="26" t="s">
        <v>82</v>
      </c>
      <c r="AT7" s="26" t="s">
        <v>84</v>
      </c>
      <c r="AU7" s="26">
        <v>2018</v>
      </c>
      <c r="AV7" s="26" t="s">
        <v>87</v>
      </c>
      <c r="AW7" s="26" t="s">
        <v>88</v>
      </c>
      <c r="AX7" s="26" t="s">
        <v>89</v>
      </c>
      <c r="AY7" s="26" t="s">
        <v>90</v>
      </c>
      <c r="AZ7" s="26" t="s">
        <v>126</v>
      </c>
      <c r="BA7" s="26" t="s">
        <v>91</v>
      </c>
      <c r="BB7" s="26" t="s">
        <v>92</v>
      </c>
      <c r="BC7" s="26" t="s">
        <v>93</v>
      </c>
      <c r="BD7" s="26" t="s">
        <v>94</v>
      </c>
      <c r="BE7" s="26" t="s">
        <v>125</v>
      </c>
      <c r="BF7" s="26" t="s">
        <v>95</v>
      </c>
      <c r="BG7" s="26" t="s">
        <v>96</v>
      </c>
      <c r="BH7" s="26" t="s">
        <v>97</v>
      </c>
      <c r="BI7" s="26" t="s">
        <v>98</v>
      </c>
      <c r="BJ7" s="26" t="s">
        <v>99</v>
      </c>
      <c r="BK7" s="26" t="s">
        <v>100</v>
      </c>
      <c r="BL7" s="26" t="s">
        <v>305</v>
      </c>
      <c r="BM7" s="26" t="s">
        <v>308</v>
      </c>
    </row>
    <row r="8" spans="1:65" x14ac:dyDescent="0.25">
      <c r="A8" s="22"/>
      <c r="BA8" s="31"/>
      <c r="BB8" s="31"/>
      <c r="BC8" s="31"/>
      <c r="BD8" s="31"/>
      <c r="BE8" s="31"/>
      <c r="BF8" s="31"/>
      <c r="BG8" s="31"/>
    </row>
    <row r="9" spans="1:65" x14ac:dyDescent="0.25">
      <c r="A9" s="22"/>
      <c r="B9" s="5" t="s">
        <v>124</v>
      </c>
      <c r="C9" s="38" t="e">
        <f>#REF!+#REF!+#REF!</f>
        <v>#REF!</v>
      </c>
      <c r="D9" s="38" t="e">
        <f>#REF!+#REF!+#REF!</f>
        <v>#REF!</v>
      </c>
      <c r="E9" s="38" t="e">
        <f>#REF!+#REF!+#REF!</f>
        <v>#REF!</v>
      </c>
      <c r="F9" s="38" t="e">
        <f>#REF!+#REF!+#REF!</f>
        <v>#REF!</v>
      </c>
      <c r="G9" s="35">
        <v>756849</v>
      </c>
      <c r="H9" s="35">
        <v>205999</v>
      </c>
      <c r="I9" s="35">
        <v>211993</v>
      </c>
      <c r="J9" s="35">
        <v>228211</v>
      </c>
      <c r="K9" s="35">
        <v>227716</v>
      </c>
      <c r="L9" s="35">
        <v>873919</v>
      </c>
      <c r="M9" s="35">
        <v>219007</v>
      </c>
      <c r="N9" s="35">
        <v>229875</v>
      </c>
      <c r="O9" s="35">
        <v>223469</v>
      </c>
      <c r="P9" s="35">
        <v>224351</v>
      </c>
      <c r="Q9" s="35">
        <v>896702</v>
      </c>
      <c r="R9" s="35">
        <v>267275</v>
      </c>
      <c r="S9" s="35">
        <v>275286</v>
      </c>
      <c r="T9" s="35">
        <v>315813</v>
      </c>
      <c r="U9" s="35">
        <v>316618</v>
      </c>
      <c r="V9" s="35">
        <v>1174992</v>
      </c>
      <c r="W9" s="35">
        <v>300145</v>
      </c>
      <c r="X9" s="35">
        <v>294512</v>
      </c>
      <c r="Y9" s="35">
        <v>342796</v>
      </c>
      <c r="Z9" s="35">
        <v>358603</v>
      </c>
      <c r="AA9" s="35">
        <v>1296056</v>
      </c>
      <c r="AB9" s="35">
        <v>361093</v>
      </c>
      <c r="AC9" s="35">
        <v>378461</v>
      </c>
      <c r="AD9" s="35">
        <v>451289</v>
      </c>
      <c r="AE9" s="35">
        <v>446564</v>
      </c>
      <c r="AF9" s="35">
        <v>1637407</v>
      </c>
      <c r="AG9" s="35">
        <v>443148</v>
      </c>
      <c r="AH9" s="35">
        <v>437802</v>
      </c>
      <c r="AI9" s="35">
        <v>425901</v>
      </c>
      <c r="AJ9" s="35">
        <v>416999</v>
      </c>
      <c r="AK9" s="35">
        <v>1723850</v>
      </c>
      <c r="AL9" s="35">
        <v>358522</v>
      </c>
      <c r="AM9" s="35">
        <v>391928</v>
      </c>
      <c r="AN9" s="35">
        <v>412111</v>
      </c>
      <c r="AO9" s="35">
        <v>411913</v>
      </c>
      <c r="AP9" s="35">
        <v>1574474</v>
      </c>
      <c r="AQ9" s="35">
        <v>386331</v>
      </c>
      <c r="AR9" s="35">
        <v>421851</v>
      </c>
      <c r="AS9" s="35">
        <v>478851</v>
      </c>
      <c r="AT9" s="35">
        <v>447279</v>
      </c>
      <c r="AU9" s="35">
        <v>1734312</v>
      </c>
      <c r="AV9" s="35">
        <v>426779</v>
      </c>
      <c r="AW9" s="35">
        <v>463343</v>
      </c>
      <c r="AX9" s="35">
        <v>569035</v>
      </c>
      <c r="AY9" s="35">
        <v>548805</v>
      </c>
      <c r="AZ9" s="35">
        <v>2007962</v>
      </c>
      <c r="BA9" s="35">
        <v>463740</v>
      </c>
      <c r="BB9" s="35">
        <v>414624</v>
      </c>
      <c r="BC9" s="35">
        <v>522060</v>
      </c>
      <c r="BD9" s="35">
        <v>538718</v>
      </c>
      <c r="BE9" s="35">
        <v>1939142</v>
      </c>
      <c r="BF9" s="35">
        <v>489706</v>
      </c>
      <c r="BG9" s="35">
        <v>541122</v>
      </c>
      <c r="BH9" s="35">
        <v>583426</v>
      </c>
      <c r="BI9" s="35">
        <v>583747</v>
      </c>
      <c r="BJ9" s="35">
        <v>579657</v>
      </c>
      <c r="BK9" s="35">
        <v>601599</v>
      </c>
      <c r="BL9" s="35">
        <v>667228</v>
      </c>
      <c r="BM9" s="35">
        <v>588473</v>
      </c>
    </row>
    <row r="10" spans="1:65" x14ac:dyDescent="0.25">
      <c r="A10" s="22"/>
      <c r="B10" s="6" t="s">
        <v>123</v>
      </c>
      <c r="C10" s="12">
        <v>-128804</v>
      </c>
      <c r="D10" s="12">
        <v>-142920</v>
      </c>
      <c r="E10" s="12">
        <v>-144057</v>
      </c>
      <c r="F10" s="12">
        <v>-144287</v>
      </c>
      <c r="G10" s="39">
        <v>-560068</v>
      </c>
      <c r="H10" s="39">
        <v>-151598</v>
      </c>
      <c r="I10" s="39">
        <v>-154742</v>
      </c>
      <c r="J10" s="39">
        <v>-159497</v>
      </c>
      <c r="K10" s="39">
        <v>-162954</v>
      </c>
      <c r="L10" s="39">
        <v>-628791</v>
      </c>
      <c r="M10" s="39">
        <v>-154598</v>
      </c>
      <c r="N10" s="39">
        <v>-156892</v>
      </c>
      <c r="O10" s="39">
        <v>-153821</v>
      </c>
      <c r="P10" s="39">
        <v>-158980</v>
      </c>
      <c r="Q10" s="39">
        <v>-624291</v>
      </c>
      <c r="R10" s="39">
        <v>-201100</v>
      </c>
      <c r="S10" s="39">
        <v>-211133</v>
      </c>
      <c r="T10" s="39">
        <v>-229444</v>
      </c>
      <c r="U10" s="39">
        <v>-231349</v>
      </c>
      <c r="V10" s="39">
        <v>-873026</v>
      </c>
      <c r="W10" s="39">
        <v>-221985</v>
      </c>
      <c r="X10" s="39">
        <v>-215623</v>
      </c>
      <c r="Y10" s="39">
        <v>-240854</v>
      </c>
      <c r="Z10" s="39">
        <v>-260811</v>
      </c>
      <c r="AA10" s="39">
        <v>-939273</v>
      </c>
      <c r="AB10" s="39">
        <v>-264864</v>
      </c>
      <c r="AC10" s="39">
        <v>-270720</v>
      </c>
      <c r="AD10" s="39">
        <v>-334104</v>
      </c>
      <c r="AE10" s="39">
        <v>-337007</v>
      </c>
      <c r="AF10" s="39">
        <v>-1206695</v>
      </c>
      <c r="AG10" s="39">
        <v>-336584</v>
      </c>
      <c r="AH10" s="39">
        <v>-325520</v>
      </c>
      <c r="AI10" s="39">
        <v>-309984</v>
      </c>
      <c r="AJ10" s="39">
        <f>AK10-AG10-AH10-AI10</f>
        <v>-305112</v>
      </c>
      <c r="AK10" s="39">
        <v>-1277200</v>
      </c>
      <c r="AL10" s="39">
        <v>-281395</v>
      </c>
      <c r="AM10" s="39">
        <v>-307415</v>
      </c>
      <c r="AN10" s="39">
        <v>-312167</v>
      </c>
      <c r="AO10" s="39">
        <v>-319970</v>
      </c>
      <c r="AP10" s="39">
        <v>-1220947</v>
      </c>
      <c r="AQ10" s="39">
        <v>-285795</v>
      </c>
      <c r="AR10" s="39">
        <v>-318692</v>
      </c>
      <c r="AS10" s="39">
        <v>-359242</v>
      </c>
      <c r="AT10" s="39">
        <v>-347326</v>
      </c>
      <c r="AU10" s="39">
        <v>-1311055</v>
      </c>
      <c r="AV10" s="39">
        <v>-334074</v>
      </c>
      <c r="AW10" s="39">
        <v>-369727</v>
      </c>
      <c r="AX10" s="39">
        <v>-433019</v>
      </c>
      <c r="AY10" s="39">
        <v>-429944</v>
      </c>
      <c r="AZ10" s="39">
        <v>-1566764</v>
      </c>
      <c r="BA10" s="39">
        <v>-376929</v>
      </c>
      <c r="BB10" s="39">
        <v>-372551</v>
      </c>
      <c r="BC10" s="39">
        <v>-412820</v>
      </c>
      <c r="BD10" s="39">
        <v>-434006</v>
      </c>
      <c r="BE10" s="39">
        <v>-1596306</v>
      </c>
      <c r="BF10" s="39">
        <v>-392039</v>
      </c>
      <c r="BG10" s="39">
        <v>-399429.73</v>
      </c>
      <c r="BH10" s="39">
        <v>-443691.35999999987</v>
      </c>
      <c r="BI10" s="39">
        <v>-447319.37000000011</v>
      </c>
      <c r="BJ10" s="39">
        <v>-426086.36</v>
      </c>
      <c r="BK10" s="39">
        <v>-413573.37</v>
      </c>
      <c r="BL10" s="39">
        <v>-455699.27</v>
      </c>
      <c r="BM10" s="35">
        <v>-401947.44000000018</v>
      </c>
    </row>
    <row r="11" spans="1:65" x14ac:dyDescent="0.25">
      <c r="A11" s="22"/>
      <c r="B11" s="5" t="s">
        <v>122</v>
      </c>
      <c r="C11" s="38" t="e">
        <f t="shared" ref="C11:AI11" si="0">C9+C10</f>
        <v>#REF!</v>
      </c>
      <c r="D11" s="38" t="e">
        <f t="shared" si="0"/>
        <v>#REF!</v>
      </c>
      <c r="E11" s="38" t="e">
        <f t="shared" si="0"/>
        <v>#REF!</v>
      </c>
      <c r="F11" s="38" t="e">
        <f t="shared" si="0"/>
        <v>#REF!</v>
      </c>
      <c r="G11" s="35">
        <f t="shared" si="0"/>
        <v>196781</v>
      </c>
      <c r="H11" s="35">
        <f t="shared" si="0"/>
        <v>54401</v>
      </c>
      <c r="I11" s="35">
        <f t="shared" si="0"/>
        <v>57251</v>
      </c>
      <c r="J11" s="35">
        <f t="shared" si="0"/>
        <v>68714</v>
      </c>
      <c r="K11" s="35">
        <f t="shared" si="0"/>
        <v>64762</v>
      </c>
      <c r="L11" s="35">
        <f t="shared" si="0"/>
        <v>245128</v>
      </c>
      <c r="M11" s="35">
        <f t="shared" si="0"/>
        <v>64409</v>
      </c>
      <c r="N11" s="35">
        <f t="shared" si="0"/>
        <v>72983</v>
      </c>
      <c r="O11" s="35">
        <f t="shared" si="0"/>
        <v>69648</v>
      </c>
      <c r="P11" s="35">
        <f t="shared" si="0"/>
        <v>65371</v>
      </c>
      <c r="Q11" s="35">
        <f t="shared" si="0"/>
        <v>272411</v>
      </c>
      <c r="R11" s="35">
        <f t="shared" si="0"/>
        <v>66175</v>
      </c>
      <c r="S11" s="35">
        <f t="shared" si="0"/>
        <v>64153</v>
      </c>
      <c r="T11" s="35">
        <f t="shared" si="0"/>
        <v>86369</v>
      </c>
      <c r="U11" s="35">
        <f t="shared" si="0"/>
        <v>85269</v>
      </c>
      <c r="V11" s="35">
        <f t="shared" si="0"/>
        <v>301966</v>
      </c>
      <c r="W11" s="35">
        <f t="shared" si="0"/>
        <v>78160</v>
      </c>
      <c r="X11" s="35">
        <f t="shared" si="0"/>
        <v>78889</v>
      </c>
      <c r="Y11" s="35">
        <f t="shared" si="0"/>
        <v>101942</v>
      </c>
      <c r="Z11" s="35">
        <f t="shared" si="0"/>
        <v>97792</v>
      </c>
      <c r="AA11" s="35">
        <f t="shared" si="0"/>
        <v>356783</v>
      </c>
      <c r="AB11" s="35">
        <f t="shared" si="0"/>
        <v>96229</v>
      </c>
      <c r="AC11" s="35">
        <f t="shared" si="0"/>
        <v>107741</v>
      </c>
      <c r="AD11" s="35">
        <f t="shared" si="0"/>
        <v>117185</v>
      </c>
      <c r="AE11" s="35">
        <f t="shared" si="0"/>
        <v>109557</v>
      </c>
      <c r="AF11" s="35">
        <f t="shared" si="0"/>
        <v>430712</v>
      </c>
      <c r="AG11" s="35">
        <f t="shared" si="0"/>
        <v>106564</v>
      </c>
      <c r="AH11" s="35">
        <f t="shared" si="0"/>
        <v>112282</v>
      </c>
      <c r="AI11" s="35">
        <f t="shared" si="0"/>
        <v>115917</v>
      </c>
      <c r="AJ11" s="35">
        <f>AK11-AG11-AH11-AI11</f>
        <v>111887</v>
      </c>
      <c r="AK11" s="35">
        <f t="shared" ref="AK11:BM11" si="1">AK9+AK10</f>
        <v>446650</v>
      </c>
      <c r="AL11" s="35">
        <f t="shared" si="1"/>
        <v>77127</v>
      </c>
      <c r="AM11" s="35">
        <f t="shared" si="1"/>
        <v>84513</v>
      </c>
      <c r="AN11" s="35">
        <f t="shared" si="1"/>
        <v>99944</v>
      </c>
      <c r="AO11" s="35">
        <f t="shared" si="1"/>
        <v>91943</v>
      </c>
      <c r="AP11" s="35">
        <f t="shared" si="1"/>
        <v>353527</v>
      </c>
      <c r="AQ11" s="35">
        <f t="shared" si="1"/>
        <v>100536</v>
      </c>
      <c r="AR11" s="35">
        <f t="shared" si="1"/>
        <v>103159</v>
      </c>
      <c r="AS11" s="35">
        <f t="shared" si="1"/>
        <v>119609</v>
      </c>
      <c r="AT11" s="35">
        <f t="shared" si="1"/>
        <v>99953</v>
      </c>
      <c r="AU11" s="35">
        <f t="shared" si="1"/>
        <v>423257</v>
      </c>
      <c r="AV11" s="35">
        <f t="shared" si="1"/>
        <v>92705</v>
      </c>
      <c r="AW11" s="35">
        <f t="shared" si="1"/>
        <v>93616</v>
      </c>
      <c r="AX11" s="35">
        <f t="shared" si="1"/>
        <v>136016</v>
      </c>
      <c r="AY11" s="35">
        <f t="shared" si="1"/>
        <v>118861</v>
      </c>
      <c r="AZ11" s="35">
        <f t="shared" si="1"/>
        <v>441198</v>
      </c>
      <c r="BA11" s="35">
        <f t="shared" si="1"/>
        <v>86811</v>
      </c>
      <c r="BB11" s="35">
        <f t="shared" si="1"/>
        <v>42073</v>
      </c>
      <c r="BC11" s="35">
        <f t="shared" si="1"/>
        <v>109240</v>
      </c>
      <c r="BD11" s="35">
        <f t="shared" si="1"/>
        <v>104712</v>
      </c>
      <c r="BE11" s="35">
        <f t="shared" si="1"/>
        <v>342836</v>
      </c>
      <c r="BF11" s="35">
        <f t="shared" si="1"/>
        <v>97667</v>
      </c>
      <c r="BG11" s="35">
        <f t="shared" si="1"/>
        <v>141692.27000000002</v>
      </c>
      <c r="BH11" s="35">
        <f t="shared" si="1"/>
        <v>139734.64000000013</v>
      </c>
      <c r="BI11" s="35">
        <f t="shared" si="1"/>
        <v>136427.62999999989</v>
      </c>
      <c r="BJ11" s="35">
        <f t="shared" si="1"/>
        <v>153570.64000000001</v>
      </c>
      <c r="BK11" s="35">
        <f t="shared" si="1"/>
        <v>188025.63</v>
      </c>
      <c r="BL11" s="35">
        <f t="shared" si="1"/>
        <v>211528.72999999998</v>
      </c>
      <c r="BM11" s="35">
        <f t="shared" si="1"/>
        <v>186525.55999999982</v>
      </c>
    </row>
    <row r="12" spans="1:65" x14ac:dyDescent="0.25">
      <c r="A12" s="22"/>
      <c r="B12" s="5"/>
      <c r="C12" s="38"/>
      <c r="D12" s="38"/>
      <c r="E12" s="38"/>
      <c r="F12" s="38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3"/>
      <c r="Y12" s="33"/>
      <c r="Z12" s="33"/>
      <c r="AA12" s="35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BA12" s="31"/>
      <c r="BB12" s="31"/>
      <c r="BC12" s="31"/>
      <c r="BD12" s="31"/>
      <c r="BE12" s="31"/>
      <c r="BF12" s="31"/>
      <c r="BG12" s="31"/>
    </row>
    <row r="13" spans="1:65" x14ac:dyDescent="0.25">
      <c r="A13" s="22"/>
      <c r="B13" s="5" t="s">
        <v>121</v>
      </c>
      <c r="C13" s="12"/>
      <c r="D13" s="12"/>
      <c r="E13" s="12"/>
      <c r="F13" s="12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3"/>
      <c r="Y13" s="33"/>
      <c r="Z13" s="33"/>
      <c r="AA13" s="39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BA13" s="31"/>
      <c r="BB13" s="31"/>
      <c r="BC13" s="31"/>
      <c r="BD13" s="31"/>
      <c r="BE13" s="31"/>
      <c r="BF13" s="31"/>
      <c r="BG13" s="31"/>
    </row>
    <row r="14" spans="1:65" x14ac:dyDescent="0.25">
      <c r="A14" s="22"/>
      <c r="B14" s="6" t="s">
        <v>120</v>
      </c>
      <c r="C14" s="12">
        <v>-6461</v>
      </c>
      <c r="D14" s="12">
        <v>-9316</v>
      </c>
      <c r="E14" s="12">
        <v>-9400</v>
      </c>
      <c r="F14" s="12">
        <v>-9096</v>
      </c>
      <c r="G14" s="39">
        <v>-34273</v>
      </c>
      <c r="H14" s="39">
        <v>-10048</v>
      </c>
      <c r="I14" s="39">
        <v>-13919</v>
      </c>
      <c r="J14" s="39">
        <v>-15266</v>
      </c>
      <c r="K14" s="39">
        <v>-17168</v>
      </c>
      <c r="L14" s="39">
        <v>-56401</v>
      </c>
      <c r="M14" s="39">
        <v>-16277</v>
      </c>
      <c r="N14" s="39">
        <v>-15092</v>
      </c>
      <c r="O14" s="39">
        <v>-16537</v>
      </c>
      <c r="P14" s="39">
        <v>-10800</v>
      </c>
      <c r="Q14" s="39">
        <v>-58706</v>
      </c>
      <c r="R14" s="39">
        <v>-18551</v>
      </c>
      <c r="S14" s="39">
        <v>-21187</v>
      </c>
      <c r="T14" s="39">
        <v>-23585</v>
      </c>
      <c r="U14" s="39">
        <v>-21638</v>
      </c>
      <c r="V14" s="39">
        <v>-84961</v>
      </c>
      <c r="W14" s="39">
        <v>-23588</v>
      </c>
      <c r="X14" s="39">
        <v>-24758</v>
      </c>
      <c r="Y14" s="39">
        <v>-24759</v>
      </c>
      <c r="Z14" s="39">
        <v>-22667</v>
      </c>
      <c r="AA14" s="39">
        <v>-95772</v>
      </c>
      <c r="AB14" s="39">
        <v>-26761</v>
      </c>
      <c r="AC14" s="39">
        <v>-26881</v>
      </c>
      <c r="AD14" s="39">
        <v>-34134</v>
      </c>
      <c r="AE14" s="39">
        <v>-32873</v>
      </c>
      <c r="AF14" s="39">
        <v>-120649</v>
      </c>
      <c r="AG14" s="39">
        <v>-36904</v>
      </c>
      <c r="AH14" s="39">
        <v>-37706</v>
      </c>
      <c r="AI14" s="39">
        <v>-37604</v>
      </c>
      <c r="AJ14" s="39">
        <f>AK14-AG14-AH14-AI14</f>
        <v>-51722</v>
      </c>
      <c r="AK14" s="39">
        <v>-163936</v>
      </c>
      <c r="AL14" s="39">
        <v>-28008</v>
      </c>
      <c r="AM14" s="39">
        <v>-28102</v>
      </c>
      <c r="AN14" s="39">
        <v>-31916</v>
      </c>
      <c r="AO14" s="39">
        <v>-27095</v>
      </c>
      <c r="AP14" s="39">
        <v>-115121</v>
      </c>
      <c r="AQ14" s="39">
        <v>-31253</v>
      </c>
      <c r="AR14" s="39">
        <v>-31699</v>
      </c>
      <c r="AS14" s="39">
        <v>-44096</v>
      </c>
      <c r="AT14" s="39">
        <v>-28604</v>
      </c>
      <c r="AU14" s="39">
        <v>-135652</v>
      </c>
      <c r="AV14" s="39">
        <v>-33638</v>
      </c>
      <c r="AW14" s="39">
        <v>-39091</v>
      </c>
      <c r="AX14" s="39">
        <v>-48732</v>
      </c>
      <c r="AY14" s="39">
        <v>-47661</v>
      </c>
      <c r="AZ14" s="39">
        <v>-169122</v>
      </c>
      <c r="BA14" s="39">
        <v>-36930</v>
      </c>
      <c r="BB14" s="39">
        <v>-36494</v>
      </c>
      <c r="BC14" s="39">
        <v>-39688</v>
      </c>
      <c r="BD14" s="39">
        <v>-69901</v>
      </c>
      <c r="BE14" s="39">
        <v>-183013</v>
      </c>
      <c r="BF14" s="39">
        <v>-40453</v>
      </c>
      <c r="BG14" s="39">
        <v>-64515</v>
      </c>
      <c r="BH14" s="39">
        <v>-45952</v>
      </c>
      <c r="BI14" s="39">
        <v>-40671</v>
      </c>
      <c r="BJ14" s="39">
        <v>-46553</v>
      </c>
      <c r="BK14" s="39">
        <v>-52342</v>
      </c>
      <c r="BL14" s="39">
        <v>-47344</v>
      </c>
      <c r="BM14" s="39">
        <v>-43351</v>
      </c>
    </row>
    <row r="15" spans="1:65" x14ac:dyDescent="0.25">
      <c r="A15" s="22"/>
      <c r="B15" s="6" t="s">
        <v>119</v>
      </c>
      <c r="C15" s="12">
        <v>-5609</v>
      </c>
      <c r="D15" s="12">
        <v>-5610</v>
      </c>
      <c r="E15" s="12">
        <v>-6346</v>
      </c>
      <c r="F15" s="12">
        <v>-6284</v>
      </c>
      <c r="G15" s="39">
        <v>-23849</v>
      </c>
      <c r="H15" s="39">
        <v>-9483</v>
      </c>
      <c r="I15" s="39">
        <v>-7149</v>
      </c>
      <c r="J15" s="39">
        <v>-8896</v>
      </c>
      <c r="K15" s="39">
        <v>-8184</v>
      </c>
      <c r="L15" s="39">
        <v>-33712</v>
      </c>
      <c r="M15" s="39">
        <v>-10737</v>
      </c>
      <c r="N15" s="39">
        <v>-9679</v>
      </c>
      <c r="O15" s="39">
        <v>-8991</v>
      </c>
      <c r="P15" s="39">
        <v>-8663</v>
      </c>
      <c r="Q15" s="39">
        <v>-38070</v>
      </c>
      <c r="R15" s="39">
        <v>-9918</v>
      </c>
      <c r="S15" s="39">
        <v>-14656</v>
      </c>
      <c r="T15" s="39">
        <v>-10987</v>
      </c>
      <c r="U15" s="39">
        <v>-13193</v>
      </c>
      <c r="V15" s="39">
        <v>-48754</v>
      </c>
      <c r="W15" s="39">
        <v>-13532</v>
      </c>
      <c r="X15" s="39">
        <v>-13889</v>
      </c>
      <c r="Y15" s="39">
        <v>-15143</v>
      </c>
      <c r="Z15" s="39">
        <v>-18827</v>
      </c>
      <c r="AA15" s="39">
        <v>-61391</v>
      </c>
      <c r="AB15" s="39">
        <v>-20943</v>
      </c>
      <c r="AC15" s="39">
        <v>-25502</v>
      </c>
      <c r="AD15" s="39">
        <v>-22962</v>
      </c>
      <c r="AE15" s="39">
        <v>-26438</v>
      </c>
      <c r="AF15" s="39">
        <v>-95845</v>
      </c>
      <c r="AG15" s="39">
        <v>-26160</v>
      </c>
      <c r="AH15" s="39">
        <v>-27638</v>
      </c>
      <c r="AI15" s="39">
        <v>-26056</v>
      </c>
      <c r="AJ15" s="39">
        <f>AK15-AG15-AH15-AI15</f>
        <v>-21560</v>
      </c>
      <c r="AK15" s="39">
        <v>-101414</v>
      </c>
      <c r="AL15" s="39">
        <v>-22768</v>
      </c>
      <c r="AM15" s="39">
        <v>-21841</v>
      </c>
      <c r="AN15" s="39">
        <v>-20064</v>
      </c>
      <c r="AO15" s="39">
        <v>-23441</v>
      </c>
      <c r="AP15" s="39">
        <v>-88114</v>
      </c>
      <c r="AQ15" s="39">
        <v>-20629</v>
      </c>
      <c r="AR15" s="39">
        <v>-20842</v>
      </c>
      <c r="AS15" s="39">
        <v>-21238</v>
      </c>
      <c r="AT15" s="39">
        <v>-23588</v>
      </c>
      <c r="AU15" s="39">
        <v>-86297</v>
      </c>
      <c r="AV15" s="39">
        <v>-20752</v>
      </c>
      <c r="AW15" s="39">
        <v>-21304</v>
      </c>
      <c r="AX15" s="39">
        <v>-19489</v>
      </c>
      <c r="AY15" s="39">
        <v>-20930</v>
      </c>
      <c r="AZ15" s="39">
        <v>-82475</v>
      </c>
      <c r="BA15" s="39">
        <v>-19884</v>
      </c>
      <c r="BB15" s="39">
        <v>-20960</v>
      </c>
      <c r="BC15" s="39">
        <v>-28727</v>
      </c>
      <c r="BD15" s="39">
        <v>-21369</v>
      </c>
      <c r="BE15" s="39">
        <v>-90940</v>
      </c>
      <c r="BF15" s="39">
        <v>-26703</v>
      </c>
      <c r="BG15" s="39">
        <v>-35907</v>
      </c>
      <c r="BH15" s="39">
        <v>-30075.999999999996</v>
      </c>
      <c r="BI15" s="39">
        <v>-32509</v>
      </c>
      <c r="BJ15" s="39">
        <v>-37963</v>
      </c>
      <c r="BK15" s="39">
        <v>-31644</v>
      </c>
      <c r="BL15" s="39">
        <v>-46188</v>
      </c>
      <c r="BM15" s="39">
        <v>-25009</v>
      </c>
    </row>
    <row r="16" spans="1:65" x14ac:dyDescent="0.25">
      <c r="A16" s="22"/>
      <c r="B16" s="6" t="s">
        <v>118</v>
      </c>
      <c r="C16" s="12">
        <v>-444</v>
      </c>
      <c r="D16" s="12">
        <v>225</v>
      </c>
      <c r="E16" s="12">
        <v>-1050</v>
      </c>
      <c r="F16" s="12">
        <v>-716</v>
      </c>
      <c r="G16" s="39">
        <v>-1985</v>
      </c>
      <c r="H16" s="39">
        <v>-245</v>
      </c>
      <c r="I16" s="39">
        <v>64</v>
      </c>
      <c r="J16" s="39">
        <v>-1039</v>
      </c>
      <c r="K16" s="39">
        <v>-1932</v>
      </c>
      <c r="L16" s="39">
        <v>-3152</v>
      </c>
      <c r="M16" s="39">
        <v>-463</v>
      </c>
      <c r="N16" s="39">
        <v>2163</v>
      </c>
      <c r="O16" s="39">
        <v>-1660</v>
      </c>
      <c r="P16" s="39">
        <v>-16790</v>
      </c>
      <c r="Q16" s="39">
        <v>-16750</v>
      </c>
      <c r="R16" s="39">
        <v>-949</v>
      </c>
      <c r="S16" s="39">
        <v>-4603</v>
      </c>
      <c r="T16" s="39">
        <v>-25837</v>
      </c>
      <c r="U16" s="39">
        <v>-6087</v>
      </c>
      <c r="V16" s="39">
        <v>-37476</v>
      </c>
      <c r="W16" s="39">
        <v>-626</v>
      </c>
      <c r="X16" s="39">
        <v>-1236</v>
      </c>
      <c r="Y16" s="39">
        <v>-1360</v>
      </c>
      <c r="Z16" s="39">
        <v>-11477</v>
      </c>
      <c r="AA16" s="39">
        <v>-14699</v>
      </c>
      <c r="AB16" s="39">
        <v>-1659</v>
      </c>
      <c r="AC16" s="39">
        <v>-7635</v>
      </c>
      <c r="AD16" s="39">
        <v>-3694</v>
      </c>
      <c r="AE16" s="39">
        <v>-13023</v>
      </c>
      <c r="AF16" s="39">
        <v>-26011</v>
      </c>
      <c r="AG16" s="39">
        <v>-6450</v>
      </c>
      <c r="AH16" s="39">
        <v>-42329</v>
      </c>
      <c r="AI16" s="39">
        <v>-9353</v>
      </c>
      <c r="AJ16" s="39">
        <f>AK16-AG16-AH16-AI16</f>
        <v>-9972</v>
      </c>
      <c r="AK16" s="39">
        <v>-68104</v>
      </c>
      <c r="AL16" s="39">
        <v>-17203</v>
      </c>
      <c r="AM16" s="39">
        <v>-12672</v>
      </c>
      <c r="AN16" s="39">
        <v>-14164</v>
      </c>
      <c r="AO16" s="39">
        <v>-10859</v>
      </c>
      <c r="AP16" s="41">
        <v>-54898</v>
      </c>
      <c r="AQ16" s="39">
        <v>-11672</v>
      </c>
      <c r="AR16" s="39">
        <v>-12684</v>
      </c>
      <c r="AS16" s="39">
        <v>-4746</v>
      </c>
      <c r="AT16" s="39">
        <v>-16882</v>
      </c>
      <c r="AU16" s="39">
        <v>-45984</v>
      </c>
      <c r="AV16" s="39">
        <v>-4362</v>
      </c>
      <c r="AW16" s="39">
        <v>-2803</v>
      </c>
      <c r="AX16" s="39">
        <v>-6934</v>
      </c>
      <c r="AY16" s="39">
        <v>-47479</v>
      </c>
      <c r="AZ16" s="39">
        <v>-61578</v>
      </c>
      <c r="BA16" s="39">
        <v>2597</v>
      </c>
      <c r="BB16" s="39">
        <v>-130934</v>
      </c>
      <c r="BC16" s="39">
        <v>-11259</v>
      </c>
      <c r="BD16" s="39">
        <v>-39454</v>
      </c>
      <c r="BE16" s="39">
        <v>-179050</v>
      </c>
      <c r="BF16" s="39">
        <v>-10477</v>
      </c>
      <c r="BG16" s="39">
        <v>-31972</v>
      </c>
      <c r="BH16" s="39">
        <v>-5151</v>
      </c>
      <c r="BI16" s="39">
        <v>-12621</v>
      </c>
      <c r="BJ16" s="39">
        <v>-8357</v>
      </c>
      <c r="BK16" s="39">
        <v>-64636</v>
      </c>
      <c r="BL16" s="39">
        <v>-44600</v>
      </c>
      <c r="BM16" s="39">
        <v>-67421</v>
      </c>
    </row>
    <row r="17" spans="1:65" x14ac:dyDescent="0.25">
      <c r="A17" s="22"/>
      <c r="B17" s="6" t="s">
        <v>117</v>
      </c>
      <c r="C17" s="12">
        <v>0</v>
      </c>
      <c r="D17" s="12">
        <v>0</v>
      </c>
      <c r="E17" s="12">
        <v>499</v>
      </c>
      <c r="F17" s="12">
        <v>406</v>
      </c>
      <c r="G17" s="39">
        <v>905</v>
      </c>
      <c r="H17" s="39">
        <v>719</v>
      </c>
      <c r="I17" s="39">
        <v>843</v>
      </c>
      <c r="J17" s="39">
        <v>812</v>
      </c>
      <c r="K17" s="39">
        <v>1473</v>
      </c>
      <c r="L17" s="39">
        <v>3847</v>
      </c>
      <c r="M17" s="39">
        <v>1795</v>
      </c>
      <c r="N17" s="39">
        <v>1027</v>
      </c>
      <c r="O17" s="39">
        <v>1468</v>
      </c>
      <c r="P17" s="39">
        <v>-1150</v>
      </c>
      <c r="Q17" s="39">
        <v>3140</v>
      </c>
      <c r="R17" s="39">
        <v>854</v>
      </c>
      <c r="S17" s="39">
        <v>182</v>
      </c>
      <c r="T17" s="39">
        <v>2279</v>
      </c>
      <c r="U17" s="39">
        <v>-972</v>
      </c>
      <c r="V17" s="39">
        <v>2343</v>
      </c>
      <c r="W17" s="39">
        <v>1333</v>
      </c>
      <c r="X17" s="39">
        <v>-711</v>
      </c>
      <c r="Y17" s="39">
        <v>-6117</v>
      </c>
      <c r="Z17" s="39">
        <v>-6398</v>
      </c>
      <c r="AA17" s="39">
        <v>-11893</v>
      </c>
      <c r="AB17" s="39">
        <v>911</v>
      </c>
      <c r="AC17" s="39">
        <v>731</v>
      </c>
      <c r="AD17" s="39">
        <v>585</v>
      </c>
      <c r="AE17" s="39">
        <v>3218</v>
      </c>
      <c r="AF17" s="39">
        <v>5445</v>
      </c>
      <c r="AG17" s="39">
        <v>1100</v>
      </c>
      <c r="AH17" s="39">
        <v>805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-311</v>
      </c>
      <c r="AO17" s="39">
        <v>-1348</v>
      </c>
      <c r="AP17" s="39">
        <v>-1659</v>
      </c>
      <c r="AQ17" s="39">
        <v>-278</v>
      </c>
      <c r="AR17" s="39">
        <v>-976</v>
      </c>
      <c r="AS17" s="39">
        <v>-791</v>
      </c>
      <c r="AT17" s="39">
        <v>-632</v>
      </c>
      <c r="AU17" s="39">
        <v>-2677</v>
      </c>
      <c r="AV17" s="39">
        <v>-218</v>
      </c>
      <c r="AW17" s="39">
        <v>-549</v>
      </c>
      <c r="AX17" s="39">
        <v>-14</v>
      </c>
      <c r="AY17" s="39">
        <v>3127</v>
      </c>
      <c r="AZ17" s="39">
        <v>2346</v>
      </c>
      <c r="BA17" s="39">
        <v>-156</v>
      </c>
      <c r="BB17" s="39">
        <v>-1731</v>
      </c>
      <c r="BC17" s="39">
        <v>691</v>
      </c>
      <c r="BD17" s="39">
        <f>--1997</f>
        <v>1997</v>
      </c>
      <c r="BE17" s="39">
        <v>801</v>
      </c>
      <c r="BF17" s="39">
        <v>36</v>
      </c>
      <c r="BG17" s="39">
        <v>-387</v>
      </c>
      <c r="BH17" s="39">
        <v>-681</v>
      </c>
      <c r="BI17" s="39">
        <v>-1596</v>
      </c>
      <c r="BJ17" s="39">
        <v>-354</v>
      </c>
      <c r="BK17" s="39">
        <v>-876</v>
      </c>
      <c r="BL17" s="39">
        <v>-630</v>
      </c>
      <c r="BM17" s="39">
        <v>-1586</v>
      </c>
    </row>
    <row r="18" spans="1:65" x14ac:dyDescent="0.25">
      <c r="A18" s="22"/>
      <c r="C18" s="38">
        <f t="shared" ref="C18:AH18" si="2">SUM(C14:C17)</f>
        <v>-12514</v>
      </c>
      <c r="D18" s="38">
        <f t="shared" si="2"/>
        <v>-14701</v>
      </c>
      <c r="E18" s="38">
        <f t="shared" si="2"/>
        <v>-16297</v>
      </c>
      <c r="F18" s="38">
        <f t="shared" si="2"/>
        <v>-15690</v>
      </c>
      <c r="G18" s="35">
        <f t="shared" si="2"/>
        <v>-59202</v>
      </c>
      <c r="H18" s="35">
        <f t="shared" si="2"/>
        <v>-19057</v>
      </c>
      <c r="I18" s="35">
        <f t="shared" si="2"/>
        <v>-20161</v>
      </c>
      <c r="J18" s="35">
        <f t="shared" si="2"/>
        <v>-24389</v>
      </c>
      <c r="K18" s="35">
        <f t="shared" si="2"/>
        <v>-25811</v>
      </c>
      <c r="L18" s="35">
        <f t="shared" si="2"/>
        <v>-89418</v>
      </c>
      <c r="M18" s="35">
        <f t="shared" si="2"/>
        <v>-25682</v>
      </c>
      <c r="N18" s="35">
        <f t="shared" si="2"/>
        <v>-21581</v>
      </c>
      <c r="O18" s="35">
        <f t="shared" si="2"/>
        <v>-25720</v>
      </c>
      <c r="P18" s="35">
        <f t="shared" si="2"/>
        <v>-37403</v>
      </c>
      <c r="Q18" s="35">
        <f t="shared" si="2"/>
        <v>-110386</v>
      </c>
      <c r="R18" s="35">
        <f t="shared" si="2"/>
        <v>-28564</v>
      </c>
      <c r="S18" s="35">
        <f t="shared" si="2"/>
        <v>-40264</v>
      </c>
      <c r="T18" s="35">
        <f t="shared" si="2"/>
        <v>-58130</v>
      </c>
      <c r="U18" s="35">
        <f t="shared" si="2"/>
        <v>-41890</v>
      </c>
      <c r="V18" s="35">
        <f t="shared" si="2"/>
        <v>-168848</v>
      </c>
      <c r="W18" s="35">
        <f t="shared" si="2"/>
        <v>-36413</v>
      </c>
      <c r="X18" s="35">
        <f t="shared" si="2"/>
        <v>-40594</v>
      </c>
      <c r="Y18" s="35">
        <f t="shared" si="2"/>
        <v>-47379</v>
      </c>
      <c r="Z18" s="35">
        <f t="shared" si="2"/>
        <v>-59369</v>
      </c>
      <c r="AA18" s="35">
        <f t="shared" si="2"/>
        <v>-183755</v>
      </c>
      <c r="AB18" s="35">
        <f t="shared" si="2"/>
        <v>-48452</v>
      </c>
      <c r="AC18" s="35">
        <f t="shared" si="2"/>
        <v>-59287</v>
      </c>
      <c r="AD18" s="35">
        <f t="shared" si="2"/>
        <v>-60205</v>
      </c>
      <c r="AE18" s="35">
        <f t="shared" si="2"/>
        <v>-69116</v>
      </c>
      <c r="AF18" s="35">
        <f t="shared" si="2"/>
        <v>-237060</v>
      </c>
      <c r="AG18" s="35">
        <f t="shared" si="2"/>
        <v>-68414</v>
      </c>
      <c r="AH18" s="35">
        <f t="shared" si="2"/>
        <v>-106868</v>
      </c>
      <c r="AI18" s="35">
        <f t="shared" ref="AI18:BM18" si="3">SUM(AI14:AI17)</f>
        <v>-73013</v>
      </c>
      <c r="AJ18" s="35">
        <f t="shared" si="3"/>
        <v>-83254</v>
      </c>
      <c r="AK18" s="35">
        <f t="shared" si="3"/>
        <v>-333454</v>
      </c>
      <c r="AL18" s="35">
        <f t="shared" si="3"/>
        <v>-67979</v>
      </c>
      <c r="AM18" s="35">
        <f t="shared" si="3"/>
        <v>-62615</v>
      </c>
      <c r="AN18" s="35">
        <f t="shared" si="3"/>
        <v>-66455</v>
      </c>
      <c r="AO18" s="35">
        <f t="shared" si="3"/>
        <v>-62743</v>
      </c>
      <c r="AP18" s="35">
        <f t="shared" si="3"/>
        <v>-259792</v>
      </c>
      <c r="AQ18" s="35">
        <f t="shared" si="3"/>
        <v>-63832</v>
      </c>
      <c r="AR18" s="35">
        <f t="shared" si="3"/>
        <v>-66201</v>
      </c>
      <c r="AS18" s="35">
        <f t="shared" si="3"/>
        <v>-70871</v>
      </c>
      <c r="AT18" s="35">
        <f t="shared" si="3"/>
        <v>-69706</v>
      </c>
      <c r="AU18" s="35">
        <f t="shared" si="3"/>
        <v>-270610</v>
      </c>
      <c r="AV18" s="35">
        <f t="shared" si="3"/>
        <v>-58970</v>
      </c>
      <c r="AW18" s="35">
        <f t="shared" si="3"/>
        <v>-63747</v>
      </c>
      <c r="AX18" s="35">
        <f t="shared" si="3"/>
        <v>-75169</v>
      </c>
      <c r="AY18" s="35">
        <f t="shared" si="3"/>
        <v>-112943</v>
      </c>
      <c r="AZ18" s="35">
        <f t="shared" si="3"/>
        <v>-310829</v>
      </c>
      <c r="BA18" s="35">
        <f t="shared" si="3"/>
        <v>-54373</v>
      </c>
      <c r="BB18" s="35">
        <f t="shared" si="3"/>
        <v>-190119</v>
      </c>
      <c r="BC18" s="35">
        <f t="shared" si="3"/>
        <v>-78983</v>
      </c>
      <c r="BD18" s="35">
        <f t="shared" si="3"/>
        <v>-128727</v>
      </c>
      <c r="BE18" s="35">
        <f t="shared" si="3"/>
        <v>-452202</v>
      </c>
      <c r="BF18" s="35">
        <f t="shared" si="3"/>
        <v>-77597</v>
      </c>
      <c r="BG18" s="35">
        <f t="shared" si="3"/>
        <v>-132781</v>
      </c>
      <c r="BH18" s="35">
        <f t="shared" si="3"/>
        <v>-81860</v>
      </c>
      <c r="BI18" s="35">
        <f t="shared" si="3"/>
        <v>-87397</v>
      </c>
      <c r="BJ18" s="35">
        <f t="shared" si="3"/>
        <v>-93227</v>
      </c>
      <c r="BK18" s="35">
        <f t="shared" si="3"/>
        <v>-149498</v>
      </c>
      <c r="BL18" s="35">
        <f t="shared" si="3"/>
        <v>-138762</v>
      </c>
      <c r="BM18" s="35">
        <f t="shared" si="3"/>
        <v>-137367</v>
      </c>
    </row>
    <row r="19" spans="1:65" x14ac:dyDescent="0.25">
      <c r="A19" s="22"/>
      <c r="C19" s="38"/>
      <c r="D19" s="38"/>
      <c r="E19" s="38"/>
      <c r="F19" s="38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BA19" s="31"/>
      <c r="BB19" s="31"/>
      <c r="BC19" s="31"/>
      <c r="BD19" s="31"/>
      <c r="BE19" s="31"/>
      <c r="BF19" s="31"/>
      <c r="BG19" s="31"/>
    </row>
    <row r="20" spans="1:65" x14ac:dyDescent="0.25">
      <c r="A20" s="22"/>
      <c r="B20" s="5" t="s">
        <v>116</v>
      </c>
      <c r="C20" s="38" t="e">
        <f t="shared" ref="C20:AH20" si="4">C11+C18</f>
        <v>#REF!</v>
      </c>
      <c r="D20" s="38" t="e">
        <f t="shared" si="4"/>
        <v>#REF!</v>
      </c>
      <c r="E20" s="38" t="e">
        <f t="shared" si="4"/>
        <v>#REF!</v>
      </c>
      <c r="F20" s="38" t="e">
        <f t="shared" si="4"/>
        <v>#REF!</v>
      </c>
      <c r="G20" s="35">
        <f t="shared" si="4"/>
        <v>137579</v>
      </c>
      <c r="H20" s="35">
        <f t="shared" si="4"/>
        <v>35344</v>
      </c>
      <c r="I20" s="35">
        <f t="shared" si="4"/>
        <v>37090</v>
      </c>
      <c r="J20" s="35">
        <f t="shared" si="4"/>
        <v>44325</v>
      </c>
      <c r="K20" s="35">
        <f t="shared" si="4"/>
        <v>38951</v>
      </c>
      <c r="L20" s="35">
        <f t="shared" si="4"/>
        <v>155710</v>
      </c>
      <c r="M20" s="35">
        <f t="shared" si="4"/>
        <v>38727</v>
      </c>
      <c r="N20" s="35">
        <f t="shared" si="4"/>
        <v>51402</v>
      </c>
      <c r="O20" s="35">
        <f t="shared" si="4"/>
        <v>43928</v>
      </c>
      <c r="P20" s="35">
        <f t="shared" si="4"/>
        <v>27968</v>
      </c>
      <c r="Q20" s="35">
        <f t="shared" si="4"/>
        <v>162025</v>
      </c>
      <c r="R20" s="35">
        <f t="shared" si="4"/>
        <v>37611</v>
      </c>
      <c r="S20" s="35">
        <f t="shared" si="4"/>
        <v>23889</v>
      </c>
      <c r="T20" s="35">
        <f t="shared" si="4"/>
        <v>28239</v>
      </c>
      <c r="U20" s="35">
        <f t="shared" si="4"/>
        <v>43379</v>
      </c>
      <c r="V20" s="35">
        <f t="shared" si="4"/>
        <v>133118</v>
      </c>
      <c r="W20" s="35">
        <f t="shared" si="4"/>
        <v>41747</v>
      </c>
      <c r="X20" s="35">
        <f t="shared" si="4"/>
        <v>38295</v>
      </c>
      <c r="Y20" s="35">
        <f t="shared" si="4"/>
        <v>54563</v>
      </c>
      <c r="Z20" s="35">
        <f t="shared" si="4"/>
        <v>38423</v>
      </c>
      <c r="AA20" s="35">
        <f t="shared" si="4"/>
        <v>173028</v>
      </c>
      <c r="AB20" s="35">
        <f t="shared" si="4"/>
        <v>47777</v>
      </c>
      <c r="AC20" s="35">
        <f t="shared" si="4"/>
        <v>48454</v>
      </c>
      <c r="AD20" s="35">
        <f t="shared" si="4"/>
        <v>56980</v>
      </c>
      <c r="AE20" s="35">
        <f t="shared" si="4"/>
        <v>40441</v>
      </c>
      <c r="AF20" s="35">
        <f t="shared" si="4"/>
        <v>193652</v>
      </c>
      <c r="AG20" s="35">
        <f t="shared" si="4"/>
        <v>38150</v>
      </c>
      <c r="AH20" s="35">
        <f t="shared" si="4"/>
        <v>5414</v>
      </c>
      <c r="AI20" s="35">
        <f t="shared" ref="AI20:BM20" si="5">AI11+AI18</f>
        <v>42904</v>
      </c>
      <c r="AJ20" s="35">
        <f t="shared" si="5"/>
        <v>28633</v>
      </c>
      <c r="AK20" s="35">
        <f t="shared" si="5"/>
        <v>113196</v>
      </c>
      <c r="AL20" s="35">
        <f t="shared" si="5"/>
        <v>9148</v>
      </c>
      <c r="AM20" s="35">
        <f t="shared" si="5"/>
        <v>21898</v>
      </c>
      <c r="AN20" s="35">
        <f t="shared" si="5"/>
        <v>33489</v>
      </c>
      <c r="AO20" s="35">
        <f t="shared" si="5"/>
        <v>29200</v>
      </c>
      <c r="AP20" s="35">
        <f t="shared" si="5"/>
        <v>93735</v>
      </c>
      <c r="AQ20" s="35">
        <f t="shared" si="5"/>
        <v>36704</v>
      </c>
      <c r="AR20" s="35">
        <f t="shared" si="5"/>
        <v>36958</v>
      </c>
      <c r="AS20" s="35">
        <f t="shared" si="5"/>
        <v>48738</v>
      </c>
      <c r="AT20" s="35">
        <f t="shared" si="5"/>
        <v>30247</v>
      </c>
      <c r="AU20" s="35">
        <f t="shared" si="5"/>
        <v>152647</v>
      </c>
      <c r="AV20" s="35">
        <f t="shared" si="5"/>
        <v>33735</v>
      </c>
      <c r="AW20" s="35">
        <f t="shared" si="5"/>
        <v>29869</v>
      </c>
      <c r="AX20" s="35">
        <f t="shared" si="5"/>
        <v>60847</v>
      </c>
      <c r="AY20" s="35">
        <f t="shared" si="5"/>
        <v>5918</v>
      </c>
      <c r="AZ20" s="35">
        <f t="shared" si="5"/>
        <v>130369</v>
      </c>
      <c r="BA20" s="35">
        <f t="shared" si="5"/>
        <v>32438</v>
      </c>
      <c r="BB20" s="35">
        <f t="shared" si="5"/>
        <v>-148046</v>
      </c>
      <c r="BC20" s="35">
        <f t="shared" si="5"/>
        <v>30257</v>
      </c>
      <c r="BD20" s="35">
        <f t="shared" si="5"/>
        <v>-24015</v>
      </c>
      <c r="BE20" s="35">
        <f t="shared" si="5"/>
        <v>-109366</v>
      </c>
      <c r="BF20" s="35">
        <f t="shared" si="5"/>
        <v>20070</v>
      </c>
      <c r="BG20" s="35">
        <f t="shared" si="5"/>
        <v>8911.2700000000186</v>
      </c>
      <c r="BH20" s="35">
        <f t="shared" si="5"/>
        <v>57874.64000000013</v>
      </c>
      <c r="BI20" s="35">
        <f t="shared" si="5"/>
        <v>49030.629999999888</v>
      </c>
      <c r="BJ20" s="35">
        <f t="shared" si="5"/>
        <v>60343.640000000014</v>
      </c>
      <c r="BK20" s="35">
        <f t="shared" si="5"/>
        <v>38527.630000000005</v>
      </c>
      <c r="BL20" s="35">
        <f t="shared" si="5"/>
        <v>72766.729999999981</v>
      </c>
      <c r="BM20" s="35">
        <f t="shared" si="5"/>
        <v>49158.559999999823</v>
      </c>
    </row>
    <row r="21" spans="1:65" x14ac:dyDescent="0.25">
      <c r="A21" s="22"/>
      <c r="B21" s="5"/>
      <c r="C21" s="38"/>
      <c r="D21" s="38"/>
      <c r="E21" s="38"/>
      <c r="F21" s="38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3"/>
      <c r="Y21" s="33"/>
      <c r="Z21" s="33"/>
      <c r="AA21" s="35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BA21" s="31"/>
      <c r="BB21" s="31"/>
      <c r="BC21" s="31"/>
      <c r="BD21" s="31"/>
      <c r="BE21" s="31"/>
      <c r="BF21" s="31"/>
      <c r="BG21" s="31"/>
    </row>
    <row r="22" spans="1:65" x14ac:dyDescent="0.25">
      <c r="A22" s="22"/>
      <c r="B22" s="5" t="s">
        <v>115</v>
      </c>
      <c r="C22" s="12"/>
      <c r="D22" s="12"/>
      <c r="E22" s="12"/>
      <c r="F22" s="12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3"/>
      <c r="Y22" s="33"/>
      <c r="Z22" s="33"/>
      <c r="AA22" s="39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BA22" s="31"/>
      <c r="BB22" s="31"/>
      <c r="BC22" s="31"/>
      <c r="BD22" s="31"/>
      <c r="BE22" s="31"/>
      <c r="BF22" s="31"/>
      <c r="BG22" s="31"/>
    </row>
    <row r="23" spans="1:65" x14ac:dyDescent="0.25">
      <c r="A23" s="22"/>
      <c r="B23" s="6" t="s">
        <v>114</v>
      </c>
      <c r="C23" s="12">
        <v>2403</v>
      </c>
      <c r="D23" s="12">
        <v>2240</v>
      </c>
      <c r="E23" s="12">
        <v>2592</v>
      </c>
      <c r="F23" s="12">
        <v>5233</v>
      </c>
      <c r="G23" s="39">
        <v>12468</v>
      </c>
      <c r="H23" s="39">
        <v>3270</v>
      </c>
      <c r="I23" s="39">
        <v>2778</v>
      </c>
      <c r="J23" s="39">
        <v>3442</v>
      </c>
      <c r="K23" s="39">
        <v>5854</v>
      </c>
      <c r="L23" s="39">
        <v>15344</v>
      </c>
      <c r="M23" s="39">
        <v>4170</v>
      </c>
      <c r="N23" s="39">
        <v>3455</v>
      </c>
      <c r="O23" s="39">
        <v>1351</v>
      </c>
      <c r="P23" s="39">
        <v>3840</v>
      </c>
      <c r="Q23" s="39">
        <v>12816</v>
      </c>
      <c r="R23" s="39">
        <v>4579</v>
      </c>
      <c r="S23" s="39">
        <v>10988</v>
      </c>
      <c r="T23" s="39">
        <v>7679</v>
      </c>
      <c r="U23" s="39">
        <v>2749</v>
      </c>
      <c r="V23" s="39">
        <v>25995</v>
      </c>
      <c r="W23" s="39">
        <v>3045</v>
      </c>
      <c r="X23" s="39">
        <v>3774</v>
      </c>
      <c r="Y23" s="39">
        <v>8461</v>
      </c>
      <c r="Z23" s="39">
        <v>9383</v>
      </c>
      <c r="AA23" s="39">
        <v>24663</v>
      </c>
      <c r="AB23" s="39">
        <v>15168</v>
      </c>
      <c r="AC23" s="39">
        <v>17000</v>
      </c>
      <c r="AD23" s="39">
        <v>37540</v>
      </c>
      <c r="AE23" s="39">
        <v>32883</v>
      </c>
      <c r="AF23" s="39">
        <v>102591</v>
      </c>
      <c r="AG23" s="39">
        <v>11903</v>
      </c>
      <c r="AH23" s="39">
        <v>13218</v>
      </c>
      <c r="AI23" s="39">
        <v>14404</v>
      </c>
      <c r="AJ23" s="39">
        <f>AK23-AG23-AH23-AI23</f>
        <v>13503</v>
      </c>
      <c r="AK23" s="39">
        <v>53028</v>
      </c>
      <c r="AL23" s="39">
        <v>21083</v>
      </c>
      <c r="AM23" s="39">
        <v>14185</v>
      </c>
      <c r="AN23" s="39">
        <v>18680</v>
      </c>
      <c r="AO23" s="39">
        <v>20152</v>
      </c>
      <c r="AP23" s="39">
        <v>74100</v>
      </c>
      <c r="AQ23" s="39">
        <v>22805</v>
      </c>
      <c r="AR23" s="39">
        <v>15622</v>
      </c>
      <c r="AS23" s="39">
        <v>12349</v>
      </c>
      <c r="AT23" s="39">
        <v>37619</v>
      </c>
      <c r="AU23" s="39">
        <v>88395</v>
      </c>
      <c r="AV23" s="39">
        <v>13578</v>
      </c>
      <c r="AW23" s="39">
        <v>13548</v>
      </c>
      <c r="AX23" s="39">
        <v>26019</v>
      </c>
      <c r="AY23" s="41">
        <v>29567</v>
      </c>
      <c r="AZ23" s="41">
        <v>82712</v>
      </c>
      <c r="BA23" s="41">
        <v>15904</v>
      </c>
      <c r="BB23" s="41">
        <v>26328</v>
      </c>
      <c r="BC23" s="41">
        <v>22783</v>
      </c>
      <c r="BD23" s="41">
        <v>23331</v>
      </c>
      <c r="BE23" s="41">
        <v>88346</v>
      </c>
      <c r="BF23" s="41">
        <v>17308</v>
      </c>
      <c r="BG23" s="41">
        <v>52414</v>
      </c>
      <c r="BH23" s="41">
        <v>46156</v>
      </c>
      <c r="BI23" s="41">
        <v>45926</v>
      </c>
      <c r="BJ23" s="41">
        <v>33437</v>
      </c>
      <c r="BK23" s="41">
        <v>73243</v>
      </c>
      <c r="BL23" s="41">
        <v>53598</v>
      </c>
      <c r="BM23" s="41">
        <v>59984</v>
      </c>
    </row>
    <row r="24" spans="1:65" x14ac:dyDescent="0.25">
      <c r="A24" s="22"/>
      <c r="B24" s="6" t="s">
        <v>113</v>
      </c>
      <c r="C24" s="12">
        <v>-5331</v>
      </c>
      <c r="D24" s="12">
        <v>-5898</v>
      </c>
      <c r="E24" s="12">
        <v>-5980</v>
      </c>
      <c r="F24" s="12">
        <v>-7294</v>
      </c>
      <c r="G24" s="39">
        <v>-24503</v>
      </c>
      <c r="H24" s="39">
        <v>-6898</v>
      </c>
      <c r="I24" s="39">
        <v>-5269</v>
      </c>
      <c r="J24" s="39">
        <v>-6043</v>
      </c>
      <c r="K24" s="39">
        <v>-7431</v>
      </c>
      <c r="L24" s="39">
        <v>-25641</v>
      </c>
      <c r="M24" s="39">
        <v>-7448</v>
      </c>
      <c r="N24" s="39">
        <v>-4595</v>
      </c>
      <c r="O24" s="39">
        <v>-5017</v>
      </c>
      <c r="P24" s="39">
        <v>-7290</v>
      </c>
      <c r="Q24" s="39">
        <v>-24350</v>
      </c>
      <c r="R24" s="39">
        <v>-11365</v>
      </c>
      <c r="S24" s="39">
        <v>-3756</v>
      </c>
      <c r="T24" s="39">
        <v>-13835</v>
      </c>
      <c r="U24" s="39">
        <v>-9931</v>
      </c>
      <c r="V24" s="39">
        <v>-38887</v>
      </c>
      <c r="W24" s="39">
        <v>-13312</v>
      </c>
      <c r="X24" s="39">
        <v>-11743</v>
      </c>
      <c r="Y24" s="39">
        <v>-10803</v>
      </c>
      <c r="Z24" s="39">
        <v>-12256</v>
      </c>
      <c r="AA24" s="39">
        <v>-48114</v>
      </c>
      <c r="AB24" s="39">
        <v>-9579</v>
      </c>
      <c r="AC24" s="39">
        <v>-29069</v>
      </c>
      <c r="AD24" s="39">
        <v>-26640</v>
      </c>
      <c r="AE24" s="39">
        <v>-51496</v>
      </c>
      <c r="AF24" s="39">
        <v>-116784</v>
      </c>
      <c r="AG24" s="39">
        <v>-30997</v>
      </c>
      <c r="AH24" s="39">
        <v>-22313</v>
      </c>
      <c r="AI24" s="39">
        <v>-26490</v>
      </c>
      <c r="AJ24" s="39">
        <f>AK24-AG24-AH24-AI24</f>
        <v>-18978</v>
      </c>
      <c r="AK24" s="39">
        <v>-98778</v>
      </c>
      <c r="AL24" s="39">
        <v>-23000</v>
      </c>
      <c r="AM24" s="39">
        <v>-28333</v>
      </c>
      <c r="AN24" s="39">
        <v>-26614</v>
      </c>
      <c r="AO24" s="39">
        <v>-25476</v>
      </c>
      <c r="AP24" s="39">
        <v>-103423</v>
      </c>
      <c r="AQ24" s="39">
        <v>-27297</v>
      </c>
      <c r="AR24" s="39">
        <v>-29713</v>
      </c>
      <c r="AS24" s="39">
        <v>-25625</v>
      </c>
      <c r="AT24" s="39">
        <v>-31974</v>
      </c>
      <c r="AU24" s="39">
        <v>-114609</v>
      </c>
      <c r="AV24" s="39">
        <v>-24306</v>
      </c>
      <c r="AW24" s="39">
        <v>-31521</v>
      </c>
      <c r="AX24" s="39">
        <v>-42374</v>
      </c>
      <c r="AY24" s="39">
        <v>-45056</v>
      </c>
      <c r="AZ24" s="39">
        <v>-143257</v>
      </c>
      <c r="BA24" s="39">
        <v>-39890</v>
      </c>
      <c r="BB24" s="39">
        <v>-37347</v>
      </c>
      <c r="BC24" s="39">
        <v>-55939</v>
      </c>
      <c r="BD24" s="41">
        <v>-40305</v>
      </c>
      <c r="BE24" s="39">
        <v>-173481</v>
      </c>
      <c r="BF24" s="39">
        <v>-35899</v>
      </c>
      <c r="BG24" s="39">
        <v>-84055</v>
      </c>
      <c r="BH24" s="41">
        <v>-45066</v>
      </c>
      <c r="BI24" s="41">
        <v>-65039</v>
      </c>
      <c r="BJ24" s="41">
        <v>-118189</v>
      </c>
      <c r="BK24" s="41">
        <v>-89957</v>
      </c>
      <c r="BL24" s="41">
        <v>-104634</v>
      </c>
      <c r="BM24" s="41">
        <v>-94059</v>
      </c>
    </row>
    <row r="25" spans="1:65" x14ac:dyDescent="0.25">
      <c r="A25" s="22"/>
      <c r="C25" s="38">
        <f t="shared" ref="C25:AI25" si="6">SUM(C23:C24)</f>
        <v>-2928</v>
      </c>
      <c r="D25" s="38">
        <f t="shared" si="6"/>
        <v>-3658</v>
      </c>
      <c r="E25" s="38">
        <f t="shared" si="6"/>
        <v>-3388</v>
      </c>
      <c r="F25" s="38">
        <f t="shared" si="6"/>
        <v>-2061</v>
      </c>
      <c r="G25" s="35">
        <f t="shared" si="6"/>
        <v>-12035</v>
      </c>
      <c r="H25" s="35">
        <f t="shared" si="6"/>
        <v>-3628</v>
      </c>
      <c r="I25" s="35">
        <f t="shared" si="6"/>
        <v>-2491</v>
      </c>
      <c r="J25" s="35">
        <f t="shared" si="6"/>
        <v>-2601</v>
      </c>
      <c r="K25" s="35">
        <f t="shared" si="6"/>
        <v>-1577</v>
      </c>
      <c r="L25" s="35">
        <f t="shared" si="6"/>
        <v>-10297</v>
      </c>
      <c r="M25" s="35">
        <f t="shared" si="6"/>
        <v>-3278</v>
      </c>
      <c r="N25" s="35">
        <f t="shared" si="6"/>
        <v>-1140</v>
      </c>
      <c r="O25" s="35">
        <f t="shared" si="6"/>
        <v>-3666</v>
      </c>
      <c r="P25" s="35">
        <f t="shared" si="6"/>
        <v>-3450</v>
      </c>
      <c r="Q25" s="35">
        <f t="shared" si="6"/>
        <v>-11534</v>
      </c>
      <c r="R25" s="35">
        <f t="shared" si="6"/>
        <v>-6786</v>
      </c>
      <c r="S25" s="35">
        <f t="shared" si="6"/>
        <v>7232</v>
      </c>
      <c r="T25" s="35">
        <f t="shared" si="6"/>
        <v>-6156</v>
      </c>
      <c r="U25" s="35">
        <f t="shared" si="6"/>
        <v>-7182</v>
      </c>
      <c r="V25" s="35">
        <f t="shared" si="6"/>
        <v>-12892</v>
      </c>
      <c r="W25" s="35">
        <f t="shared" si="6"/>
        <v>-10267</v>
      </c>
      <c r="X25" s="35">
        <f t="shared" si="6"/>
        <v>-7969</v>
      </c>
      <c r="Y25" s="35">
        <f t="shared" si="6"/>
        <v>-2342</v>
      </c>
      <c r="Z25" s="35">
        <f t="shared" si="6"/>
        <v>-2873</v>
      </c>
      <c r="AA25" s="35">
        <f t="shared" si="6"/>
        <v>-23451</v>
      </c>
      <c r="AB25" s="35">
        <f t="shared" si="6"/>
        <v>5589</v>
      </c>
      <c r="AC25" s="35">
        <f t="shared" si="6"/>
        <v>-12069</v>
      </c>
      <c r="AD25" s="35">
        <f t="shared" si="6"/>
        <v>10900</v>
      </c>
      <c r="AE25" s="35">
        <f t="shared" si="6"/>
        <v>-18613</v>
      </c>
      <c r="AF25" s="35">
        <f t="shared" si="6"/>
        <v>-14193</v>
      </c>
      <c r="AG25" s="35">
        <f t="shared" si="6"/>
        <v>-19094</v>
      </c>
      <c r="AH25" s="35">
        <f t="shared" si="6"/>
        <v>-9095</v>
      </c>
      <c r="AI25" s="35">
        <f t="shared" si="6"/>
        <v>-12086</v>
      </c>
      <c r="AJ25" s="35">
        <f>AK25-AG25-AH25-AI25</f>
        <v>-5475</v>
      </c>
      <c r="AK25" s="35">
        <f t="shared" ref="AK25:BM25" si="7">SUM(AK23:AK24)</f>
        <v>-45750</v>
      </c>
      <c r="AL25" s="35">
        <f t="shared" si="7"/>
        <v>-1917</v>
      </c>
      <c r="AM25" s="35">
        <f t="shared" si="7"/>
        <v>-14148</v>
      </c>
      <c r="AN25" s="35">
        <f t="shared" si="7"/>
        <v>-7934</v>
      </c>
      <c r="AO25" s="35">
        <f t="shared" si="7"/>
        <v>-5324</v>
      </c>
      <c r="AP25" s="35">
        <f t="shared" si="7"/>
        <v>-29323</v>
      </c>
      <c r="AQ25" s="35">
        <f t="shared" si="7"/>
        <v>-4492</v>
      </c>
      <c r="AR25" s="35">
        <f t="shared" si="7"/>
        <v>-14091</v>
      </c>
      <c r="AS25" s="35">
        <f t="shared" si="7"/>
        <v>-13276</v>
      </c>
      <c r="AT25" s="35">
        <f t="shared" si="7"/>
        <v>5645</v>
      </c>
      <c r="AU25" s="35">
        <f t="shared" si="7"/>
        <v>-26214</v>
      </c>
      <c r="AV25" s="35">
        <f t="shared" si="7"/>
        <v>-10728</v>
      </c>
      <c r="AW25" s="35">
        <f t="shared" si="7"/>
        <v>-17973</v>
      </c>
      <c r="AX25" s="35">
        <f t="shared" si="7"/>
        <v>-16355</v>
      </c>
      <c r="AY25" s="35">
        <f t="shared" si="7"/>
        <v>-15489</v>
      </c>
      <c r="AZ25" s="35">
        <f t="shared" si="7"/>
        <v>-60545</v>
      </c>
      <c r="BA25" s="35">
        <f t="shared" si="7"/>
        <v>-23986</v>
      </c>
      <c r="BB25" s="35">
        <f t="shared" si="7"/>
        <v>-11019</v>
      </c>
      <c r="BC25" s="35">
        <f t="shared" si="7"/>
        <v>-33156</v>
      </c>
      <c r="BD25" s="35">
        <f t="shared" si="7"/>
        <v>-16974</v>
      </c>
      <c r="BE25" s="35">
        <f t="shared" si="7"/>
        <v>-85135</v>
      </c>
      <c r="BF25" s="35">
        <f t="shared" si="7"/>
        <v>-18591</v>
      </c>
      <c r="BG25" s="35">
        <f t="shared" si="7"/>
        <v>-31641</v>
      </c>
      <c r="BH25" s="35">
        <f t="shared" si="7"/>
        <v>1090</v>
      </c>
      <c r="BI25" s="35">
        <f t="shared" si="7"/>
        <v>-19113</v>
      </c>
      <c r="BJ25" s="35">
        <f t="shared" si="7"/>
        <v>-84752</v>
      </c>
      <c r="BK25" s="35">
        <f t="shared" si="7"/>
        <v>-16714</v>
      </c>
      <c r="BL25" s="35">
        <f t="shared" si="7"/>
        <v>-51036</v>
      </c>
      <c r="BM25" s="35">
        <f t="shared" si="7"/>
        <v>-34075</v>
      </c>
    </row>
    <row r="26" spans="1:65" x14ac:dyDescent="0.25">
      <c r="A26" s="22"/>
      <c r="C26" s="38"/>
      <c r="D26" s="38"/>
      <c r="E26" s="38"/>
      <c r="F26" s="38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BA26" s="31"/>
      <c r="BB26" s="31"/>
      <c r="BC26" s="31"/>
      <c r="BD26" s="31"/>
      <c r="BE26" s="31"/>
      <c r="BF26" s="31"/>
      <c r="BG26" s="31"/>
    </row>
    <row r="27" spans="1:65" x14ac:dyDescent="0.25">
      <c r="A27" s="22"/>
      <c r="B27" s="5" t="s">
        <v>112</v>
      </c>
      <c r="C27" s="38" t="e">
        <f t="shared" ref="C27:AH27" si="8">C20+C25</f>
        <v>#REF!</v>
      </c>
      <c r="D27" s="38" t="e">
        <f t="shared" si="8"/>
        <v>#REF!</v>
      </c>
      <c r="E27" s="38" t="e">
        <f t="shared" si="8"/>
        <v>#REF!</v>
      </c>
      <c r="F27" s="38" t="e">
        <f t="shared" si="8"/>
        <v>#REF!</v>
      </c>
      <c r="G27" s="35">
        <f t="shared" si="8"/>
        <v>125544</v>
      </c>
      <c r="H27" s="35">
        <f t="shared" si="8"/>
        <v>31716</v>
      </c>
      <c r="I27" s="35">
        <f t="shared" si="8"/>
        <v>34599</v>
      </c>
      <c r="J27" s="35">
        <f t="shared" si="8"/>
        <v>41724</v>
      </c>
      <c r="K27" s="35">
        <f t="shared" si="8"/>
        <v>37374</v>
      </c>
      <c r="L27" s="35">
        <f t="shared" si="8"/>
        <v>145413</v>
      </c>
      <c r="M27" s="35">
        <f t="shared" si="8"/>
        <v>35449</v>
      </c>
      <c r="N27" s="35">
        <f t="shared" si="8"/>
        <v>50262</v>
      </c>
      <c r="O27" s="35">
        <f t="shared" si="8"/>
        <v>40262</v>
      </c>
      <c r="P27" s="35">
        <f t="shared" si="8"/>
        <v>24518</v>
      </c>
      <c r="Q27" s="35">
        <f t="shared" si="8"/>
        <v>150491</v>
      </c>
      <c r="R27" s="35">
        <f t="shared" si="8"/>
        <v>30825</v>
      </c>
      <c r="S27" s="35">
        <f t="shared" si="8"/>
        <v>31121</v>
      </c>
      <c r="T27" s="35">
        <f t="shared" si="8"/>
        <v>22083</v>
      </c>
      <c r="U27" s="35">
        <f t="shared" si="8"/>
        <v>36197</v>
      </c>
      <c r="V27" s="35">
        <f t="shared" si="8"/>
        <v>120226</v>
      </c>
      <c r="W27" s="35">
        <f t="shared" si="8"/>
        <v>31480</v>
      </c>
      <c r="X27" s="35">
        <f t="shared" si="8"/>
        <v>30326</v>
      </c>
      <c r="Y27" s="35">
        <f t="shared" si="8"/>
        <v>52221</v>
      </c>
      <c r="Z27" s="35">
        <f t="shared" si="8"/>
        <v>35550</v>
      </c>
      <c r="AA27" s="35">
        <f t="shared" si="8"/>
        <v>149577</v>
      </c>
      <c r="AB27" s="35">
        <f t="shared" si="8"/>
        <v>53366</v>
      </c>
      <c r="AC27" s="35">
        <f t="shared" si="8"/>
        <v>36385</v>
      </c>
      <c r="AD27" s="35">
        <f t="shared" si="8"/>
        <v>67880</v>
      </c>
      <c r="AE27" s="35">
        <f t="shared" si="8"/>
        <v>21828</v>
      </c>
      <c r="AF27" s="35">
        <f t="shared" si="8"/>
        <v>179459</v>
      </c>
      <c r="AG27" s="35">
        <f t="shared" si="8"/>
        <v>19056</v>
      </c>
      <c r="AH27" s="35">
        <f t="shared" si="8"/>
        <v>-3681</v>
      </c>
      <c r="AI27" s="35">
        <f t="shared" ref="AI27:BM27" si="9">AI20+AI25</f>
        <v>30818</v>
      </c>
      <c r="AJ27" s="35">
        <f t="shared" si="9"/>
        <v>23158</v>
      </c>
      <c r="AK27" s="35">
        <f t="shared" si="9"/>
        <v>67446</v>
      </c>
      <c r="AL27" s="35">
        <f t="shared" si="9"/>
        <v>7231</v>
      </c>
      <c r="AM27" s="35">
        <f t="shared" si="9"/>
        <v>7750</v>
      </c>
      <c r="AN27" s="35">
        <f t="shared" si="9"/>
        <v>25555</v>
      </c>
      <c r="AO27" s="35">
        <f t="shared" si="9"/>
        <v>23876</v>
      </c>
      <c r="AP27" s="35">
        <f t="shared" si="9"/>
        <v>64412</v>
      </c>
      <c r="AQ27" s="35">
        <f t="shared" si="9"/>
        <v>32212</v>
      </c>
      <c r="AR27" s="35">
        <f t="shared" si="9"/>
        <v>22867</v>
      </c>
      <c r="AS27" s="35">
        <f t="shared" si="9"/>
        <v>35462</v>
      </c>
      <c r="AT27" s="35">
        <f t="shared" si="9"/>
        <v>35892</v>
      </c>
      <c r="AU27" s="35">
        <f t="shared" si="9"/>
        <v>126433</v>
      </c>
      <c r="AV27" s="35">
        <f t="shared" si="9"/>
        <v>23007</v>
      </c>
      <c r="AW27" s="35">
        <f t="shared" si="9"/>
        <v>11896</v>
      </c>
      <c r="AX27" s="35">
        <f t="shared" si="9"/>
        <v>44492</v>
      </c>
      <c r="AY27" s="35">
        <f t="shared" si="9"/>
        <v>-9571</v>
      </c>
      <c r="AZ27" s="35">
        <f t="shared" si="9"/>
        <v>69824</v>
      </c>
      <c r="BA27" s="35">
        <f t="shared" si="9"/>
        <v>8452</v>
      </c>
      <c r="BB27" s="35">
        <f t="shared" si="9"/>
        <v>-159065</v>
      </c>
      <c r="BC27" s="35">
        <f t="shared" si="9"/>
        <v>-2899</v>
      </c>
      <c r="BD27" s="35">
        <f t="shared" si="9"/>
        <v>-40989</v>
      </c>
      <c r="BE27" s="35">
        <f t="shared" si="9"/>
        <v>-194501</v>
      </c>
      <c r="BF27" s="35">
        <f t="shared" si="9"/>
        <v>1479</v>
      </c>
      <c r="BG27" s="35">
        <f t="shared" si="9"/>
        <v>-22729.729999999981</v>
      </c>
      <c r="BH27" s="35">
        <f t="shared" si="9"/>
        <v>58964.64000000013</v>
      </c>
      <c r="BI27" s="35">
        <f t="shared" si="9"/>
        <v>29917.629999999888</v>
      </c>
      <c r="BJ27" s="35">
        <f t="shared" si="9"/>
        <v>-24408.359999999986</v>
      </c>
      <c r="BK27" s="35">
        <f t="shared" si="9"/>
        <v>21813.630000000005</v>
      </c>
      <c r="BL27" s="35">
        <f t="shared" si="9"/>
        <v>21730.729999999981</v>
      </c>
      <c r="BM27" s="35">
        <f t="shared" si="9"/>
        <v>15083.559999999823</v>
      </c>
    </row>
    <row r="28" spans="1:65" x14ac:dyDescent="0.25">
      <c r="A28" s="22"/>
      <c r="B28" s="5"/>
      <c r="C28" s="38"/>
      <c r="D28" s="38"/>
      <c r="E28" s="38"/>
      <c r="F28" s="38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BA28" s="31"/>
      <c r="BB28" s="31"/>
      <c r="BC28" s="31"/>
      <c r="BD28" s="31"/>
      <c r="BE28" s="31"/>
      <c r="BF28" s="31"/>
      <c r="BG28" s="31"/>
    </row>
    <row r="29" spans="1:65" x14ac:dyDescent="0.25">
      <c r="A29" s="22"/>
      <c r="B29" s="5" t="s">
        <v>111</v>
      </c>
      <c r="C29" s="38"/>
      <c r="D29" s="38"/>
      <c r="E29" s="38"/>
      <c r="F29" s="38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BA29" s="31"/>
      <c r="BB29" s="31"/>
      <c r="BC29" s="31"/>
      <c r="BD29" s="31"/>
      <c r="BE29" s="31"/>
      <c r="BF29" s="31"/>
      <c r="BG29" s="31"/>
    </row>
    <row r="30" spans="1:65" x14ac:dyDescent="0.25">
      <c r="A30" s="22"/>
      <c r="B30" s="6" t="s">
        <v>110</v>
      </c>
      <c r="C30" s="12">
        <v>-6411</v>
      </c>
      <c r="D30" s="12">
        <v>-4230</v>
      </c>
      <c r="E30" s="12">
        <v>-6276</v>
      </c>
      <c r="F30" s="12">
        <v>-2767</v>
      </c>
      <c r="G30" s="39">
        <v>-19684</v>
      </c>
      <c r="H30" s="39">
        <v>-8554</v>
      </c>
      <c r="I30" s="39">
        <v>-4983</v>
      </c>
      <c r="J30" s="39">
        <v>-9403</v>
      </c>
      <c r="K30" s="39">
        <v>-6205</v>
      </c>
      <c r="L30" s="39">
        <v>-29145</v>
      </c>
      <c r="M30" s="39">
        <v>-7176</v>
      </c>
      <c r="N30" s="39">
        <v>-12450</v>
      </c>
      <c r="O30" s="39">
        <v>-10143</v>
      </c>
      <c r="P30" s="39">
        <v>-9537</v>
      </c>
      <c r="Q30" s="39">
        <v>-39306</v>
      </c>
      <c r="R30" s="39">
        <v>-6339</v>
      </c>
      <c r="S30" s="39">
        <v>-10471</v>
      </c>
      <c r="T30" s="39">
        <v>-10914</v>
      </c>
      <c r="U30" s="39">
        <v>-15627</v>
      </c>
      <c r="V30" s="39">
        <v>-43351</v>
      </c>
      <c r="W30" s="39">
        <v>-7645</v>
      </c>
      <c r="X30" s="39">
        <v>-10710</v>
      </c>
      <c r="Y30" s="39">
        <v>-10388</v>
      </c>
      <c r="Z30" s="39">
        <v>-10978</v>
      </c>
      <c r="AA30" s="39">
        <v>-39721</v>
      </c>
      <c r="AB30" s="39">
        <v>-12060</v>
      </c>
      <c r="AC30" s="39">
        <v>-5888</v>
      </c>
      <c r="AD30" s="39">
        <v>-24348</v>
      </c>
      <c r="AE30" s="39">
        <v>-7036</v>
      </c>
      <c r="AF30" s="39">
        <v>-49332</v>
      </c>
      <c r="AG30" s="39">
        <v>-8735</v>
      </c>
      <c r="AH30" s="39">
        <v>-14524</v>
      </c>
      <c r="AI30" s="39">
        <v>-4695</v>
      </c>
      <c r="AJ30" s="39">
        <f>AK30-AG30-AH30-AI30</f>
        <v>-8471</v>
      </c>
      <c r="AK30" s="39">
        <v>-36425</v>
      </c>
      <c r="AL30" s="39">
        <v>-7686</v>
      </c>
      <c r="AM30" s="39">
        <v>-6619</v>
      </c>
      <c r="AN30" s="39">
        <v>-6645</v>
      </c>
      <c r="AO30" s="39">
        <v>-6344</v>
      </c>
      <c r="AP30" s="39">
        <v>-27294</v>
      </c>
      <c r="AQ30" s="39">
        <v>-9603</v>
      </c>
      <c r="AR30" s="39">
        <v>-11376</v>
      </c>
      <c r="AS30" s="39">
        <v>-11535</v>
      </c>
      <c r="AT30" s="39">
        <v>2605</v>
      </c>
      <c r="AU30" s="39">
        <v>-29909</v>
      </c>
      <c r="AV30" s="39">
        <v>-8735</v>
      </c>
      <c r="AW30" s="39">
        <v>-6617</v>
      </c>
      <c r="AX30" s="39">
        <v>-19121</v>
      </c>
      <c r="AY30" s="39">
        <v>1758</v>
      </c>
      <c r="AZ30" s="39">
        <v>-32715</v>
      </c>
      <c r="BA30" s="39">
        <v>-7873</v>
      </c>
      <c r="BB30" s="39">
        <v>5533</v>
      </c>
      <c r="BC30" s="39">
        <v>2131</v>
      </c>
      <c r="BD30" s="41">
        <v>-8887</v>
      </c>
      <c r="BE30" s="39">
        <v>-9096</v>
      </c>
      <c r="BF30" s="39">
        <v>-8996</v>
      </c>
      <c r="BG30" s="39">
        <v>-1661</v>
      </c>
      <c r="BH30" s="41">
        <v>-5015</v>
      </c>
      <c r="BI30" s="41">
        <v>-7538</v>
      </c>
      <c r="BJ30" s="41">
        <v>-7010</v>
      </c>
      <c r="BK30" s="41">
        <v>-18875</v>
      </c>
      <c r="BL30" s="41">
        <v>-10602</v>
      </c>
      <c r="BM30" s="41">
        <v>-8315</v>
      </c>
    </row>
    <row r="31" spans="1:65" x14ac:dyDescent="0.25">
      <c r="A31" s="22"/>
      <c r="B31" s="6" t="s">
        <v>109</v>
      </c>
      <c r="C31" s="12">
        <v>-2436</v>
      </c>
      <c r="D31" s="12">
        <v>-2315</v>
      </c>
      <c r="E31" s="12">
        <v>-1529</v>
      </c>
      <c r="F31" s="12">
        <v>-5660</v>
      </c>
      <c r="G31" s="39">
        <v>-11940</v>
      </c>
      <c r="H31" s="39">
        <v>-1919</v>
      </c>
      <c r="I31" s="39">
        <v>895</v>
      </c>
      <c r="J31" s="39">
        <v>-1499</v>
      </c>
      <c r="K31" s="39">
        <v>-1925</v>
      </c>
      <c r="L31" s="39">
        <v>-4448</v>
      </c>
      <c r="M31" s="39">
        <v>-4984</v>
      </c>
      <c r="N31" s="39">
        <v>2476</v>
      </c>
      <c r="O31" s="39">
        <v>-2682</v>
      </c>
      <c r="P31" s="39">
        <v>-3166</v>
      </c>
      <c r="Q31" s="39">
        <v>-8356</v>
      </c>
      <c r="R31" s="39">
        <v>1880</v>
      </c>
      <c r="S31" s="39">
        <v>-298</v>
      </c>
      <c r="T31" s="39">
        <v>9788</v>
      </c>
      <c r="U31" s="39">
        <v>3482</v>
      </c>
      <c r="V31" s="39">
        <v>14852</v>
      </c>
      <c r="W31" s="39">
        <v>-407</v>
      </c>
      <c r="X31" s="39">
        <v>3862</v>
      </c>
      <c r="Y31" s="39">
        <v>-5641</v>
      </c>
      <c r="Z31" s="39">
        <v>2472</v>
      </c>
      <c r="AA31" s="39">
        <v>286</v>
      </c>
      <c r="AB31" s="39">
        <v>-5663</v>
      </c>
      <c r="AC31" s="39">
        <v>-131</v>
      </c>
      <c r="AD31" s="39">
        <v>-16</v>
      </c>
      <c r="AE31" s="39">
        <v>8781</v>
      </c>
      <c r="AF31" s="39">
        <v>2971</v>
      </c>
      <c r="AG31" s="39">
        <v>1448</v>
      </c>
      <c r="AH31" s="39">
        <v>16586</v>
      </c>
      <c r="AI31" s="39">
        <v>4116</v>
      </c>
      <c r="AJ31" s="39">
        <f>AK31-AG31-AH31-AI31</f>
        <v>13458</v>
      </c>
      <c r="AK31" s="39">
        <v>35608</v>
      </c>
      <c r="AL31" s="39">
        <v>8450</v>
      </c>
      <c r="AM31" s="39">
        <v>2296</v>
      </c>
      <c r="AN31" s="39">
        <v>-3547</v>
      </c>
      <c r="AO31" s="39">
        <v>-16559</v>
      </c>
      <c r="AP31" s="39">
        <v>-9360</v>
      </c>
      <c r="AQ31" s="39">
        <v>-2307</v>
      </c>
      <c r="AR31" s="39">
        <v>1973</v>
      </c>
      <c r="AS31" s="39">
        <v>307</v>
      </c>
      <c r="AT31" s="39">
        <v>3581</v>
      </c>
      <c r="AU31" s="39">
        <v>3554</v>
      </c>
      <c r="AV31" s="39">
        <v>-179</v>
      </c>
      <c r="AW31" s="39">
        <v>1666</v>
      </c>
      <c r="AX31" s="39">
        <v>7188</v>
      </c>
      <c r="AY31" s="39">
        <v>7957</v>
      </c>
      <c r="AZ31" s="39">
        <v>16632</v>
      </c>
      <c r="BA31" s="39">
        <v>435</v>
      </c>
      <c r="BB31" s="39">
        <v>5423</v>
      </c>
      <c r="BC31" s="39">
        <v>302</v>
      </c>
      <c r="BD31" s="41">
        <v>-4212</v>
      </c>
      <c r="BE31" s="39">
        <v>1948</v>
      </c>
      <c r="BF31" s="39">
        <v>4741</v>
      </c>
      <c r="BG31" s="39">
        <v>6119</v>
      </c>
      <c r="BH31" s="41">
        <v>-1030</v>
      </c>
      <c r="BI31" s="41">
        <v>3765</v>
      </c>
      <c r="BJ31" s="41">
        <v>14944</v>
      </c>
      <c r="BK31" s="41">
        <v>-7203</v>
      </c>
      <c r="BL31" s="41">
        <v>10274</v>
      </c>
      <c r="BM31" s="41">
        <v>8071</v>
      </c>
    </row>
    <row r="32" spans="1:65" x14ac:dyDescent="0.25">
      <c r="A32" s="22"/>
      <c r="C32" s="38">
        <f t="shared" ref="C32:AI32" si="10">SUM(C30:C31)</f>
        <v>-8847</v>
      </c>
      <c r="D32" s="38">
        <f t="shared" si="10"/>
        <v>-6545</v>
      </c>
      <c r="E32" s="38">
        <f t="shared" si="10"/>
        <v>-7805</v>
      </c>
      <c r="F32" s="38">
        <f t="shared" si="10"/>
        <v>-8427</v>
      </c>
      <c r="G32" s="35">
        <f t="shared" si="10"/>
        <v>-31624</v>
      </c>
      <c r="H32" s="35">
        <f t="shared" si="10"/>
        <v>-10473</v>
      </c>
      <c r="I32" s="35">
        <f t="shared" si="10"/>
        <v>-4088</v>
      </c>
      <c r="J32" s="35">
        <f t="shared" si="10"/>
        <v>-10902</v>
      </c>
      <c r="K32" s="35">
        <f t="shared" si="10"/>
        <v>-8130</v>
      </c>
      <c r="L32" s="35">
        <f t="shared" si="10"/>
        <v>-33593</v>
      </c>
      <c r="M32" s="35">
        <f t="shared" si="10"/>
        <v>-12160</v>
      </c>
      <c r="N32" s="35">
        <f t="shared" si="10"/>
        <v>-9974</v>
      </c>
      <c r="O32" s="35">
        <f t="shared" si="10"/>
        <v>-12825</v>
      </c>
      <c r="P32" s="35">
        <f t="shared" si="10"/>
        <v>-12703</v>
      </c>
      <c r="Q32" s="35">
        <f t="shared" si="10"/>
        <v>-47662</v>
      </c>
      <c r="R32" s="35">
        <f t="shared" si="10"/>
        <v>-4459</v>
      </c>
      <c r="S32" s="35">
        <f t="shared" si="10"/>
        <v>-10769</v>
      </c>
      <c r="T32" s="35">
        <f t="shared" si="10"/>
        <v>-1126</v>
      </c>
      <c r="U32" s="35">
        <f t="shared" si="10"/>
        <v>-12145</v>
      </c>
      <c r="V32" s="35">
        <f t="shared" si="10"/>
        <v>-28499</v>
      </c>
      <c r="W32" s="35">
        <f t="shared" si="10"/>
        <v>-8052</v>
      </c>
      <c r="X32" s="35">
        <f t="shared" si="10"/>
        <v>-6848</v>
      </c>
      <c r="Y32" s="35">
        <f t="shared" si="10"/>
        <v>-16029</v>
      </c>
      <c r="Z32" s="35">
        <f t="shared" si="10"/>
        <v>-8506</v>
      </c>
      <c r="AA32" s="35">
        <f t="shared" si="10"/>
        <v>-39435</v>
      </c>
      <c r="AB32" s="35">
        <f t="shared" si="10"/>
        <v>-17723</v>
      </c>
      <c r="AC32" s="35">
        <f t="shared" si="10"/>
        <v>-6019</v>
      </c>
      <c r="AD32" s="35">
        <f t="shared" si="10"/>
        <v>-24364</v>
      </c>
      <c r="AE32" s="35">
        <f t="shared" si="10"/>
        <v>1745</v>
      </c>
      <c r="AF32" s="35">
        <f t="shared" si="10"/>
        <v>-46361</v>
      </c>
      <c r="AG32" s="35">
        <f t="shared" si="10"/>
        <v>-7287</v>
      </c>
      <c r="AH32" s="35">
        <f t="shared" si="10"/>
        <v>2062</v>
      </c>
      <c r="AI32" s="35">
        <f t="shared" si="10"/>
        <v>-579</v>
      </c>
      <c r="AJ32" s="35">
        <f>AK32-AG32-AH32-AI32</f>
        <v>4987</v>
      </c>
      <c r="AK32" s="35">
        <f t="shared" ref="AK32:BM32" si="11">SUM(AK30:AK31)</f>
        <v>-817</v>
      </c>
      <c r="AL32" s="35">
        <f t="shared" si="11"/>
        <v>764</v>
      </c>
      <c r="AM32" s="35">
        <f t="shared" si="11"/>
        <v>-4323</v>
      </c>
      <c r="AN32" s="35">
        <f t="shared" si="11"/>
        <v>-10192</v>
      </c>
      <c r="AO32" s="35">
        <f t="shared" si="11"/>
        <v>-22903</v>
      </c>
      <c r="AP32" s="35">
        <f t="shared" si="11"/>
        <v>-36654</v>
      </c>
      <c r="AQ32" s="35">
        <f t="shared" si="11"/>
        <v>-11910</v>
      </c>
      <c r="AR32" s="35">
        <f t="shared" si="11"/>
        <v>-9403</v>
      </c>
      <c r="AS32" s="35">
        <f t="shared" si="11"/>
        <v>-11228</v>
      </c>
      <c r="AT32" s="35">
        <f t="shared" si="11"/>
        <v>6186</v>
      </c>
      <c r="AU32" s="35">
        <f t="shared" si="11"/>
        <v>-26355</v>
      </c>
      <c r="AV32" s="35">
        <f t="shared" si="11"/>
        <v>-8914</v>
      </c>
      <c r="AW32" s="35">
        <f t="shared" si="11"/>
        <v>-4951</v>
      </c>
      <c r="AX32" s="35">
        <f t="shared" si="11"/>
        <v>-11933</v>
      </c>
      <c r="AY32" s="35">
        <f t="shared" si="11"/>
        <v>9715</v>
      </c>
      <c r="AZ32" s="35">
        <f t="shared" si="11"/>
        <v>-16083</v>
      </c>
      <c r="BA32" s="35">
        <f t="shared" si="11"/>
        <v>-7438</v>
      </c>
      <c r="BB32" s="35">
        <f t="shared" si="11"/>
        <v>10956</v>
      </c>
      <c r="BC32" s="35">
        <f t="shared" si="11"/>
        <v>2433</v>
      </c>
      <c r="BD32" s="35">
        <f t="shared" si="11"/>
        <v>-13099</v>
      </c>
      <c r="BE32" s="35">
        <f t="shared" si="11"/>
        <v>-7148</v>
      </c>
      <c r="BF32" s="35">
        <f t="shared" si="11"/>
        <v>-4255</v>
      </c>
      <c r="BG32" s="35">
        <f t="shared" si="11"/>
        <v>4458</v>
      </c>
      <c r="BH32" s="35">
        <f t="shared" si="11"/>
        <v>-6045</v>
      </c>
      <c r="BI32" s="35">
        <f t="shared" si="11"/>
        <v>-3773</v>
      </c>
      <c r="BJ32" s="35">
        <f t="shared" si="11"/>
        <v>7934</v>
      </c>
      <c r="BK32" s="35">
        <f t="shared" si="11"/>
        <v>-26078</v>
      </c>
      <c r="BL32" s="35">
        <f t="shared" si="11"/>
        <v>-328</v>
      </c>
      <c r="BM32" s="35">
        <f t="shared" si="11"/>
        <v>-244</v>
      </c>
    </row>
    <row r="33" spans="1:65" x14ac:dyDescent="0.25">
      <c r="C33" s="38"/>
      <c r="D33" s="38"/>
      <c r="E33" s="38"/>
      <c r="F33" s="38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BA33" s="31"/>
      <c r="BB33" s="31"/>
      <c r="BC33" s="31"/>
      <c r="BD33" s="31"/>
      <c r="BE33" s="31"/>
      <c r="BF33" s="31"/>
      <c r="BG33" s="31"/>
    </row>
    <row r="34" spans="1:65" x14ac:dyDescent="0.25">
      <c r="A34" s="22"/>
      <c r="B34" s="5" t="s">
        <v>108</v>
      </c>
      <c r="C34" s="38"/>
      <c r="D34" s="38"/>
      <c r="E34" s="38"/>
      <c r="F34" s="38"/>
      <c r="G34" s="35">
        <f t="shared" ref="G34:AL34" si="12">G27+G32</f>
        <v>93920</v>
      </c>
      <c r="H34" s="35">
        <f t="shared" si="12"/>
        <v>21243</v>
      </c>
      <c r="I34" s="35">
        <f t="shared" si="12"/>
        <v>30511</v>
      </c>
      <c r="J34" s="35">
        <f t="shared" si="12"/>
        <v>30822</v>
      </c>
      <c r="K34" s="35">
        <f t="shared" si="12"/>
        <v>29244</v>
      </c>
      <c r="L34" s="35">
        <f t="shared" si="12"/>
        <v>111820</v>
      </c>
      <c r="M34" s="35">
        <f t="shared" si="12"/>
        <v>23289</v>
      </c>
      <c r="N34" s="35">
        <f t="shared" si="12"/>
        <v>40288</v>
      </c>
      <c r="O34" s="35">
        <f t="shared" si="12"/>
        <v>27437</v>
      </c>
      <c r="P34" s="35">
        <f t="shared" si="12"/>
        <v>11815</v>
      </c>
      <c r="Q34" s="35">
        <f t="shared" si="12"/>
        <v>102829</v>
      </c>
      <c r="R34" s="35">
        <f t="shared" si="12"/>
        <v>26366</v>
      </c>
      <c r="S34" s="35">
        <f t="shared" si="12"/>
        <v>20352</v>
      </c>
      <c r="T34" s="35">
        <f t="shared" si="12"/>
        <v>20957</v>
      </c>
      <c r="U34" s="35">
        <f t="shared" si="12"/>
        <v>24052</v>
      </c>
      <c r="V34" s="35">
        <f t="shared" si="12"/>
        <v>91727</v>
      </c>
      <c r="W34" s="35">
        <f t="shared" si="12"/>
        <v>23428</v>
      </c>
      <c r="X34" s="35">
        <f t="shared" si="12"/>
        <v>23478</v>
      </c>
      <c r="Y34" s="35">
        <f t="shared" si="12"/>
        <v>36192</v>
      </c>
      <c r="Z34" s="35">
        <f t="shared" si="12"/>
        <v>27044</v>
      </c>
      <c r="AA34" s="35">
        <f t="shared" si="12"/>
        <v>110142</v>
      </c>
      <c r="AB34" s="35">
        <f t="shared" si="12"/>
        <v>35643</v>
      </c>
      <c r="AC34" s="35">
        <f t="shared" si="12"/>
        <v>30366</v>
      </c>
      <c r="AD34" s="35">
        <f t="shared" si="12"/>
        <v>43516</v>
      </c>
      <c r="AE34" s="35">
        <f t="shared" si="12"/>
        <v>23573</v>
      </c>
      <c r="AF34" s="35">
        <f t="shared" si="12"/>
        <v>133098</v>
      </c>
      <c r="AG34" s="35">
        <f t="shared" si="12"/>
        <v>11769</v>
      </c>
      <c r="AH34" s="35">
        <f t="shared" si="12"/>
        <v>-1619</v>
      </c>
      <c r="AI34" s="35">
        <f t="shared" si="12"/>
        <v>30239</v>
      </c>
      <c r="AJ34" s="35">
        <f t="shared" si="12"/>
        <v>28145</v>
      </c>
      <c r="AK34" s="35">
        <f t="shared" si="12"/>
        <v>66629</v>
      </c>
      <c r="AL34" s="35">
        <f t="shared" si="12"/>
        <v>7995</v>
      </c>
      <c r="AM34" s="35">
        <f t="shared" ref="AM34:BM34" si="13">AM27+AM32</f>
        <v>3427</v>
      </c>
      <c r="AN34" s="35">
        <f t="shared" si="13"/>
        <v>15363</v>
      </c>
      <c r="AO34" s="35">
        <f t="shared" si="13"/>
        <v>973</v>
      </c>
      <c r="AP34" s="35">
        <f t="shared" si="13"/>
        <v>27758</v>
      </c>
      <c r="AQ34" s="35">
        <f t="shared" si="13"/>
        <v>20302</v>
      </c>
      <c r="AR34" s="35">
        <f t="shared" si="13"/>
        <v>13464</v>
      </c>
      <c r="AS34" s="35">
        <f t="shared" si="13"/>
        <v>24234</v>
      </c>
      <c r="AT34" s="35">
        <f t="shared" si="13"/>
        <v>42078</v>
      </c>
      <c r="AU34" s="35">
        <f t="shared" si="13"/>
        <v>100078</v>
      </c>
      <c r="AV34" s="35">
        <f t="shared" si="13"/>
        <v>14093</v>
      </c>
      <c r="AW34" s="35">
        <f t="shared" si="13"/>
        <v>6945</v>
      </c>
      <c r="AX34" s="35">
        <f t="shared" si="13"/>
        <v>32559</v>
      </c>
      <c r="AY34" s="35">
        <f t="shared" si="13"/>
        <v>144</v>
      </c>
      <c r="AZ34" s="35">
        <f t="shared" si="13"/>
        <v>53741</v>
      </c>
      <c r="BA34" s="35">
        <f t="shared" si="13"/>
        <v>1014</v>
      </c>
      <c r="BB34" s="35">
        <f t="shared" si="13"/>
        <v>-148109</v>
      </c>
      <c r="BC34" s="35">
        <f t="shared" si="13"/>
        <v>-466</v>
      </c>
      <c r="BD34" s="35">
        <f t="shared" si="13"/>
        <v>-54088</v>
      </c>
      <c r="BE34" s="35">
        <f t="shared" si="13"/>
        <v>-201649</v>
      </c>
      <c r="BF34" s="35">
        <f t="shared" si="13"/>
        <v>-2776</v>
      </c>
      <c r="BG34" s="35">
        <f t="shared" si="13"/>
        <v>-18271.729999999981</v>
      </c>
      <c r="BH34" s="35">
        <f t="shared" si="13"/>
        <v>52919.64000000013</v>
      </c>
      <c r="BI34" s="35">
        <f t="shared" si="13"/>
        <v>26144.629999999888</v>
      </c>
      <c r="BJ34" s="35">
        <f t="shared" si="13"/>
        <v>-16474.359999999986</v>
      </c>
      <c r="BK34" s="35">
        <f t="shared" si="13"/>
        <v>-4264.3699999999953</v>
      </c>
      <c r="BL34" s="35">
        <f t="shared" si="13"/>
        <v>21402.729999999981</v>
      </c>
      <c r="BM34" s="35">
        <f t="shared" si="13"/>
        <v>14839.559999999823</v>
      </c>
    </row>
    <row r="35" spans="1:65" x14ac:dyDescent="0.25">
      <c r="A35" s="22"/>
      <c r="B35" s="5"/>
      <c r="C35" s="38"/>
      <c r="D35" s="38"/>
      <c r="E35" s="38"/>
      <c r="F35" s="38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BA35" s="31"/>
      <c r="BB35" s="31"/>
      <c r="BC35" s="31"/>
      <c r="BD35" s="31"/>
      <c r="BE35" s="31"/>
      <c r="BF35" s="31"/>
      <c r="BG35" s="31"/>
    </row>
    <row r="36" spans="1:65" x14ac:dyDescent="0.25">
      <c r="A36" s="22"/>
      <c r="B36" s="5" t="s">
        <v>107</v>
      </c>
      <c r="C36" s="38"/>
      <c r="D36" s="38"/>
      <c r="E36" s="38"/>
      <c r="F36" s="38"/>
      <c r="G36" s="35">
        <v>0</v>
      </c>
      <c r="H36" s="35"/>
      <c r="I36" s="35"/>
      <c r="J36" s="35"/>
      <c r="K36" s="35"/>
      <c r="L36" s="35">
        <v>0</v>
      </c>
      <c r="M36" s="35"/>
      <c r="N36" s="35"/>
      <c r="O36" s="35"/>
      <c r="P36" s="35"/>
      <c r="Q36" s="35">
        <v>0</v>
      </c>
      <c r="R36" s="35"/>
      <c r="S36" s="35"/>
      <c r="T36" s="35"/>
      <c r="U36" s="35"/>
      <c r="V36" s="35">
        <v>0</v>
      </c>
      <c r="W36" s="35"/>
      <c r="X36" s="35"/>
      <c r="Y36" s="35"/>
      <c r="Z36" s="35"/>
      <c r="AA36" s="35">
        <v>0</v>
      </c>
      <c r="AB36" s="35"/>
      <c r="AC36" s="35"/>
      <c r="AD36" s="35"/>
      <c r="AE36" s="35"/>
      <c r="AF36" s="35">
        <v>0</v>
      </c>
      <c r="AG36" s="35">
        <v>0</v>
      </c>
      <c r="AH36" s="35">
        <v>0</v>
      </c>
      <c r="AI36" s="35">
        <f t="shared" ref="AI36:AS36" si="14">AI37</f>
        <v>19827</v>
      </c>
      <c r="AJ36" s="35">
        <f t="shared" si="14"/>
        <v>0</v>
      </c>
      <c r="AK36" s="35">
        <f t="shared" si="14"/>
        <v>21766</v>
      </c>
      <c r="AL36" s="35">
        <f t="shared" si="14"/>
        <v>0</v>
      </c>
      <c r="AM36" s="35">
        <f t="shared" si="14"/>
        <v>0</v>
      </c>
      <c r="AN36" s="35">
        <f t="shared" si="14"/>
        <v>0</v>
      </c>
      <c r="AO36" s="35">
        <f t="shared" si="14"/>
        <v>0</v>
      </c>
      <c r="AP36" s="35">
        <f t="shared" si="14"/>
        <v>0</v>
      </c>
      <c r="AQ36" s="35">
        <f t="shared" si="14"/>
        <v>0</v>
      </c>
      <c r="AR36" s="35">
        <f t="shared" si="14"/>
        <v>0</v>
      </c>
      <c r="AS36" s="35">
        <f t="shared" si="14"/>
        <v>0</v>
      </c>
      <c r="AT36" s="35">
        <v>0</v>
      </c>
      <c r="AU36" s="35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</row>
    <row r="37" spans="1:65" x14ac:dyDescent="0.25">
      <c r="A37" s="22"/>
      <c r="B37" s="6" t="s">
        <v>106</v>
      </c>
      <c r="C37" s="12"/>
      <c r="D37" s="12"/>
      <c r="E37" s="12"/>
      <c r="F37" s="12"/>
      <c r="G37" s="39">
        <v>0</v>
      </c>
      <c r="H37" s="39"/>
      <c r="I37" s="39"/>
      <c r="J37" s="39"/>
      <c r="K37" s="39"/>
      <c r="L37" s="39">
        <v>0</v>
      </c>
      <c r="M37" s="39"/>
      <c r="N37" s="39"/>
      <c r="O37" s="39"/>
      <c r="P37" s="39"/>
      <c r="Q37" s="39">
        <v>0</v>
      </c>
      <c r="R37" s="39"/>
      <c r="S37" s="39"/>
      <c r="T37" s="39"/>
      <c r="U37" s="39"/>
      <c r="V37" s="39">
        <v>0</v>
      </c>
      <c r="W37" s="39"/>
      <c r="X37" s="39"/>
      <c r="Y37" s="39"/>
      <c r="Z37" s="39"/>
      <c r="AA37" s="39">
        <v>0</v>
      </c>
      <c r="AB37" s="39"/>
      <c r="AC37" s="39"/>
      <c r="AD37" s="39"/>
      <c r="AE37" s="39"/>
      <c r="AF37" s="39">
        <v>0</v>
      </c>
      <c r="AG37" s="39">
        <v>0</v>
      </c>
      <c r="AH37" s="39">
        <v>0</v>
      </c>
      <c r="AI37" s="39">
        <v>19827</v>
      </c>
      <c r="AJ37" s="39">
        <v>0</v>
      </c>
      <c r="AK37" s="39">
        <v>21766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39">
        <v>0</v>
      </c>
      <c r="BK37" s="39">
        <v>0</v>
      </c>
      <c r="BL37" s="39">
        <v>0</v>
      </c>
      <c r="BM37" s="39">
        <v>0</v>
      </c>
    </row>
    <row r="38" spans="1:65" x14ac:dyDescent="0.25">
      <c r="A38" s="22"/>
      <c r="C38" s="38"/>
      <c r="D38" s="38"/>
      <c r="E38" s="38"/>
      <c r="F38" s="38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BA38" s="31"/>
      <c r="BB38" s="31"/>
      <c r="BC38" s="31"/>
      <c r="BD38" s="31"/>
      <c r="BE38" s="31"/>
      <c r="BF38" s="31"/>
      <c r="BG38" s="31"/>
    </row>
    <row r="39" spans="1:65" x14ac:dyDescent="0.25">
      <c r="A39" s="22"/>
      <c r="B39" s="5" t="s">
        <v>105</v>
      </c>
      <c r="C39" s="38" t="e">
        <f>C27+C32</f>
        <v>#REF!</v>
      </c>
      <c r="D39" s="38" t="e">
        <f>D27+D32</f>
        <v>#REF!</v>
      </c>
      <c r="E39" s="38" t="e">
        <f>E27+E32</f>
        <v>#REF!</v>
      </c>
      <c r="F39" s="38" t="e">
        <f>F27+F32</f>
        <v>#REF!</v>
      </c>
      <c r="G39" s="35">
        <f t="shared" ref="G39:AL39" si="15">G34+G36</f>
        <v>93920</v>
      </c>
      <c r="H39" s="35">
        <f t="shared" si="15"/>
        <v>21243</v>
      </c>
      <c r="I39" s="35">
        <f t="shared" si="15"/>
        <v>30511</v>
      </c>
      <c r="J39" s="35">
        <f t="shared" si="15"/>
        <v>30822</v>
      </c>
      <c r="K39" s="35">
        <f t="shared" si="15"/>
        <v>29244</v>
      </c>
      <c r="L39" s="35">
        <f t="shared" si="15"/>
        <v>111820</v>
      </c>
      <c r="M39" s="35">
        <f t="shared" si="15"/>
        <v>23289</v>
      </c>
      <c r="N39" s="35">
        <f t="shared" si="15"/>
        <v>40288</v>
      </c>
      <c r="O39" s="35">
        <f t="shared" si="15"/>
        <v>27437</v>
      </c>
      <c r="P39" s="35">
        <f t="shared" si="15"/>
        <v>11815</v>
      </c>
      <c r="Q39" s="35">
        <f t="shared" si="15"/>
        <v>102829</v>
      </c>
      <c r="R39" s="35">
        <f t="shared" si="15"/>
        <v>26366</v>
      </c>
      <c r="S39" s="35">
        <f t="shared" si="15"/>
        <v>20352</v>
      </c>
      <c r="T39" s="35">
        <f t="shared" si="15"/>
        <v>20957</v>
      </c>
      <c r="U39" s="35">
        <f t="shared" si="15"/>
        <v>24052</v>
      </c>
      <c r="V39" s="35">
        <f t="shared" si="15"/>
        <v>91727</v>
      </c>
      <c r="W39" s="35">
        <f t="shared" si="15"/>
        <v>23428</v>
      </c>
      <c r="X39" s="35">
        <f t="shared" si="15"/>
        <v>23478</v>
      </c>
      <c r="Y39" s="35">
        <f t="shared" si="15"/>
        <v>36192</v>
      </c>
      <c r="Z39" s="35">
        <f t="shared" si="15"/>
        <v>27044</v>
      </c>
      <c r="AA39" s="35">
        <f t="shared" si="15"/>
        <v>110142</v>
      </c>
      <c r="AB39" s="35">
        <f t="shared" si="15"/>
        <v>35643</v>
      </c>
      <c r="AC39" s="35">
        <f t="shared" si="15"/>
        <v>30366</v>
      </c>
      <c r="AD39" s="35">
        <f t="shared" si="15"/>
        <v>43516</v>
      </c>
      <c r="AE39" s="35">
        <f t="shared" si="15"/>
        <v>23573</v>
      </c>
      <c r="AF39" s="35">
        <f t="shared" si="15"/>
        <v>133098</v>
      </c>
      <c r="AG39" s="35">
        <f t="shared" si="15"/>
        <v>11769</v>
      </c>
      <c r="AH39" s="35">
        <f t="shared" si="15"/>
        <v>-1619</v>
      </c>
      <c r="AI39" s="35">
        <f t="shared" si="15"/>
        <v>50066</v>
      </c>
      <c r="AJ39" s="35">
        <f t="shared" si="15"/>
        <v>28145</v>
      </c>
      <c r="AK39" s="35">
        <f t="shared" si="15"/>
        <v>88395</v>
      </c>
      <c r="AL39" s="35">
        <f t="shared" si="15"/>
        <v>7995</v>
      </c>
      <c r="AM39" s="35">
        <f t="shared" ref="AM39:BM39" si="16">AM34+AM36</f>
        <v>3427</v>
      </c>
      <c r="AN39" s="35">
        <f t="shared" si="16"/>
        <v>15363</v>
      </c>
      <c r="AO39" s="35">
        <f t="shared" si="16"/>
        <v>973</v>
      </c>
      <c r="AP39" s="35">
        <f t="shared" si="16"/>
        <v>27758</v>
      </c>
      <c r="AQ39" s="35">
        <f t="shared" si="16"/>
        <v>20302</v>
      </c>
      <c r="AR39" s="35">
        <f t="shared" si="16"/>
        <v>13464</v>
      </c>
      <c r="AS39" s="35">
        <f t="shared" si="16"/>
        <v>24234</v>
      </c>
      <c r="AT39" s="35">
        <f t="shared" si="16"/>
        <v>42078</v>
      </c>
      <c r="AU39" s="35">
        <f t="shared" si="16"/>
        <v>100078</v>
      </c>
      <c r="AV39" s="35">
        <f t="shared" si="16"/>
        <v>14093</v>
      </c>
      <c r="AW39" s="35">
        <f t="shared" si="16"/>
        <v>6945</v>
      </c>
      <c r="AX39" s="35">
        <f t="shared" si="16"/>
        <v>32559</v>
      </c>
      <c r="AY39" s="35">
        <f t="shared" si="16"/>
        <v>144</v>
      </c>
      <c r="AZ39" s="35">
        <f t="shared" si="16"/>
        <v>53741</v>
      </c>
      <c r="BA39" s="35">
        <f t="shared" si="16"/>
        <v>1014</v>
      </c>
      <c r="BB39" s="35">
        <f t="shared" si="16"/>
        <v>-148109</v>
      </c>
      <c r="BC39" s="35">
        <f t="shared" si="16"/>
        <v>-466</v>
      </c>
      <c r="BD39" s="35">
        <f t="shared" si="16"/>
        <v>-54088</v>
      </c>
      <c r="BE39" s="35">
        <f t="shared" si="16"/>
        <v>-201649</v>
      </c>
      <c r="BF39" s="35">
        <f t="shared" si="16"/>
        <v>-2776</v>
      </c>
      <c r="BG39" s="35">
        <f t="shared" si="16"/>
        <v>-18271.729999999981</v>
      </c>
      <c r="BH39" s="35">
        <f t="shared" si="16"/>
        <v>52919.64000000013</v>
      </c>
      <c r="BI39" s="35">
        <f t="shared" si="16"/>
        <v>26144.629999999888</v>
      </c>
      <c r="BJ39" s="35">
        <f t="shared" si="16"/>
        <v>-16474.359999999986</v>
      </c>
      <c r="BK39" s="35">
        <f t="shared" si="16"/>
        <v>-4264.3699999999953</v>
      </c>
      <c r="BL39" s="35">
        <f t="shared" si="16"/>
        <v>21402.729999999981</v>
      </c>
      <c r="BM39" s="35">
        <f t="shared" si="16"/>
        <v>14839.559999999823</v>
      </c>
    </row>
    <row r="40" spans="1:65" x14ac:dyDescent="0.25">
      <c r="A40" s="22"/>
      <c r="B40" s="5"/>
      <c r="C40" s="38"/>
      <c r="D40" s="38"/>
      <c r="E40" s="38"/>
      <c r="F40" s="38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3"/>
      <c r="Y40" s="33"/>
      <c r="Z40" s="33"/>
      <c r="AA40" s="35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BA40" s="31"/>
      <c r="BB40" s="31"/>
      <c r="BC40" s="31"/>
      <c r="BD40" s="31"/>
      <c r="BE40" s="31"/>
      <c r="BF40" s="149"/>
      <c r="BG40" s="149"/>
      <c r="BH40" s="149"/>
    </row>
    <row r="41" spans="1:65" x14ac:dyDescent="0.25">
      <c r="A41" s="22"/>
      <c r="B41" s="5" t="s">
        <v>104</v>
      </c>
      <c r="C41" s="7"/>
      <c r="D41" s="7"/>
      <c r="E41" s="7"/>
      <c r="F41" s="7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BA41" s="31"/>
      <c r="BB41" s="31"/>
      <c r="BC41" s="31"/>
      <c r="BD41" s="31"/>
      <c r="BE41" s="31"/>
      <c r="BF41" s="31"/>
      <c r="BG41" s="31"/>
    </row>
    <row r="42" spans="1:65" x14ac:dyDescent="0.25">
      <c r="A42" s="22"/>
      <c r="B42" s="6" t="s">
        <v>103</v>
      </c>
      <c r="C42" s="38">
        <v>17042</v>
      </c>
      <c r="D42" s="38">
        <v>21075</v>
      </c>
      <c r="E42" s="38">
        <v>23397</v>
      </c>
      <c r="F42" s="38">
        <v>32406</v>
      </c>
      <c r="G42" s="35">
        <v>93920</v>
      </c>
      <c r="H42" s="35">
        <v>21243</v>
      </c>
      <c r="I42" s="35">
        <v>30511</v>
      </c>
      <c r="J42" s="35">
        <v>30822</v>
      </c>
      <c r="K42" s="35">
        <v>29244</v>
      </c>
      <c r="L42" s="35">
        <v>111820</v>
      </c>
      <c r="M42" s="35">
        <v>23289</v>
      </c>
      <c r="N42" s="35">
        <v>40288</v>
      </c>
      <c r="O42" s="35">
        <v>27437</v>
      </c>
      <c r="P42" s="35">
        <v>11815</v>
      </c>
      <c r="Q42" s="35">
        <v>102829</v>
      </c>
      <c r="R42" s="35">
        <v>26366</v>
      </c>
      <c r="S42" s="35">
        <v>20352</v>
      </c>
      <c r="T42" s="35">
        <v>20957</v>
      </c>
      <c r="U42" s="35">
        <v>24052</v>
      </c>
      <c r="V42" s="35">
        <v>91727</v>
      </c>
      <c r="W42" s="35">
        <v>23428</v>
      </c>
      <c r="X42" s="35">
        <v>23478</v>
      </c>
      <c r="Y42" s="35">
        <v>36192</v>
      </c>
      <c r="Z42" s="35">
        <v>27044</v>
      </c>
      <c r="AA42" s="35">
        <v>110142</v>
      </c>
      <c r="AB42" s="35">
        <v>35643</v>
      </c>
      <c r="AC42" s="35">
        <v>30366</v>
      </c>
      <c r="AD42" s="35">
        <v>43516</v>
      </c>
      <c r="AE42" s="35">
        <v>23540</v>
      </c>
      <c r="AF42" s="35">
        <v>133065</v>
      </c>
      <c r="AG42" s="35">
        <v>11830</v>
      </c>
      <c r="AH42" s="35">
        <v>-1407</v>
      </c>
      <c r="AI42" s="35">
        <v>49932</v>
      </c>
      <c r="AJ42" s="35">
        <f>AJ39-AJ43</f>
        <v>27880</v>
      </c>
      <c r="AK42" s="35">
        <f>AK39-AK43</f>
        <v>88269</v>
      </c>
      <c r="AL42" s="35">
        <v>7641</v>
      </c>
      <c r="AM42" s="35">
        <v>3164</v>
      </c>
      <c r="AN42" s="35">
        <v>15818</v>
      </c>
      <c r="AO42" s="35">
        <v>1064</v>
      </c>
      <c r="AP42" s="35">
        <v>27687</v>
      </c>
      <c r="AQ42" s="35">
        <v>19722</v>
      </c>
      <c r="AR42" s="35">
        <v>13477</v>
      </c>
      <c r="AS42" s="35">
        <v>23781</v>
      </c>
      <c r="AT42" s="35">
        <v>43060</v>
      </c>
      <c r="AU42" s="35">
        <v>100040</v>
      </c>
      <c r="AV42" s="35">
        <v>13722</v>
      </c>
      <c r="AW42" s="35">
        <v>6311</v>
      </c>
      <c r="AX42" s="35">
        <v>31642</v>
      </c>
      <c r="AY42" s="35">
        <v>2606</v>
      </c>
      <c r="AZ42" s="35">
        <v>54281</v>
      </c>
      <c r="BA42" s="35">
        <v>2102</v>
      </c>
      <c r="BB42" s="35">
        <v>-148058</v>
      </c>
      <c r="BC42" s="35">
        <v>-2474</v>
      </c>
      <c r="BD42" s="35">
        <v>-54025</v>
      </c>
      <c r="BE42" s="35">
        <v>-202455</v>
      </c>
      <c r="BF42" s="35">
        <v>-4959</v>
      </c>
      <c r="BG42" s="34">
        <v>-17603</v>
      </c>
      <c r="BH42" s="34">
        <v>52258</v>
      </c>
      <c r="BI42" s="34">
        <v>29991</v>
      </c>
      <c r="BJ42" s="34">
        <v>-18083</v>
      </c>
      <c r="BK42" s="34">
        <v>-4302</v>
      </c>
      <c r="BL42" s="34">
        <f>'DRE Op Continuada'!J42</f>
        <v>22078</v>
      </c>
      <c r="BM42" s="34">
        <f>'DRE Op Continuada'!K42</f>
        <v>24786</v>
      </c>
    </row>
    <row r="43" spans="1:65" x14ac:dyDescent="0.25">
      <c r="A43" s="22"/>
      <c r="B43" s="6" t="s">
        <v>67</v>
      </c>
      <c r="C43" s="11">
        <v>0</v>
      </c>
      <c r="D43" s="11">
        <v>0</v>
      </c>
      <c r="E43" s="11">
        <v>0</v>
      </c>
      <c r="F43" s="11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33</v>
      </c>
      <c r="AF43" s="36">
        <v>33</v>
      </c>
      <c r="AG43" s="36">
        <v>-61</v>
      </c>
      <c r="AH43" s="36">
        <v>-212</v>
      </c>
      <c r="AI43" s="36">
        <v>134</v>
      </c>
      <c r="AJ43" s="36">
        <f>AK43-AG43-AH43-AI43</f>
        <v>265</v>
      </c>
      <c r="AK43" s="36">
        <v>126</v>
      </c>
      <c r="AL43" s="36">
        <v>354</v>
      </c>
      <c r="AM43" s="36">
        <v>263</v>
      </c>
      <c r="AN43" s="37">
        <v>-455.33000000000004</v>
      </c>
      <c r="AO43" s="35">
        <v>-90.669999999999959</v>
      </c>
      <c r="AP43" s="36">
        <v>71</v>
      </c>
      <c r="AQ43" s="36">
        <v>580</v>
      </c>
      <c r="AR43" s="36">
        <v>-13</v>
      </c>
      <c r="AS43" s="36">
        <v>453</v>
      </c>
      <c r="AT43" s="35">
        <v>-982</v>
      </c>
      <c r="AU43" s="35">
        <v>38</v>
      </c>
      <c r="AV43" s="35">
        <v>371</v>
      </c>
      <c r="AW43" s="35">
        <v>634</v>
      </c>
      <c r="AX43" s="35">
        <v>917</v>
      </c>
      <c r="AY43" s="35">
        <v>-2462</v>
      </c>
      <c r="AZ43" s="35">
        <v>-540</v>
      </c>
      <c r="BA43" s="35">
        <v>-1088</v>
      </c>
      <c r="BB43" s="35">
        <v>-51</v>
      </c>
      <c r="BC43" s="35">
        <v>2008</v>
      </c>
      <c r="BD43" s="35">
        <v>-63</v>
      </c>
      <c r="BE43" s="35">
        <v>806</v>
      </c>
      <c r="BF43" s="35">
        <v>2183</v>
      </c>
      <c r="BG43" s="34">
        <v>-668.72999999998137</v>
      </c>
      <c r="BH43" s="34">
        <v>461.64000000013039</v>
      </c>
      <c r="BI43" s="34">
        <v>-3846.3700000001118</v>
      </c>
      <c r="BJ43" s="34">
        <v>1608.640000000014</v>
      </c>
      <c r="BK43" s="34">
        <v>38</v>
      </c>
      <c r="BL43" s="34">
        <f>'DRE Op Continuada'!J43</f>
        <v>-675.35999999986961</v>
      </c>
      <c r="BM43" s="34">
        <f>'DRE Op Continuada'!K43</f>
        <v>-9946.440000000177</v>
      </c>
    </row>
    <row r="44" spans="1:65" x14ac:dyDescent="0.25">
      <c r="A44" s="22"/>
      <c r="AG44" s="33"/>
      <c r="AH44" s="33"/>
      <c r="AI44" s="33"/>
      <c r="AJ44" s="33"/>
      <c r="AK44" s="33"/>
      <c r="AP44" s="33"/>
      <c r="AQ44" s="33"/>
      <c r="AR44" s="33"/>
      <c r="AS44" s="33"/>
    </row>
    <row r="45" spans="1:65" x14ac:dyDescent="0.25">
      <c r="A45" s="22"/>
    </row>
    <row r="46" spans="1:65" x14ac:dyDescent="0.25">
      <c r="A46" s="22"/>
    </row>
    <row r="47" spans="1:65" x14ac:dyDescent="0.25">
      <c r="A47" s="22"/>
    </row>
    <row r="49" spans="1:1" x14ac:dyDescent="0.25">
      <c r="A49" s="22"/>
    </row>
    <row r="50" spans="1:1" x14ac:dyDescent="0.25">
      <c r="A50" s="22"/>
    </row>
    <row r="52" spans="1:1" x14ac:dyDescent="0.25">
      <c r="A52" s="22"/>
    </row>
    <row r="53" spans="1:1" x14ac:dyDescent="0.25">
      <c r="A53" s="22"/>
    </row>
    <row r="54" spans="1:1" x14ac:dyDescent="0.25">
      <c r="A54" s="22"/>
    </row>
    <row r="55" spans="1:1" x14ac:dyDescent="0.25">
      <c r="A55" s="22"/>
    </row>
    <row r="56" spans="1:1" x14ac:dyDescent="0.25">
      <c r="A56" s="22"/>
    </row>
    <row r="57" spans="1:1" x14ac:dyDescent="0.25">
      <c r="A57" s="22"/>
    </row>
    <row r="58" spans="1:1" x14ac:dyDescent="0.25">
      <c r="A58" s="22"/>
    </row>
    <row r="59" spans="1:1" x14ac:dyDescent="0.25">
      <c r="A59" s="22"/>
    </row>
    <row r="60" spans="1:1" x14ac:dyDescent="0.25">
      <c r="A60" s="22"/>
    </row>
    <row r="61" spans="1:1" x14ac:dyDescent="0.25">
      <c r="A61" s="22"/>
    </row>
    <row r="62" spans="1:1" x14ac:dyDescent="0.25">
      <c r="A62" s="22"/>
    </row>
    <row r="63" spans="1:1" x14ac:dyDescent="0.25">
      <c r="A63" s="22"/>
    </row>
    <row r="64" spans="1:1" x14ac:dyDescent="0.25">
      <c r="A64" s="22"/>
    </row>
    <row r="65" spans="1:1" x14ac:dyDescent="0.25">
      <c r="A65" s="22"/>
    </row>
    <row r="66" spans="1:1" x14ac:dyDescent="0.25">
      <c r="A66" s="22"/>
    </row>
    <row r="67" spans="1:1" x14ac:dyDescent="0.25">
      <c r="A67" s="22"/>
    </row>
    <row r="68" spans="1:1" x14ac:dyDescent="0.25">
      <c r="A68" s="22"/>
    </row>
    <row r="69" spans="1:1" x14ac:dyDescent="0.25">
      <c r="A69" s="22"/>
    </row>
    <row r="70" spans="1:1" x14ac:dyDescent="0.25">
      <c r="A70" s="22"/>
    </row>
    <row r="71" spans="1:1" x14ac:dyDescent="0.25">
      <c r="A71" s="22"/>
    </row>
    <row r="73" spans="1:1" x14ac:dyDescent="0.25">
      <c r="A73" s="22"/>
    </row>
    <row r="74" spans="1:1" x14ac:dyDescent="0.25">
      <c r="A74" s="22"/>
    </row>
    <row r="76" spans="1:1" x14ac:dyDescent="0.25">
      <c r="A76" s="22"/>
    </row>
    <row r="77" spans="1:1" x14ac:dyDescent="0.25">
      <c r="A77" s="22"/>
    </row>
    <row r="80" spans="1:1" x14ac:dyDescent="0.25">
      <c r="A80" s="22"/>
    </row>
    <row r="81" spans="1:1" x14ac:dyDescent="0.25">
      <c r="A81" s="22"/>
    </row>
    <row r="82" spans="1:1" x14ac:dyDescent="0.25">
      <c r="A82" s="22"/>
    </row>
    <row r="83" spans="1:1" x14ac:dyDescent="0.25">
      <c r="A83" s="22"/>
    </row>
    <row r="84" spans="1:1" x14ac:dyDescent="0.25">
      <c r="A84" s="22"/>
    </row>
    <row r="85" spans="1:1" x14ac:dyDescent="0.25">
      <c r="A85" s="22"/>
    </row>
    <row r="86" spans="1:1" x14ac:dyDescent="0.25">
      <c r="A86" s="22"/>
    </row>
    <row r="87" spans="1:1" x14ac:dyDescent="0.25">
      <c r="A87" s="22"/>
    </row>
    <row r="88" spans="1:1" x14ac:dyDescent="0.25">
      <c r="A88" s="22"/>
    </row>
    <row r="89" spans="1:1" x14ac:dyDescent="0.25">
      <c r="A89" s="22"/>
    </row>
    <row r="96" spans="1:1" x14ac:dyDescent="0.25">
      <c r="A96" s="22"/>
    </row>
    <row r="97" spans="1:1" x14ac:dyDescent="0.25">
      <c r="A97" s="22"/>
    </row>
    <row r="98" spans="1:1" x14ac:dyDescent="0.25">
      <c r="A98" s="2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>
    <pageSetUpPr fitToPage="1"/>
  </sheetPr>
  <dimension ref="A1:BK104"/>
  <sheetViews>
    <sheetView showGridLines="0" zoomScale="90" zoomScaleNormal="90" workbookViewId="0">
      <pane xSplit="2" ySplit="7" topLeftCell="BB8" activePane="bottomRight" state="frozen"/>
      <selection activeCell="R26" sqref="R26"/>
      <selection pane="topRight" activeCell="R26" sqref="R26"/>
      <selection pane="bottomLeft" activeCell="R26" sqref="R26"/>
      <selection pane="bottomRight" activeCell="BL6" sqref="BL6"/>
    </sheetView>
  </sheetViews>
  <sheetFormatPr defaultRowHeight="15" x14ac:dyDescent="0.25"/>
  <cols>
    <col min="1" max="1" width="1.5703125" style="1" customWidth="1"/>
    <col min="2" max="2" width="55.140625" style="6" bestFit="1" customWidth="1"/>
    <col min="3" max="17" width="11.85546875" style="6" customWidth="1"/>
    <col min="18" max="18" width="10.7109375" style="6" hidden="1" customWidth="1"/>
    <col min="19" max="20" width="0" style="6" hidden="1" customWidth="1"/>
    <col min="21" max="22" width="10.85546875" style="6" customWidth="1"/>
    <col min="23" max="29" width="11.5703125" style="6" bestFit="1" customWidth="1"/>
    <col min="30" max="36" width="12.42578125" style="6" bestFit="1" customWidth="1"/>
    <col min="37" max="38" width="12.42578125" bestFit="1" customWidth="1"/>
    <col min="39" max="39" width="13.85546875" bestFit="1" customWidth="1"/>
    <col min="40" max="41" width="12.42578125" bestFit="1" customWidth="1"/>
    <col min="42" max="42" width="11.5703125" bestFit="1" customWidth="1"/>
    <col min="43" max="48" width="12.42578125" bestFit="1" customWidth="1"/>
    <col min="49" max="49" width="12.42578125" customWidth="1"/>
    <col min="50" max="51" width="12.42578125" bestFit="1" customWidth="1"/>
    <col min="52" max="52" width="12.140625" bestFit="1" customWidth="1"/>
    <col min="53" max="56" width="11.7109375" bestFit="1" customWidth="1"/>
    <col min="57" max="63" width="12.140625" bestFit="1" customWidth="1"/>
  </cols>
  <sheetData>
    <row r="1" spans="1:63" s="22" customFormat="1" ht="8.25" customHeight="1" x14ac:dyDescent="0.25">
      <c r="B1" s="9"/>
      <c r="C1" s="9"/>
      <c r="D1" s="9"/>
      <c r="E1" s="9"/>
      <c r="F1" s="4"/>
      <c r="AP1" s="22" t="s">
        <v>86</v>
      </c>
      <c r="AQ1" s="22" t="s">
        <v>86</v>
      </c>
      <c r="AR1" s="22" t="s">
        <v>86</v>
      </c>
      <c r="AS1" s="22" t="s">
        <v>86</v>
      </c>
    </row>
    <row r="2" spans="1:63" x14ac:dyDescent="0.25">
      <c r="A2" s="22"/>
    </row>
    <row r="3" spans="1:63" x14ac:dyDescent="0.25">
      <c r="A3" s="22"/>
    </row>
    <row r="4" spans="1:63" x14ac:dyDescent="0.25">
      <c r="A4" s="22"/>
      <c r="E4"/>
    </row>
    <row r="5" spans="1:63" x14ac:dyDescent="0.25">
      <c r="A5" s="22"/>
    </row>
    <row r="6" spans="1:63" x14ac:dyDescent="0.25">
      <c r="A6" s="22"/>
    </row>
    <row r="7" spans="1:63" s="2" customFormat="1" ht="20.25" customHeight="1" x14ac:dyDescent="0.25">
      <c r="A7" s="22"/>
      <c r="B7" s="25" t="s">
        <v>53</v>
      </c>
      <c r="C7" s="26" t="s">
        <v>22</v>
      </c>
      <c r="D7" s="26" t="s">
        <v>21</v>
      </c>
      <c r="E7" s="26" t="s">
        <v>20</v>
      </c>
      <c r="F7" s="26" t="s">
        <v>17</v>
      </c>
      <c r="G7" s="26" t="s">
        <v>19</v>
      </c>
      <c r="H7" s="26" t="s">
        <v>18</v>
      </c>
      <c r="I7" s="26" t="s">
        <v>16</v>
      </c>
      <c r="J7" s="26" t="s">
        <v>15</v>
      </c>
      <c r="K7" s="26" t="s">
        <v>14</v>
      </c>
      <c r="L7" s="26" t="s">
        <v>12</v>
      </c>
      <c r="M7" s="26" t="s">
        <v>10</v>
      </c>
      <c r="N7" s="26" t="s">
        <v>9</v>
      </c>
      <c r="O7" s="26" t="s">
        <v>13</v>
      </c>
      <c r="P7" s="26" t="s">
        <v>11</v>
      </c>
      <c r="Q7" s="26" t="s">
        <v>8</v>
      </c>
      <c r="R7" s="26"/>
      <c r="S7" s="26"/>
      <c r="T7" s="26"/>
      <c r="U7" s="26" t="s">
        <v>25</v>
      </c>
      <c r="V7" s="26" t="s">
        <v>26</v>
      </c>
      <c r="W7" s="26" t="s">
        <v>55</v>
      </c>
      <c r="X7" s="26" t="s">
        <v>56</v>
      </c>
      <c r="Y7" s="26" t="s">
        <v>57</v>
      </c>
      <c r="Z7" s="26" t="s">
        <v>58</v>
      </c>
      <c r="AA7" s="26" t="s">
        <v>59</v>
      </c>
      <c r="AB7" s="26" t="s">
        <v>60</v>
      </c>
      <c r="AC7" s="26" t="s">
        <v>62</v>
      </c>
      <c r="AD7" s="26" t="s">
        <v>69</v>
      </c>
      <c r="AE7" s="26" t="s">
        <v>70</v>
      </c>
      <c r="AF7" s="26" t="s">
        <v>72</v>
      </c>
      <c r="AG7" s="26" t="s">
        <v>73</v>
      </c>
      <c r="AH7" s="26" t="s">
        <v>74</v>
      </c>
      <c r="AI7" s="26" t="s">
        <v>75</v>
      </c>
      <c r="AJ7" s="26" t="s">
        <v>77</v>
      </c>
      <c r="AK7" s="26" t="s">
        <v>79</v>
      </c>
      <c r="AL7" s="26" t="s">
        <v>80</v>
      </c>
      <c r="AM7" s="26" t="s">
        <v>81</v>
      </c>
      <c r="AN7" s="26" t="s">
        <v>82</v>
      </c>
      <c r="AO7" s="26" t="s">
        <v>84</v>
      </c>
      <c r="AP7" s="26" t="s">
        <v>87</v>
      </c>
      <c r="AQ7" s="26" t="s">
        <v>88</v>
      </c>
      <c r="AR7" s="26" t="s">
        <v>89</v>
      </c>
      <c r="AS7" s="26" t="s">
        <v>90</v>
      </c>
      <c r="AT7" s="26" t="s">
        <v>91</v>
      </c>
      <c r="AU7" s="26" t="s">
        <v>92</v>
      </c>
      <c r="AV7" s="26" t="s">
        <v>93</v>
      </c>
      <c r="AW7" s="26" t="s">
        <v>94</v>
      </c>
      <c r="AX7" s="26" t="s">
        <v>95</v>
      </c>
      <c r="AY7" s="26" t="s">
        <v>96</v>
      </c>
      <c r="AZ7" s="26" t="s">
        <v>97</v>
      </c>
      <c r="BA7" s="26" t="s">
        <v>98</v>
      </c>
      <c r="BB7" s="26" t="s">
        <v>99</v>
      </c>
      <c r="BC7" s="26" t="s">
        <v>100</v>
      </c>
      <c r="BD7" s="26" t="s">
        <v>305</v>
      </c>
      <c r="BE7" s="26" t="s">
        <v>308</v>
      </c>
      <c r="BF7" s="26" t="s">
        <v>318</v>
      </c>
      <c r="BG7" s="26" t="s">
        <v>320</v>
      </c>
      <c r="BH7" s="26" t="s">
        <v>324</v>
      </c>
      <c r="BI7" s="26" t="s">
        <v>329</v>
      </c>
      <c r="BJ7" s="26" t="s">
        <v>363</v>
      </c>
      <c r="BK7" s="26" t="s">
        <v>371</v>
      </c>
    </row>
    <row r="8" spans="1:63" ht="18.75" customHeight="1" x14ac:dyDescent="0.25">
      <c r="A8" s="22"/>
      <c r="B8" s="5" t="s">
        <v>6</v>
      </c>
    </row>
    <row r="9" spans="1:63" x14ac:dyDescent="0.25">
      <c r="A9" s="22"/>
      <c r="B9" s="7" t="s">
        <v>0</v>
      </c>
      <c r="C9" s="8">
        <v>88038</v>
      </c>
      <c r="D9" s="8">
        <v>75661</v>
      </c>
      <c r="E9" s="8">
        <v>117145</v>
      </c>
      <c r="F9" s="8">
        <v>139744</v>
      </c>
      <c r="G9" s="8">
        <v>124766</v>
      </c>
      <c r="H9" s="8">
        <v>94248</v>
      </c>
      <c r="I9" s="8">
        <v>109847</v>
      </c>
      <c r="J9" s="8">
        <v>171780</v>
      </c>
      <c r="K9" s="8">
        <v>175673</v>
      </c>
      <c r="L9" s="8">
        <v>87709</v>
      </c>
      <c r="M9" s="8">
        <v>101204</v>
      </c>
      <c r="N9" s="8">
        <v>115779</v>
      </c>
      <c r="O9" s="8">
        <v>99602</v>
      </c>
      <c r="P9" s="8">
        <v>152999</v>
      </c>
      <c r="Q9" s="8">
        <v>253392</v>
      </c>
      <c r="R9" s="8"/>
      <c r="S9" s="8"/>
      <c r="T9" s="8"/>
      <c r="U9" s="8">
        <v>152203</v>
      </c>
      <c r="V9" s="8">
        <v>155306</v>
      </c>
      <c r="W9" s="8">
        <v>151121</v>
      </c>
      <c r="X9" s="8">
        <v>178524</v>
      </c>
      <c r="Y9" s="8">
        <v>181066</v>
      </c>
      <c r="Z9" s="8">
        <v>188220</v>
      </c>
      <c r="AA9" s="8">
        <v>193095</v>
      </c>
      <c r="AB9" s="8">
        <v>245247</v>
      </c>
      <c r="AC9" s="8">
        <v>241283</v>
      </c>
      <c r="AD9" s="8">
        <v>210805</v>
      </c>
      <c r="AE9" s="8">
        <v>119816</v>
      </c>
      <c r="AF9" s="8">
        <v>423028</v>
      </c>
      <c r="AG9" s="8">
        <v>394777</v>
      </c>
      <c r="AH9" s="8">
        <v>353459</v>
      </c>
      <c r="AI9" s="8">
        <v>311543</v>
      </c>
      <c r="AJ9" s="8">
        <v>308365</v>
      </c>
      <c r="AK9" s="8">
        <v>296857</v>
      </c>
      <c r="AL9" s="8">
        <v>313670</v>
      </c>
      <c r="AM9" s="8">
        <v>497570</v>
      </c>
      <c r="AN9" s="8">
        <v>347563</v>
      </c>
      <c r="AO9" s="8">
        <v>311571</v>
      </c>
      <c r="AP9" s="8">
        <v>290795</v>
      </c>
      <c r="AQ9" s="8">
        <v>306277</v>
      </c>
      <c r="AR9" s="8">
        <v>342365</v>
      </c>
      <c r="AS9" s="8">
        <v>318522</v>
      </c>
      <c r="AT9" s="8">
        <v>333876</v>
      </c>
      <c r="AU9" s="8">
        <v>524134</v>
      </c>
      <c r="AV9" s="8">
        <v>525767</v>
      </c>
      <c r="AW9" s="8">
        <v>486536</v>
      </c>
      <c r="AX9" s="8">
        <v>533277</v>
      </c>
      <c r="AY9" s="8">
        <v>321803</v>
      </c>
      <c r="AZ9" s="8">
        <v>368439</v>
      </c>
      <c r="BA9" s="8">
        <v>390039</v>
      </c>
      <c r="BB9" s="8">
        <v>392763</v>
      </c>
      <c r="BC9" s="8">
        <v>234243</v>
      </c>
      <c r="BD9" s="8">
        <v>345447</v>
      </c>
      <c r="BE9" s="8">
        <v>365161</v>
      </c>
      <c r="BF9" s="8">
        <v>405063</v>
      </c>
      <c r="BG9" s="8">
        <v>282500</v>
      </c>
      <c r="BH9" s="8">
        <v>434629</v>
      </c>
      <c r="BI9" s="8">
        <v>422029</v>
      </c>
      <c r="BJ9" s="8">
        <v>561744</v>
      </c>
      <c r="BK9" s="8">
        <v>525808</v>
      </c>
    </row>
    <row r="10" spans="1:63" x14ac:dyDescent="0.25">
      <c r="B10" s="9" t="s">
        <v>61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394551</v>
      </c>
      <c r="AC10" s="8">
        <v>9314</v>
      </c>
      <c r="AD10" s="8">
        <v>4174</v>
      </c>
      <c r="AE10" s="8">
        <v>3969</v>
      </c>
      <c r="AF10" s="8">
        <v>9134</v>
      </c>
      <c r="AG10" s="8">
        <v>5842</v>
      </c>
      <c r="AH10" s="8">
        <v>0</v>
      </c>
      <c r="AI10" s="8">
        <v>0</v>
      </c>
      <c r="AJ10" s="8">
        <v>0</v>
      </c>
      <c r="AK10" s="8">
        <v>16715</v>
      </c>
      <c r="AL10" s="8">
        <v>17201</v>
      </c>
      <c r="AM10" s="8">
        <v>18962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/>
      <c r="BA10" s="8"/>
      <c r="BB10" s="8"/>
      <c r="BC10" s="8"/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 t="s">
        <v>364</v>
      </c>
      <c r="BK10" s="8">
        <v>0</v>
      </c>
    </row>
    <row r="11" spans="1:63" x14ac:dyDescent="0.25">
      <c r="A11" s="22"/>
      <c r="B11" s="7" t="s">
        <v>45</v>
      </c>
      <c r="C11" s="8">
        <v>111630</v>
      </c>
      <c r="D11" s="8">
        <v>141596</v>
      </c>
      <c r="E11" s="8">
        <v>125179</v>
      </c>
      <c r="F11" s="8">
        <v>125814</v>
      </c>
      <c r="G11" s="8">
        <v>147041</v>
      </c>
      <c r="H11" s="8">
        <v>138288</v>
      </c>
      <c r="I11" s="8">
        <v>150317</v>
      </c>
      <c r="J11" s="8">
        <v>153504</v>
      </c>
      <c r="K11" s="8">
        <v>160686</v>
      </c>
      <c r="L11" s="8">
        <v>174811</v>
      </c>
      <c r="M11" s="8">
        <v>174022</v>
      </c>
      <c r="N11" s="8">
        <v>167158</v>
      </c>
      <c r="O11" s="8">
        <v>201776</v>
      </c>
      <c r="P11" s="8">
        <v>216605</v>
      </c>
      <c r="Q11" s="8">
        <v>233327</v>
      </c>
      <c r="R11" s="8"/>
      <c r="S11" s="8"/>
      <c r="T11" s="8"/>
      <c r="U11" s="8">
        <v>233568</v>
      </c>
      <c r="V11" s="8">
        <v>224408</v>
      </c>
      <c r="W11" s="8">
        <v>237002</v>
      </c>
      <c r="X11" s="8">
        <v>263369</v>
      </c>
      <c r="Y11" s="8">
        <v>269411</v>
      </c>
      <c r="Z11" s="8">
        <v>302154</v>
      </c>
      <c r="AA11" s="8">
        <v>302068</v>
      </c>
      <c r="AB11" s="8">
        <v>345857</v>
      </c>
      <c r="AC11" s="8">
        <v>359930</v>
      </c>
      <c r="AD11" s="8">
        <v>356066</v>
      </c>
      <c r="AE11" s="8">
        <v>342764</v>
      </c>
      <c r="AF11" s="8">
        <v>339860</v>
      </c>
      <c r="AG11" s="8">
        <v>322736</v>
      </c>
      <c r="AH11" s="8">
        <v>311539</v>
      </c>
      <c r="AI11" s="8">
        <v>351160</v>
      </c>
      <c r="AJ11" s="8">
        <v>369754</v>
      </c>
      <c r="AK11" s="8">
        <v>358418</v>
      </c>
      <c r="AL11" s="8">
        <v>337544</v>
      </c>
      <c r="AM11" s="8">
        <v>399093</v>
      </c>
      <c r="AN11" s="8">
        <v>429378</v>
      </c>
      <c r="AO11" s="8">
        <v>367982</v>
      </c>
      <c r="AP11" s="8">
        <v>398391</v>
      </c>
      <c r="AQ11" s="8">
        <v>438741</v>
      </c>
      <c r="AR11" s="8">
        <v>432108</v>
      </c>
      <c r="AS11" s="8">
        <v>395523</v>
      </c>
      <c r="AT11" s="8">
        <v>437602</v>
      </c>
      <c r="AU11" s="8">
        <v>435883</v>
      </c>
      <c r="AV11" s="8">
        <v>490132</v>
      </c>
      <c r="AW11" s="8">
        <v>358504</v>
      </c>
      <c r="AX11" s="8">
        <v>429345</v>
      </c>
      <c r="AY11" s="8">
        <v>391005</v>
      </c>
      <c r="AZ11" s="8">
        <v>448494</v>
      </c>
      <c r="BA11" s="8">
        <v>428869</v>
      </c>
      <c r="BB11" s="8">
        <v>424127</v>
      </c>
      <c r="BC11" s="8">
        <v>347249</v>
      </c>
      <c r="BD11" s="8">
        <v>384428</v>
      </c>
      <c r="BE11" s="8">
        <v>347115</v>
      </c>
      <c r="BF11" s="8">
        <v>399012</v>
      </c>
      <c r="BG11" s="8">
        <v>425042</v>
      </c>
      <c r="BH11" s="8">
        <v>420924</v>
      </c>
      <c r="BI11" s="8">
        <v>386929</v>
      </c>
      <c r="BJ11" s="8">
        <v>398459</v>
      </c>
      <c r="BK11" s="8">
        <v>390310</v>
      </c>
    </row>
    <row r="12" spans="1:63" x14ac:dyDescent="0.25">
      <c r="A12" s="22"/>
      <c r="B12" s="7" t="s">
        <v>46</v>
      </c>
      <c r="C12" s="8">
        <v>-2345</v>
      </c>
      <c r="D12" s="8">
        <v>-2350</v>
      </c>
      <c r="E12" s="8">
        <v>-1373</v>
      </c>
      <c r="F12" s="8">
        <v>-1340</v>
      </c>
      <c r="G12" s="8">
        <v>-1152</v>
      </c>
      <c r="H12" s="8">
        <v>-872</v>
      </c>
      <c r="I12" s="8">
        <v>-883</v>
      </c>
      <c r="J12" s="8">
        <v>-976</v>
      </c>
      <c r="K12" s="8">
        <v>-1090</v>
      </c>
      <c r="L12" s="8">
        <v>-729</v>
      </c>
      <c r="M12" s="8">
        <v>-1051</v>
      </c>
      <c r="N12" s="8">
        <v>-1158</v>
      </c>
      <c r="O12" s="8">
        <v>-1204</v>
      </c>
      <c r="P12" s="8">
        <v>-1244</v>
      </c>
      <c r="Q12" s="8">
        <v>-1235</v>
      </c>
      <c r="R12" s="8"/>
      <c r="S12" s="8"/>
      <c r="T12" s="8"/>
      <c r="U12" s="8">
        <v>-1439</v>
      </c>
      <c r="V12" s="8">
        <v>-1577</v>
      </c>
      <c r="W12" s="8">
        <v>-1998</v>
      </c>
      <c r="X12" s="8">
        <v>-2471</v>
      </c>
      <c r="Y12" s="8">
        <v>-4991</v>
      </c>
      <c r="Z12" s="8">
        <v>-5290</v>
      </c>
      <c r="AA12" s="8">
        <v>-5216</v>
      </c>
      <c r="AB12" s="8">
        <v>-7138</v>
      </c>
      <c r="AC12" s="8">
        <v>0</v>
      </c>
      <c r="AD12" s="8">
        <v>0</v>
      </c>
      <c r="AE12" s="8">
        <v>0</v>
      </c>
      <c r="AF12" s="8">
        <v>0</v>
      </c>
      <c r="AG12" s="8">
        <v>-24236</v>
      </c>
      <c r="AH12" s="8">
        <v>-22687</v>
      </c>
      <c r="AI12" s="8">
        <v>-23286</v>
      </c>
      <c r="AJ12" s="8">
        <v>-22538</v>
      </c>
      <c r="AK12" s="8">
        <v>-23253</v>
      </c>
      <c r="AL12" s="8">
        <v>-26098</v>
      </c>
      <c r="AM12" s="8">
        <v>-30155</v>
      </c>
      <c r="AN12" s="8">
        <v>-41432</v>
      </c>
      <c r="AO12" s="8">
        <v>0</v>
      </c>
      <c r="AP12" s="8">
        <v>0</v>
      </c>
      <c r="AQ12" s="8">
        <v>-36331</v>
      </c>
      <c r="AR12" s="8">
        <v>0</v>
      </c>
      <c r="AS12" s="8"/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/>
      <c r="BA12" s="8"/>
      <c r="BB12" s="8"/>
      <c r="BD12" s="8"/>
      <c r="BE12" s="8"/>
      <c r="BF12" s="8"/>
      <c r="BG12" s="8"/>
      <c r="BH12" s="8"/>
      <c r="BI12" s="8"/>
      <c r="BJ12" s="8"/>
      <c r="BK12" s="8"/>
    </row>
    <row r="13" spans="1:63" x14ac:dyDescent="0.25">
      <c r="A13" s="22"/>
      <c r="B13" s="7" t="s">
        <v>28</v>
      </c>
      <c r="C13" s="8">
        <v>35979</v>
      </c>
      <c r="D13" s="8">
        <v>4875</v>
      </c>
      <c r="E13" s="8">
        <v>5156</v>
      </c>
      <c r="F13" s="8">
        <v>28183</v>
      </c>
      <c r="G13" s="8">
        <v>32937</v>
      </c>
      <c r="H13" s="8">
        <v>42933</v>
      </c>
      <c r="I13" s="8">
        <v>32266</v>
      </c>
      <c r="J13" s="8">
        <v>32167</v>
      </c>
      <c r="K13" s="8">
        <v>36091</v>
      </c>
      <c r="L13" s="8">
        <v>36315</v>
      </c>
      <c r="M13" s="8">
        <v>20539</v>
      </c>
      <c r="N13" s="8">
        <v>7893</v>
      </c>
      <c r="O13" s="8">
        <v>10174</v>
      </c>
      <c r="P13" s="8">
        <v>11744</v>
      </c>
      <c r="Q13" s="8">
        <v>17722</v>
      </c>
      <c r="R13" s="8"/>
      <c r="S13" s="8"/>
      <c r="T13" s="8"/>
      <c r="U13" s="8">
        <v>19548</v>
      </c>
      <c r="V13" s="8">
        <v>23446</v>
      </c>
      <c r="W13" s="8">
        <v>24709</v>
      </c>
      <c r="X13" s="8">
        <v>24319</v>
      </c>
      <c r="Y13" s="8">
        <v>14911</v>
      </c>
      <c r="Z13" s="8">
        <v>16254</v>
      </c>
      <c r="AA13" s="8">
        <v>22001</v>
      </c>
      <c r="AB13" s="8">
        <v>22286</v>
      </c>
      <c r="AC13" s="8">
        <v>22958</v>
      </c>
      <c r="AD13" s="8">
        <v>26762</v>
      </c>
      <c r="AE13" s="8">
        <v>24674</v>
      </c>
      <c r="AF13" s="8">
        <v>22555</v>
      </c>
      <c r="AG13" s="8">
        <v>25173</v>
      </c>
      <c r="AH13" s="8">
        <v>45933</v>
      </c>
      <c r="AI13" s="8">
        <v>57379</v>
      </c>
      <c r="AJ13" s="8">
        <v>49286</v>
      </c>
      <c r="AK13" s="8">
        <v>51491</v>
      </c>
      <c r="AL13" s="8">
        <v>58612</v>
      </c>
      <c r="AM13" s="8">
        <v>68158</v>
      </c>
      <c r="AN13" s="8">
        <v>65695</v>
      </c>
      <c r="AO13" s="8">
        <v>95842</v>
      </c>
      <c r="AP13" s="8">
        <v>88311</v>
      </c>
      <c r="AQ13" s="8">
        <v>86884</v>
      </c>
      <c r="AR13" s="8">
        <v>77799</v>
      </c>
      <c r="AS13" s="8">
        <v>79983</v>
      </c>
      <c r="AT13" s="8">
        <v>59339</v>
      </c>
      <c r="AU13" s="8">
        <v>70404</v>
      </c>
      <c r="AV13" s="8">
        <v>82597</v>
      </c>
      <c r="AW13" s="8">
        <v>71051</v>
      </c>
      <c r="AX13" s="8">
        <v>75067</v>
      </c>
      <c r="AY13" s="8">
        <v>75669</v>
      </c>
      <c r="AZ13" s="8">
        <v>76232</v>
      </c>
      <c r="BA13" s="8">
        <v>82647</v>
      </c>
      <c r="BB13" s="8">
        <v>87625</v>
      </c>
      <c r="BC13" s="8">
        <v>88831</v>
      </c>
      <c r="BD13" s="8">
        <v>83501</v>
      </c>
      <c r="BE13" s="8">
        <v>96478</v>
      </c>
      <c r="BF13" s="8">
        <v>87849</v>
      </c>
      <c r="BG13" s="8">
        <v>76462</v>
      </c>
      <c r="BH13" s="8">
        <v>71310</v>
      </c>
      <c r="BI13" s="8">
        <v>86137</v>
      </c>
      <c r="BJ13" s="8">
        <v>93264</v>
      </c>
      <c r="BK13" s="8">
        <v>115499</v>
      </c>
    </row>
    <row r="14" spans="1:63" x14ac:dyDescent="0.25">
      <c r="A14" s="22"/>
      <c r="B14" s="7" t="s">
        <v>1</v>
      </c>
      <c r="C14" s="8">
        <v>81133</v>
      </c>
      <c r="D14" s="8">
        <v>80430</v>
      </c>
      <c r="E14" s="8">
        <v>78585</v>
      </c>
      <c r="F14" s="8">
        <v>84969</v>
      </c>
      <c r="G14" s="8">
        <v>90351</v>
      </c>
      <c r="H14" s="8">
        <v>95087</v>
      </c>
      <c r="I14" s="8">
        <v>92169</v>
      </c>
      <c r="J14" s="8">
        <v>100253</v>
      </c>
      <c r="K14" s="8">
        <v>98943</v>
      </c>
      <c r="L14" s="8">
        <v>103709</v>
      </c>
      <c r="M14" s="8">
        <v>99745</v>
      </c>
      <c r="N14" s="8">
        <v>99834</v>
      </c>
      <c r="O14" s="8">
        <v>96739</v>
      </c>
      <c r="P14" s="8">
        <v>115885</v>
      </c>
      <c r="Q14" s="8">
        <v>119414</v>
      </c>
      <c r="R14" s="8"/>
      <c r="S14" s="8"/>
      <c r="T14" s="8"/>
      <c r="U14" s="8">
        <v>118058</v>
      </c>
      <c r="V14" s="8">
        <v>117581</v>
      </c>
      <c r="W14" s="8">
        <v>121163</v>
      </c>
      <c r="X14" s="8">
        <v>125564</v>
      </c>
      <c r="Y14" s="8">
        <v>127478</v>
      </c>
      <c r="Z14" s="8">
        <v>156544</v>
      </c>
      <c r="AA14" s="8">
        <v>176810</v>
      </c>
      <c r="AB14" s="8">
        <v>180474</v>
      </c>
      <c r="AC14" s="8">
        <v>181831</v>
      </c>
      <c r="AD14" s="8">
        <v>176012</v>
      </c>
      <c r="AE14" s="8">
        <v>155379</v>
      </c>
      <c r="AF14" s="8">
        <v>148145</v>
      </c>
      <c r="AG14" s="8">
        <v>128999</v>
      </c>
      <c r="AH14" s="8">
        <v>124061</v>
      </c>
      <c r="AI14" s="8">
        <v>130423</v>
      </c>
      <c r="AJ14" s="8">
        <v>122707</v>
      </c>
      <c r="AK14" s="8">
        <v>118262</v>
      </c>
      <c r="AL14" s="8">
        <v>124309</v>
      </c>
      <c r="AM14" s="8">
        <v>144318</v>
      </c>
      <c r="AN14" s="8">
        <v>153148</v>
      </c>
      <c r="AO14" s="8">
        <v>145902</v>
      </c>
      <c r="AP14" s="8">
        <v>160725</v>
      </c>
      <c r="AQ14" s="8">
        <v>207524</v>
      </c>
      <c r="AR14" s="8">
        <v>238547</v>
      </c>
      <c r="AS14" s="8">
        <v>227028</v>
      </c>
      <c r="AT14" s="8">
        <v>264757</v>
      </c>
      <c r="AU14" s="8">
        <v>265106</v>
      </c>
      <c r="AV14" s="8">
        <v>280541</v>
      </c>
      <c r="AW14" s="8">
        <v>270014</v>
      </c>
      <c r="AX14" s="8">
        <v>325554</v>
      </c>
      <c r="AY14" s="8">
        <v>325736</v>
      </c>
      <c r="AZ14" s="8">
        <v>307063</v>
      </c>
      <c r="BA14" s="8">
        <v>323266</v>
      </c>
      <c r="BB14" s="8">
        <v>334569</v>
      </c>
      <c r="BC14" s="8">
        <v>286725</v>
      </c>
      <c r="BD14" s="8">
        <v>303797</v>
      </c>
      <c r="BE14" s="8">
        <v>344161</v>
      </c>
      <c r="BF14" s="8">
        <v>362319</v>
      </c>
      <c r="BG14" s="8">
        <v>363643</v>
      </c>
      <c r="BH14" s="8">
        <v>341620</v>
      </c>
      <c r="BI14" s="8">
        <v>267477</v>
      </c>
      <c r="BJ14" s="8">
        <v>334730</v>
      </c>
      <c r="BK14" s="8">
        <v>316186</v>
      </c>
    </row>
    <row r="15" spans="1:63" x14ac:dyDescent="0.25">
      <c r="A15" s="22"/>
      <c r="B15" s="7" t="s">
        <v>47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1094</v>
      </c>
      <c r="O15" s="8">
        <v>900</v>
      </c>
      <c r="P15" s="8">
        <v>0</v>
      </c>
      <c r="Q15" s="8">
        <v>0</v>
      </c>
      <c r="R15" s="8"/>
      <c r="S15" s="8"/>
      <c r="T15" s="8"/>
      <c r="U15" s="8">
        <v>1188</v>
      </c>
      <c r="V15" s="8">
        <v>1188</v>
      </c>
      <c r="W15" s="8">
        <v>1539</v>
      </c>
      <c r="X15" s="8">
        <v>0</v>
      </c>
      <c r="Y15" s="8">
        <v>1344</v>
      </c>
      <c r="Z15" s="8">
        <v>1293</v>
      </c>
      <c r="AA15" s="8">
        <v>0</v>
      </c>
      <c r="AB15" s="8">
        <v>1328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/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/>
      <c r="BA15" s="8"/>
      <c r="BB15" s="8"/>
      <c r="BD15" s="8"/>
      <c r="BE15" s="8"/>
      <c r="BF15" s="8"/>
      <c r="BG15" s="8"/>
      <c r="BH15" s="8"/>
      <c r="BI15" s="8"/>
      <c r="BJ15" s="8"/>
      <c r="BK15" s="8">
        <v>0</v>
      </c>
    </row>
    <row r="16" spans="1:63" x14ac:dyDescent="0.25">
      <c r="A16" s="22"/>
      <c r="B16" s="7" t="s">
        <v>27</v>
      </c>
      <c r="C16" s="8">
        <v>3441</v>
      </c>
      <c r="D16" s="8">
        <v>22189</v>
      </c>
      <c r="E16" s="8">
        <v>20955</v>
      </c>
      <c r="F16" s="8">
        <v>3606</v>
      </c>
      <c r="G16" s="8">
        <v>3763</v>
      </c>
      <c r="H16" s="8">
        <v>5515</v>
      </c>
      <c r="I16" s="8">
        <v>5038</v>
      </c>
      <c r="J16" s="8">
        <v>4414</v>
      </c>
      <c r="K16" s="8">
        <v>4280</v>
      </c>
      <c r="L16" s="8">
        <v>6559</v>
      </c>
      <c r="M16" s="8">
        <v>19443</v>
      </c>
      <c r="N16" s="8">
        <v>21562</v>
      </c>
      <c r="O16" s="8">
        <v>21117</v>
      </c>
      <c r="P16" s="8">
        <v>24247</v>
      </c>
      <c r="Q16" s="8">
        <v>24641</v>
      </c>
      <c r="R16" s="8"/>
      <c r="S16" s="8"/>
      <c r="T16" s="8"/>
      <c r="U16" s="8">
        <v>23030</v>
      </c>
      <c r="V16" s="8">
        <v>23674</v>
      </c>
      <c r="W16" s="8">
        <v>23887</v>
      </c>
      <c r="X16" s="8">
        <v>24851</v>
      </c>
      <c r="Y16" s="8">
        <v>16703</v>
      </c>
      <c r="Z16" s="8">
        <v>21298</v>
      </c>
      <c r="AA16" s="8">
        <v>28538</v>
      </c>
      <c r="AB16" s="8">
        <v>28411</v>
      </c>
      <c r="AC16" s="8">
        <v>56644</v>
      </c>
      <c r="AD16" s="8">
        <v>53503</v>
      </c>
      <c r="AE16" s="8">
        <v>55899</v>
      </c>
      <c r="AF16" s="8">
        <v>52229</v>
      </c>
      <c r="AG16" s="8">
        <v>18748</v>
      </c>
      <c r="AH16" s="8">
        <v>19771</v>
      </c>
      <c r="AI16" s="8">
        <v>24679</v>
      </c>
      <c r="AJ16" s="8">
        <v>21216</v>
      </c>
      <c r="AK16" s="8">
        <v>16318</v>
      </c>
      <c r="AL16" s="8">
        <v>18631</v>
      </c>
      <c r="AM16" s="8">
        <v>22081</v>
      </c>
      <c r="AN16" s="8">
        <v>23459</v>
      </c>
      <c r="AO16" s="8">
        <v>0</v>
      </c>
      <c r="AP16" s="8">
        <v>0</v>
      </c>
      <c r="AQ16" s="8">
        <v>29323</v>
      </c>
      <c r="AR16" s="8">
        <v>24201</v>
      </c>
      <c r="AS16" s="8">
        <v>21204</v>
      </c>
      <c r="AT16" s="8">
        <v>29240</v>
      </c>
      <c r="AU16" s="8">
        <v>19022</v>
      </c>
      <c r="AV16" s="8">
        <v>14858</v>
      </c>
      <c r="AW16" s="8">
        <v>12950</v>
      </c>
      <c r="AX16" s="8">
        <v>12911</v>
      </c>
      <c r="AY16" s="8">
        <v>0</v>
      </c>
      <c r="AZ16" s="8"/>
      <c r="BA16" s="8"/>
      <c r="BB16" s="8"/>
      <c r="BD16" s="8"/>
      <c r="BE16" s="8"/>
      <c r="BF16" s="8"/>
      <c r="BG16" s="8"/>
      <c r="BH16" s="8"/>
      <c r="BI16" s="8"/>
      <c r="BJ16" s="8"/>
      <c r="BK16" s="8"/>
    </row>
    <row r="17" spans="1:63" x14ac:dyDescent="0.25">
      <c r="A17" s="22"/>
      <c r="B17" s="6" t="s">
        <v>78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40297</v>
      </c>
      <c r="AP17" s="8">
        <v>41981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14704</v>
      </c>
      <c r="AW17" s="8">
        <v>13546</v>
      </c>
      <c r="AX17" s="8">
        <v>14851</v>
      </c>
      <c r="AY17" s="8">
        <v>42174</v>
      </c>
      <c r="AZ17" s="8">
        <v>38835</v>
      </c>
      <c r="BA17" s="8">
        <v>39321</v>
      </c>
      <c r="BB17" s="8">
        <v>39398</v>
      </c>
      <c r="BC17" s="8">
        <v>20570</v>
      </c>
      <c r="BD17" s="8">
        <v>19122</v>
      </c>
      <c r="BE17" s="8">
        <v>122414</v>
      </c>
      <c r="BF17" s="8">
        <v>100820</v>
      </c>
      <c r="BG17" s="8">
        <v>66013</v>
      </c>
      <c r="BH17" s="28">
        <v>42431</v>
      </c>
      <c r="BI17" s="28">
        <v>40164</v>
      </c>
      <c r="BJ17" s="28">
        <v>46750</v>
      </c>
      <c r="BK17" s="28">
        <v>58695</v>
      </c>
    </row>
    <row r="18" spans="1:63" x14ac:dyDescent="0.25">
      <c r="A18" s="27"/>
      <c r="B18" s="6" t="s">
        <v>71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26907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8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8"/>
      <c r="BA18" s="8"/>
      <c r="BB18" s="8"/>
      <c r="BD18" s="8"/>
      <c r="BE18" s="8"/>
      <c r="BF18" s="8"/>
      <c r="BG18" s="8"/>
      <c r="BH18" s="8"/>
      <c r="BI18" s="8"/>
      <c r="BJ18" s="8"/>
      <c r="BK18" s="8"/>
    </row>
    <row r="19" spans="1:63" x14ac:dyDescent="0.25">
      <c r="A19" s="27"/>
      <c r="B19" s="6" t="s">
        <v>52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78</v>
      </c>
      <c r="Q19" s="28">
        <v>0</v>
      </c>
      <c r="R19" s="28"/>
      <c r="S19" s="28"/>
      <c r="T19" s="28"/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8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8"/>
      <c r="BA19" s="8"/>
      <c r="BB19" s="8"/>
      <c r="BD19" s="8"/>
      <c r="BE19" s="8"/>
      <c r="BF19" s="8"/>
      <c r="BG19" s="8"/>
      <c r="BH19" s="8"/>
      <c r="BI19" s="8"/>
      <c r="BJ19" s="8"/>
      <c r="BK19" s="8"/>
    </row>
    <row r="20" spans="1:63" x14ac:dyDescent="0.25">
      <c r="A20" s="27"/>
      <c r="B20" s="6" t="s">
        <v>48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2661</v>
      </c>
      <c r="O20" s="28">
        <v>2704</v>
      </c>
      <c r="P20" s="28">
        <v>3325</v>
      </c>
      <c r="Q20" s="28">
        <v>0</v>
      </c>
      <c r="R20" s="28"/>
      <c r="S20" s="28"/>
      <c r="T20" s="28"/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8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8">
        <v>0</v>
      </c>
      <c r="AS20" s="28">
        <v>0</v>
      </c>
      <c r="AT20" s="28">
        <v>0</v>
      </c>
      <c r="AU20" s="28">
        <v>34088</v>
      </c>
      <c r="AV20" s="28">
        <v>0</v>
      </c>
      <c r="AW20" s="28">
        <v>57163</v>
      </c>
      <c r="AX20" s="28">
        <v>78450</v>
      </c>
      <c r="AY20" s="28">
        <v>169925</v>
      </c>
      <c r="AZ20" s="8">
        <v>33363</v>
      </c>
      <c r="BA20" s="8">
        <v>45797</v>
      </c>
      <c r="BB20" s="8">
        <v>47368</v>
      </c>
      <c r="BC20" s="8">
        <v>44850</v>
      </c>
      <c r="BD20" s="8">
        <v>35989</v>
      </c>
      <c r="BE20" s="8">
        <v>19644</v>
      </c>
      <c r="BF20" s="8">
        <v>21805</v>
      </c>
      <c r="BG20" s="8">
        <v>22998</v>
      </c>
      <c r="BH20" s="8">
        <v>20689</v>
      </c>
      <c r="BI20" s="8">
        <v>16142</v>
      </c>
      <c r="BJ20" s="8">
        <v>16819</v>
      </c>
      <c r="BK20" s="8">
        <v>8537</v>
      </c>
    </row>
    <row r="21" spans="1:63" x14ac:dyDescent="0.25">
      <c r="A21" s="27"/>
      <c r="B21" s="6" t="s">
        <v>44</v>
      </c>
      <c r="C21" s="28">
        <v>1238</v>
      </c>
      <c r="D21" s="28">
        <v>0</v>
      </c>
      <c r="E21" s="28">
        <v>0</v>
      </c>
      <c r="F21" s="28">
        <v>411</v>
      </c>
      <c r="G21" s="28">
        <v>3161</v>
      </c>
      <c r="H21" s="28">
        <v>4009</v>
      </c>
      <c r="I21" s="28">
        <v>5176</v>
      </c>
      <c r="J21" s="28">
        <v>6151</v>
      </c>
      <c r="K21" s="28">
        <v>5140</v>
      </c>
      <c r="L21" s="28">
        <v>6375</v>
      </c>
      <c r="M21" s="28">
        <v>5923</v>
      </c>
      <c r="N21" s="28">
        <v>4313</v>
      </c>
      <c r="O21" s="28">
        <v>6476</v>
      </c>
      <c r="P21" s="28">
        <v>6308</v>
      </c>
      <c r="Q21" s="28">
        <v>5848</v>
      </c>
      <c r="R21" s="28"/>
      <c r="S21" s="28"/>
      <c r="T21" s="28"/>
      <c r="U21" s="28">
        <v>7846</v>
      </c>
      <c r="V21" s="28">
        <v>7774</v>
      </c>
      <c r="W21" s="28">
        <v>7009</v>
      </c>
      <c r="X21" s="28">
        <v>6026</v>
      </c>
      <c r="Y21" s="28">
        <v>8812</v>
      </c>
      <c r="Z21" s="28">
        <v>13621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30527</v>
      </c>
      <c r="AH21" s="28">
        <v>35649</v>
      </c>
      <c r="AI21" s="28">
        <v>41589</v>
      </c>
      <c r="AJ21" s="28">
        <v>35196</v>
      </c>
      <c r="AK21" s="28">
        <v>23919</v>
      </c>
      <c r="AL21" s="28">
        <v>21489</v>
      </c>
      <c r="AM21" s="28">
        <v>20634</v>
      </c>
      <c r="AN21" s="28">
        <v>21335</v>
      </c>
      <c r="AO21" s="28">
        <v>0</v>
      </c>
      <c r="AP21" s="28">
        <v>0</v>
      </c>
      <c r="AQ21" s="28">
        <v>17948</v>
      </c>
      <c r="AR21" s="28">
        <v>45895</v>
      </c>
      <c r="AS21" s="28">
        <v>39876</v>
      </c>
      <c r="AT21" s="28">
        <v>56611</v>
      </c>
      <c r="AU21" s="28">
        <v>49128</v>
      </c>
      <c r="AV21" s="28">
        <v>47727</v>
      </c>
      <c r="AW21" s="28">
        <v>35055</v>
      </c>
      <c r="AX21" s="28">
        <v>48475</v>
      </c>
      <c r="AY21" s="28">
        <v>0</v>
      </c>
      <c r="AZ21" s="8"/>
      <c r="BA21" s="8"/>
      <c r="BB21" s="8"/>
      <c r="BD21" s="8"/>
      <c r="BE21" s="8"/>
      <c r="BF21" s="8"/>
      <c r="BG21" s="8"/>
      <c r="BH21" s="8"/>
      <c r="BI21" s="8"/>
      <c r="BJ21" s="8"/>
      <c r="BK21" s="8"/>
    </row>
    <row r="22" spans="1:63" x14ac:dyDescent="0.25">
      <c r="A22" s="27"/>
      <c r="C22" s="29">
        <f t="shared" ref="C22:Q22" si="0">SUM(C9:C21)</f>
        <v>319114</v>
      </c>
      <c r="D22" s="29">
        <f t="shared" si="0"/>
        <v>322401</v>
      </c>
      <c r="E22" s="29">
        <f t="shared" si="0"/>
        <v>345647</v>
      </c>
      <c r="F22" s="29">
        <f t="shared" si="0"/>
        <v>381387</v>
      </c>
      <c r="G22" s="29">
        <f t="shared" si="0"/>
        <v>400867</v>
      </c>
      <c r="H22" s="29">
        <f t="shared" si="0"/>
        <v>379208</v>
      </c>
      <c r="I22" s="29">
        <f t="shared" si="0"/>
        <v>393930</v>
      </c>
      <c r="J22" s="29">
        <f t="shared" si="0"/>
        <v>467293</v>
      </c>
      <c r="K22" s="29">
        <f t="shared" si="0"/>
        <v>479723</v>
      </c>
      <c r="L22" s="29">
        <f t="shared" si="0"/>
        <v>414749</v>
      </c>
      <c r="M22" s="29">
        <f t="shared" si="0"/>
        <v>419825</v>
      </c>
      <c r="N22" s="29">
        <f t="shared" si="0"/>
        <v>419136</v>
      </c>
      <c r="O22" s="29">
        <f t="shared" si="0"/>
        <v>438284</v>
      </c>
      <c r="P22" s="29">
        <f t="shared" si="0"/>
        <v>529947</v>
      </c>
      <c r="Q22" s="29">
        <f t="shared" si="0"/>
        <v>653109</v>
      </c>
      <c r="R22" s="28"/>
      <c r="S22" s="28"/>
      <c r="T22" s="28"/>
      <c r="U22" s="29">
        <f t="shared" ref="U22:AK22" si="1">SUM(U9:U21)</f>
        <v>554002</v>
      </c>
      <c r="V22" s="29">
        <f t="shared" si="1"/>
        <v>551800</v>
      </c>
      <c r="W22" s="29">
        <f t="shared" si="1"/>
        <v>564432</v>
      </c>
      <c r="X22" s="29">
        <f t="shared" si="1"/>
        <v>620182</v>
      </c>
      <c r="Y22" s="29">
        <f t="shared" si="1"/>
        <v>614734</v>
      </c>
      <c r="Z22" s="29">
        <f t="shared" si="1"/>
        <v>694094</v>
      </c>
      <c r="AA22" s="29">
        <f t="shared" si="1"/>
        <v>717296</v>
      </c>
      <c r="AB22" s="29">
        <f t="shared" si="1"/>
        <v>1211016</v>
      </c>
      <c r="AC22" s="29">
        <f t="shared" si="1"/>
        <v>871960</v>
      </c>
      <c r="AD22" s="29">
        <f t="shared" si="1"/>
        <v>827322</v>
      </c>
      <c r="AE22" s="29">
        <f t="shared" si="1"/>
        <v>729408</v>
      </c>
      <c r="AF22" s="29">
        <f t="shared" si="1"/>
        <v>994951</v>
      </c>
      <c r="AG22" s="29">
        <f t="shared" si="1"/>
        <v>902566</v>
      </c>
      <c r="AH22" s="29">
        <f t="shared" si="1"/>
        <v>867725</v>
      </c>
      <c r="AI22" s="29">
        <f t="shared" si="1"/>
        <v>893487</v>
      </c>
      <c r="AJ22" s="29">
        <f t="shared" si="1"/>
        <v>883986</v>
      </c>
      <c r="AK22" s="29">
        <f t="shared" si="1"/>
        <v>858727</v>
      </c>
      <c r="AL22" s="29">
        <f t="shared" ref="AL22:AQ22" si="2">SUM(AL9:AL21)</f>
        <v>865358</v>
      </c>
      <c r="AM22" s="29">
        <f t="shared" si="2"/>
        <v>1140661</v>
      </c>
      <c r="AN22" s="29">
        <f t="shared" si="2"/>
        <v>999146</v>
      </c>
      <c r="AO22" s="29">
        <f t="shared" si="2"/>
        <v>961594</v>
      </c>
      <c r="AP22" s="29">
        <f t="shared" si="2"/>
        <v>980203</v>
      </c>
      <c r="AQ22" s="29">
        <f t="shared" si="2"/>
        <v>1050366</v>
      </c>
      <c r="AR22" s="29">
        <f t="shared" ref="AR22:AZ22" si="3">SUM(AR9:AR21)</f>
        <v>1160915</v>
      </c>
      <c r="AS22" s="29">
        <f t="shared" si="3"/>
        <v>1082136</v>
      </c>
      <c r="AT22" s="29">
        <f t="shared" si="3"/>
        <v>1181425</v>
      </c>
      <c r="AU22" s="29">
        <f t="shared" si="3"/>
        <v>1397765</v>
      </c>
      <c r="AV22" s="29">
        <f t="shared" si="3"/>
        <v>1456326</v>
      </c>
      <c r="AW22" s="29">
        <f t="shared" si="3"/>
        <v>1304819</v>
      </c>
      <c r="AX22" s="29">
        <f t="shared" si="3"/>
        <v>1517930</v>
      </c>
      <c r="AY22" s="29">
        <f t="shared" si="3"/>
        <v>1326312</v>
      </c>
      <c r="AZ22" s="29">
        <f t="shared" si="3"/>
        <v>1272426</v>
      </c>
      <c r="BA22" s="29">
        <v>1309939</v>
      </c>
      <c r="BB22" s="29">
        <v>1325850</v>
      </c>
      <c r="BC22" s="29">
        <v>1022468</v>
      </c>
      <c r="BD22" s="29">
        <v>1172284</v>
      </c>
      <c r="BE22" s="29">
        <v>1294973</v>
      </c>
      <c r="BF22" s="29">
        <v>1376868</v>
      </c>
      <c r="BG22" s="29">
        <v>1236658</v>
      </c>
      <c r="BH22" s="29">
        <v>1331603</v>
      </c>
      <c r="BI22" s="29">
        <v>1218878</v>
      </c>
      <c r="BJ22" s="29">
        <v>1451766</v>
      </c>
      <c r="BK22" s="29">
        <f>SUM(BK9:BK20)</f>
        <v>1415035</v>
      </c>
    </row>
    <row r="23" spans="1:63" x14ac:dyDescent="0.25">
      <c r="A23" s="27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8"/>
      <c r="S23" s="28"/>
      <c r="T23" s="28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Z23" s="8"/>
      <c r="BA23" s="8"/>
      <c r="BB23" s="8"/>
    </row>
    <row r="24" spans="1:63" x14ac:dyDescent="0.25">
      <c r="A24" s="27"/>
      <c r="B24" s="6" t="s">
        <v>71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791</v>
      </c>
      <c r="AJ24" s="28">
        <v>791</v>
      </c>
      <c r="AK24" s="28">
        <v>791</v>
      </c>
      <c r="AL24" s="28">
        <v>791</v>
      </c>
      <c r="AM24" s="28">
        <v>791</v>
      </c>
      <c r="AN24" s="28">
        <v>791</v>
      </c>
      <c r="AO24" s="28">
        <v>791</v>
      </c>
      <c r="AP24" s="28">
        <v>791</v>
      </c>
      <c r="AQ24" s="28">
        <v>0</v>
      </c>
      <c r="AR24" s="28">
        <v>0</v>
      </c>
      <c r="AS24" s="28">
        <v>0</v>
      </c>
      <c r="AT24" s="28">
        <v>0</v>
      </c>
      <c r="AU24" s="28">
        <v>0</v>
      </c>
      <c r="AV24" s="28">
        <v>0</v>
      </c>
      <c r="AW24" s="28">
        <v>0</v>
      </c>
      <c r="AX24" s="28">
        <v>0</v>
      </c>
      <c r="AY24" s="28">
        <v>33923</v>
      </c>
      <c r="AZ24" s="8">
        <v>35063</v>
      </c>
      <c r="BA24" s="8">
        <v>16746</v>
      </c>
      <c r="BB24" s="8">
        <v>16746</v>
      </c>
      <c r="BC24" s="8">
        <v>16746</v>
      </c>
      <c r="BD24" s="8">
        <v>16746</v>
      </c>
      <c r="BE24" s="8">
        <v>16746</v>
      </c>
      <c r="BF24" s="8">
        <v>16746</v>
      </c>
      <c r="BG24" s="8">
        <v>16746</v>
      </c>
      <c r="BH24" s="8">
        <v>16746</v>
      </c>
      <c r="BI24" s="8">
        <v>48557</v>
      </c>
      <c r="BJ24" s="8">
        <v>4275</v>
      </c>
      <c r="BK24" s="8">
        <v>4275</v>
      </c>
    </row>
    <row r="25" spans="1:63" x14ac:dyDescent="0.25">
      <c r="A25" s="27"/>
      <c r="C25" s="29">
        <f t="shared" ref="C25:AG25" si="4">C24</f>
        <v>0</v>
      </c>
      <c r="D25" s="29">
        <f t="shared" si="4"/>
        <v>0</v>
      </c>
      <c r="E25" s="29">
        <f t="shared" si="4"/>
        <v>0</v>
      </c>
      <c r="F25" s="29">
        <f t="shared" si="4"/>
        <v>0</v>
      </c>
      <c r="G25" s="29">
        <f t="shared" si="4"/>
        <v>0</v>
      </c>
      <c r="H25" s="29">
        <f t="shared" si="4"/>
        <v>0</v>
      </c>
      <c r="I25" s="29">
        <f t="shared" si="4"/>
        <v>0</v>
      </c>
      <c r="J25" s="29">
        <f t="shared" si="4"/>
        <v>0</v>
      </c>
      <c r="K25" s="29">
        <f t="shared" si="4"/>
        <v>0</v>
      </c>
      <c r="L25" s="29">
        <f t="shared" si="4"/>
        <v>0</v>
      </c>
      <c r="M25" s="29">
        <f t="shared" si="4"/>
        <v>0</v>
      </c>
      <c r="N25" s="29">
        <f t="shared" si="4"/>
        <v>0</v>
      </c>
      <c r="O25" s="29">
        <f t="shared" si="4"/>
        <v>0</v>
      </c>
      <c r="P25" s="29">
        <f t="shared" si="4"/>
        <v>0</v>
      </c>
      <c r="Q25" s="29">
        <f t="shared" si="4"/>
        <v>0</v>
      </c>
      <c r="R25" s="29">
        <f t="shared" si="4"/>
        <v>0</v>
      </c>
      <c r="S25" s="29">
        <f t="shared" si="4"/>
        <v>0</v>
      </c>
      <c r="T25" s="29">
        <f t="shared" si="4"/>
        <v>0</v>
      </c>
      <c r="U25" s="29">
        <f t="shared" si="4"/>
        <v>0</v>
      </c>
      <c r="V25" s="29">
        <f t="shared" si="4"/>
        <v>0</v>
      </c>
      <c r="W25" s="29">
        <f t="shared" si="4"/>
        <v>0</v>
      </c>
      <c r="X25" s="29">
        <f t="shared" si="4"/>
        <v>0</v>
      </c>
      <c r="Y25" s="29">
        <f t="shared" si="4"/>
        <v>0</v>
      </c>
      <c r="Z25" s="29">
        <f t="shared" si="4"/>
        <v>0</v>
      </c>
      <c r="AA25" s="29">
        <f t="shared" si="4"/>
        <v>0</v>
      </c>
      <c r="AB25" s="29">
        <f t="shared" si="4"/>
        <v>0</v>
      </c>
      <c r="AC25" s="29">
        <f t="shared" si="4"/>
        <v>0</v>
      </c>
      <c r="AD25" s="29">
        <f t="shared" si="4"/>
        <v>0</v>
      </c>
      <c r="AE25" s="29">
        <f t="shared" si="4"/>
        <v>0</v>
      </c>
      <c r="AF25" s="29">
        <f t="shared" si="4"/>
        <v>0</v>
      </c>
      <c r="AG25" s="29">
        <f t="shared" si="4"/>
        <v>0</v>
      </c>
      <c r="AH25" s="29">
        <f t="shared" ref="AH25:AM25" si="5">AH24</f>
        <v>0</v>
      </c>
      <c r="AI25" s="29">
        <f t="shared" si="5"/>
        <v>791</v>
      </c>
      <c r="AJ25" s="29">
        <f t="shared" si="5"/>
        <v>791</v>
      </c>
      <c r="AK25" s="29">
        <f t="shared" si="5"/>
        <v>791</v>
      </c>
      <c r="AL25" s="29">
        <f t="shared" si="5"/>
        <v>791</v>
      </c>
      <c r="AM25" s="29">
        <f t="shared" si="5"/>
        <v>791</v>
      </c>
      <c r="AN25" s="29">
        <f t="shared" ref="AN25:AS25" si="6">AN24</f>
        <v>791</v>
      </c>
      <c r="AO25" s="29">
        <f t="shared" si="6"/>
        <v>791</v>
      </c>
      <c r="AP25" s="29">
        <f t="shared" si="6"/>
        <v>791</v>
      </c>
      <c r="AQ25" s="29">
        <f t="shared" si="6"/>
        <v>0</v>
      </c>
      <c r="AR25" s="29">
        <f t="shared" si="6"/>
        <v>0</v>
      </c>
      <c r="AS25" s="29">
        <f t="shared" si="6"/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9">
        <f>AY24</f>
        <v>33923</v>
      </c>
      <c r="AZ25" s="29">
        <f>AZ24</f>
        <v>35063</v>
      </c>
      <c r="BA25" s="29">
        <v>16746</v>
      </c>
      <c r="BB25" s="29">
        <v>16746</v>
      </c>
      <c r="BC25" s="29">
        <v>396377</v>
      </c>
      <c r="BD25" s="29">
        <v>458393</v>
      </c>
      <c r="BE25" s="29">
        <v>16746</v>
      </c>
      <c r="BF25" s="29">
        <v>16746</v>
      </c>
      <c r="BG25" s="29">
        <v>16746</v>
      </c>
      <c r="BH25" s="29">
        <v>16746</v>
      </c>
      <c r="BI25" s="29">
        <v>48557</v>
      </c>
      <c r="BJ25" s="29">
        <v>4275</v>
      </c>
      <c r="BK25" s="29">
        <v>4275</v>
      </c>
    </row>
    <row r="26" spans="1:63" x14ac:dyDescent="0.25">
      <c r="A26" s="22"/>
      <c r="B26" s="6" t="s">
        <v>101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7"/>
      <c r="S26" s="7"/>
      <c r="T26" s="7"/>
      <c r="U26" s="10"/>
      <c r="V26" s="10"/>
      <c r="W26" s="10"/>
      <c r="X26" s="10"/>
      <c r="Y26" s="10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Z26" s="8"/>
      <c r="BA26" s="8"/>
      <c r="BB26" s="8"/>
      <c r="BC26" s="8">
        <v>379631</v>
      </c>
      <c r="BD26" s="8">
        <v>441647</v>
      </c>
      <c r="BE26" s="8">
        <v>0</v>
      </c>
      <c r="BF26" s="8">
        <v>0</v>
      </c>
      <c r="BG26" s="8">
        <v>0</v>
      </c>
      <c r="BH26" s="8">
        <v>0</v>
      </c>
      <c r="BI26" s="8">
        <v>0</v>
      </c>
      <c r="BJ26" s="8" t="s">
        <v>364</v>
      </c>
      <c r="BK26" s="8" t="s">
        <v>364</v>
      </c>
    </row>
    <row r="27" spans="1:63" x14ac:dyDescent="0.25">
      <c r="A27" s="22"/>
      <c r="B27" s="11" t="s">
        <v>7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7"/>
      <c r="S27" s="7"/>
      <c r="T27" s="7"/>
      <c r="U27" s="10"/>
      <c r="V27" s="10"/>
      <c r="W27" s="10"/>
      <c r="X27" s="10"/>
      <c r="Y27" s="10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Z27" s="8"/>
      <c r="BA27" s="8"/>
      <c r="BB27" s="8"/>
    </row>
    <row r="28" spans="1:63" x14ac:dyDescent="0.25">
      <c r="A28" s="22"/>
      <c r="B28" s="7" t="s">
        <v>45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12">
        <v>4100</v>
      </c>
      <c r="Z28" s="12">
        <v>6625</v>
      </c>
      <c r="AA28" s="12">
        <v>12095</v>
      </c>
      <c r="AB28" s="12">
        <v>11994</v>
      </c>
      <c r="AC28" s="12">
        <v>13210</v>
      </c>
      <c r="AD28" s="12">
        <v>16372</v>
      </c>
      <c r="AE28" s="12">
        <v>15671</v>
      </c>
      <c r="AF28" s="12">
        <v>15037</v>
      </c>
      <c r="AG28" s="12">
        <v>12755</v>
      </c>
      <c r="AH28" s="12">
        <v>19008</v>
      </c>
      <c r="AI28" s="12">
        <v>19648</v>
      </c>
      <c r="AJ28" s="12">
        <v>18832</v>
      </c>
      <c r="AK28" s="12">
        <v>18101</v>
      </c>
      <c r="AL28" s="12">
        <v>17473</v>
      </c>
      <c r="AM28" s="12">
        <v>16770</v>
      </c>
      <c r="AN28" s="28">
        <v>16268</v>
      </c>
      <c r="AO28" s="28">
        <v>15556</v>
      </c>
      <c r="AP28" s="28">
        <v>13177</v>
      </c>
      <c r="AQ28" s="28">
        <v>12655</v>
      </c>
      <c r="AR28" s="28">
        <v>12143</v>
      </c>
      <c r="AS28" s="28">
        <v>11594</v>
      </c>
      <c r="AT28" s="28">
        <v>9795</v>
      </c>
      <c r="AU28" s="28">
        <v>9795</v>
      </c>
      <c r="AV28" s="28">
        <v>7334</v>
      </c>
      <c r="AW28" s="28">
        <v>23663</v>
      </c>
      <c r="AX28" s="28">
        <v>14505</v>
      </c>
      <c r="AY28" s="28">
        <v>5603</v>
      </c>
      <c r="AZ28" s="8">
        <v>5603</v>
      </c>
      <c r="BA28" s="8">
        <v>5603</v>
      </c>
      <c r="BB28" s="8">
        <v>3818</v>
      </c>
      <c r="BC28" s="8">
        <v>3818</v>
      </c>
      <c r="BD28" s="8">
        <v>3818</v>
      </c>
      <c r="BE28" s="8">
        <v>3818</v>
      </c>
      <c r="BF28" s="8">
        <v>6866</v>
      </c>
      <c r="BG28" s="8">
        <v>6209</v>
      </c>
      <c r="BH28" s="8">
        <v>1502</v>
      </c>
      <c r="BI28" s="8">
        <v>0</v>
      </c>
      <c r="BJ28" s="8">
        <v>0</v>
      </c>
      <c r="BK28" s="8">
        <v>0</v>
      </c>
    </row>
    <row r="29" spans="1:63" x14ac:dyDescent="0.25">
      <c r="A29" s="22"/>
      <c r="B29" s="7" t="s">
        <v>3</v>
      </c>
      <c r="C29" s="13">
        <v>6541</v>
      </c>
      <c r="D29" s="13">
        <v>1618</v>
      </c>
      <c r="E29" s="13">
        <v>7193</v>
      </c>
      <c r="F29" s="13">
        <v>7827</v>
      </c>
      <c r="G29" s="13">
        <v>8054</v>
      </c>
      <c r="H29" s="13">
        <v>8632</v>
      </c>
      <c r="I29" s="13">
        <v>9382</v>
      </c>
      <c r="J29" s="13">
        <v>12279</v>
      </c>
      <c r="K29" s="13">
        <v>13150</v>
      </c>
      <c r="L29" s="13">
        <v>21104</v>
      </c>
      <c r="M29" s="13">
        <v>21730</v>
      </c>
      <c r="N29" s="13">
        <v>19801</v>
      </c>
      <c r="O29" s="13">
        <v>27188</v>
      </c>
      <c r="P29" s="13">
        <v>27598</v>
      </c>
      <c r="Q29" s="13">
        <v>27825</v>
      </c>
      <c r="R29" s="13"/>
      <c r="S29" s="13"/>
      <c r="T29" s="13"/>
      <c r="U29" s="13">
        <v>28494</v>
      </c>
      <c r="V29" s="13">
        <v>28771</v>
      </c>
      <c r="W29" s="13">
        <v>29751</v>
      </c>
      <c r="X29" s="13">
        <v>30785</v>
      </c>
      <c r="Y29" s="12">
        <v>29286</v>
      </c>
      <c r="Z29" s="12">
        <v>29614</v>
      </c>
      <c r="AA29" s="12">
        <v>29273</v>
      </c>
      <c r="AB29" s="12">
        <v>33993</v>
      </c>
      <c r="AC29" s="12">
        <v>31206</v>
      </c>
      <c r="AD29" s="12">
        <v>31443</v>
      </c>
      <c r="AE29" s="12">
        <v>31298</v>
      </c>
      <c r="AF29" s="12">
        <v>34627</v>
      </c>
      <c r="AG29" s="12">
        <v>37254</v>
      </c>
      <c r="AH29" s="12">
        <v>37101</v>
      </c>
      <c r="AI29" s="12">
        <v>38048</v>
      </c>
      <c r="AJ29" s="12">
        <v>37606</v>
      </c>
      <c r="AK29" s="12">
        <v>38282</v>
      </c>
      <c r="AL29" s="12">
        <v>36547</v>
      </c>
      <c r="AM29" s="12">
        <v>39735</v>
      </c>
      <c r="AN29" s="28">
        <v>39360</v>
      </c>
      <c r="AO29" s="28">
        <v>38616</v>
      </c>
      <c r="AP29" s="28">
        <v>38302</v>
      </c>
      <c r="AQ29" s="28">
        <v>38738</v>
      </c>
      <c r="AR29" s="28">
        <v>37854</v>
      </c>
      <c r="AS29" s="28">
        <v>36435</v>
      </c>
      <c r="AT29" s="28">
        <v>32794</v>
      </c>
      <c r="AU29" s="28">
        <v>32420</v>
      </c>
      <c r="AV29" s="28">
        <v>21967</v>
      </c>
      <c r="AW29" s="28">
        <v>21166</v>
      </c>
      <c r="AX29" s="28">
        <v>21241</v>
      </c>
      <c r="AY29" s="28">
        <v>19060</v>
      </c>
      <c r="AZ29" s="8">
        <v>18905</v>
      </c>
      <c r="BA29" s="8">
        <v>41204</v>
      </c>
      <c r="BB29" s="8">
        <v>20691</v>
      </c>
      <c r="BC29" s="8">
        <v>20506</v>
      </c>
      <c r="BD29" s="8">
        <v>19597</v>
      </c>
      <c r="BE29" s="8">
        <v>19365</v>
      </c>
      <c r="BF29" s="8">
        <v>19373</v>
      </c>
      <c r="BG29" s="8">
        <v>20439</v>
      </c>
      <c r="BH29" s="8">
        <v>19944</v>
      </c>
      <c r="BI29" s="8">
        <v>19767</v>
      </c>
      <c r="BJ29" s="8">
        <v>19817</v>
      </c>
      <c r="BK29" s="8">
        <v>19867</v>
      </c>
    </row>
    <row r="30" spans="1:63" x14ac:dyDescent="0.25">
      <c r="A30" s="22"/>
      <c r="B30" s="7" t="s">
        <v>28</v>
      </c>
      <c r="C30" s="13">
        <v>1522</v>
      </c>
      <c r="D30" s="13">
        <v>1339</v>
      </c>
      <c r="E30" s="13">
        <v>1133</v>
      </c>
      <c r="F30" s="13">
        <v>247</v>
      </c>
      <c r="G30" s="13">
        <v>202</v>
      </c>
      <c r="H30" s="13">
        <v>202</v>
      </c>
      <c r="I30" s="13">
        <v>203</v>
      </c>
      <c r="J30" s="13">
        <v>3555</v>
      </c>
      <c r="K30" s="13">
        <v>3500</v>
      </c>
      <c r="L30" s="13">
        <v>3500</v>
      </c>
      <c r="M30" s="13">
        <v>3499</v>
      </c>
      <c r="N30" s="13">
        <v>5237</v>
      </c>
      <c r="O30" s="13">
        <v>5237</v>
      </c>
      <c r="P30" s="13">
        <v>5237</v>
      </c>
      <c r="Q30" s="13">
        <v>5237</v>
      </c>
      <c r="R30" s="13"/>
      <c r="S30" s="13"/>
      <c r="T30" s="13"/>
      <c r="U30" s="13">
        <v>5237</v>
      </c>
      <c r="V30" s="13">
        <v>5237</v>
      </c>
      <c r="W30" s="13">
        <v>5237</v>
      </c>
      <c r="X30" s="13">
        <v>8325</v>
      </c>
      <c r="Y30" s="12">
        <v>13397</v>
      </c>
      <c r="Z30" s="12">
        <v>14570</v>
      </c>
      <c r="AA30" s="12">
        <v>16703</v>
      </c>
      <c r="AB30" s="12">
        <v>17805</v>
      </c>
      <c r="AC30" s="12">
        <v>18686</v>
      </c>
      <c r="AD30" s="12">
        <v>19427</v>
      </c>
      <c r="AE30" s="12">
        <v>20342</v>
      </c>
      <c r="AF30" s="12">
        <v>20704</v>
      </c>
      <c r="AG30" s="12">
        <v>21279</v>
      </c>
      <c r="AH30" s="12">
        <v>21585</v>
      </c>
      <c r="AI30" s="12">
        <v>22301</v>
      </c>
      <c r="AJ30" s="12">
        <v>22539</v>
      </c>
      <c r="AK30" s="12">
        <v>22513</v>
      </c>
      <c r="AL30" s="12">
        <v>23080</v>
      </c>
      <c r="AM30" s="12">
        <v>23499</v>
      </c>
      <c r="AN30" s="28">
        <v>21444</v>
      </c>
      <c r="AO30" s="28">
        <v>21374</v>
      </c>
      <c r="AP30" s="28">
        <v>21441</v>
      </c>
      <c r="AQ30" s="28">
        <v>21344</v>
      </c>
      <c r="AR30" s="28">
        <v>21547</v>
      </c>
      <c r="AS30" s="28">
        <v>21473</v>
      </c>
      <c r="AT30" s="28">
        <v>21344</v>
      </c>
      <c r="AU30" s="28">
        <v>21348</v>
      </c>
      <c r="AV30" s="28">
        <v>21887</v>
      </c>
      <c r="AW30" s="28">
        <v>21883</v>
      </c>
      <c r="AX30" s="28">
        <v>21883</v>
      </c>
      <c r="AY30" s="28">
        <v>68438</v>
      </c>
      <c r="AZ30" s="8">
        <v>71422</v>
      </c>
      <c r="BA30" s="8">
        <v>81624</v>
      </c>
      <c r="BB30" s="8">
        <v>82145</v>
      </c>
      <c r="BC30" s="8">
        <v>68443</v>
      </c>
      <c r="BD30" s="8">
        <v>76702</v>
      </c>
      <c r="BE30" s="8">
        <v>83892</v>
      </c>
      <c r="BF30" s="8">
        <v>85996</v>
      </c>
      <c r="BG30" s="8">
        <v>87706</v>
      </c>
      <c r="BH30" s="8">
        <v>71002</v>
      </c>
      <c r="BI30" s="8">
        <v>71891</v>
      </c>
      <c r="BJ30" s="8">
        <v>72798</v>
      </c>
      <c r="BK30" s="8">
        <v>66303</v>
      </c>
    </row>
    <row r="31" spans="1:63" x14ac:dyDescent="0.25">
      <c r="A31" s="22"/>
      <c r="B31" s="7" t="s">
        <v>2</v>
      </c>
      <c r="C31" s="13">
        <v>16474</v>
      </c>
      <c r="D31" s="13">
        <v>11713</v>
      </c>
      <c r="E31" s="13">
        <v>11386</v>
      </c>
      <c r="F31" s="13">
        <v>7244</v>
      </c>
      <c r="G31" s="13">
        <v>13117</v>
      </c>
      <c r="H31" s="13">
        <v>16764</v>
      </c>
      <c r="I31" s="13">
        <v>16893</v>
      </c>
      <c r="J31" s="13">
        <v>13185</v>
      </c>
      <c r="K31" s="13">
        <v>15034</v>
      </c>
      <c r="L31" s="13">
        <v>15087</v>
      </c>
      <c r="M31" s="13">
        <v>14113</v>
      </c>
      <c r="N31" s="13">
        <v>14690</v>
      </c>
      <c r="O31" s="13">
        <v>18576</v>
      </c>
      <c r="P31" s="13">
        <v>19066</v>
      </c>
      <c r="Q31" s="13">
        <v>22219</v>
      </c>
      <c r="R31" s="13"/>
      <c r="S31" s="13"/>
      <c r="T31" s="13"/>
      <c r="U31" s="13">
        <v>26476</v>
      </c>
      <c r="V31" s="13">
        <v>26173</v>
      </c>
      <c r="W31" s="13">
        <v>30653</v>
      </c>
      <c r="X31" s="13">
        <v>25410</v>
      </c>
      <c r="Y31" s="12">
        <v>24902</v>
      </c>
      <c r="Z31" s="12">
        <v>24090</v>
      </c>
      <c r="AA31" s="12">
        <v>24178</v>
      </c>
      <c r="AB31" s="12">
        <v>28130</v>
      </c>
      <c r="AC31" s="12">
        <v>34767</v>
      </c>
      <c r="AD31" s="12">
        <v>35472</v>
      </c>
      <c r="AE31" s="12">
        <v>49082</v>
      </c>
      <c r="AF31" s="12">
        <v>53743</v>
      </c>
      <c r="AG31" s="12">
        <v>66581</v>
      </c>
      <c r="AH31" s="12">
        <v>74328</v>
      </c>
      <c r="AI31" s="12">
        <v>78275</v>
      </c>
      <c r="AJ31" s="12">
        <v>76389</v>
      </c>
      <c r="AK31" s="12">
        <v>61275</v>
      </c>
      <c r="AL31" s="12">
        <v>58746</v>
      </c>
      <c r="AM31" s="12">
        <v>64155</v>
      </c>
      <c r="AN31" s="28">
        <v>66440</v>
      </c>
      <c r="AO31" s="28">
        <v>68489</v>
      </c>
      <c r="AP31" s="28">
        <v>70981</v>
      </c>
      <c r="AQ31" s="28">
        <v>71247</v>
      </c>
      <c r="AR31" s="28">
        <v>81145</v>
      </c>
      <c r="AS31" s="28">
        <v>88480</v>
      </c>
      <c r="AT31" s="28">
        <v>105410</v>
      </c>
      <c r="AU31" s="28">
        <v>114331</v>
      </c>
      <c r="AV31" s="28">
        <v>116577</v>
      </c>
      <c r="AW31" s="28">
        <v>104465</v>
      </c>
      <c r="AX31" s="28">
        <v>115369</v>
      </c>
      <c r="AY31" s="28">
        <v>115959</v>
      </c>
      <c r="AZ31" s="8">
        <v>114827</v>
      </c>
      <c r="BA31" s="8">
        <v>115533</v>
      </c>
      <c r="BB31" s="8">
        <v>122020</v>
      </c>
      <c r="BC31" s="8">
        <v>123791</v>
      </c>
      <c r="BD31" s="8">
        <v>138489</v>
      </c>
      <c r="BE31" s="8">
        <v>103855</v>
      </c>
      <c r="BF31" s="8">
        <v>98178</v>
      </c>
      <c r="BG31" s="8">
        <v>90915</v>
      </c>
      <c r="BH31" s="8">
        <v>85817</v>
      </c>
      <c r="BI31" s="8">
        <v>93644</v>
      </c>
      <c r="BJ31" s="8">
        <v>65873</v>
      </c>
      <c r="BK31" s="8">
        <v>60539</v>
      </c>
    </row>
    <row r="32" spans="1:63" x14ac:dyDescent="0.25">
      <c r="A32" s="22"/>
      <c r="B32" s="7" t="s">
        <v>27</v>
      </c>
      <c r="C32" s="13">
        <v>1243</v>
      </c>
      <c r="D32" s="13">
        <v>405</v>
      </c>
      <c r="E32" s="13">
        <v>341</v>
      </c>
      <c r="F32" s="13">
        <v>135</v>
      </c>
      <c r="G32" s="13">
        <v>140</v>
      </c>
      <c r="H32" s="13">
        <v>137</v>
      </c>
      <c r="I32" s="13">
        <v>151</v>
      </c>
      <c r="J32" s="13">
        <v>147</v>
      </c>
      <c r="K32" s="13">
        <v>150</v>
      </c>
      <c r="L32" s="13">
        <v>232</v>
      </c>
      <c r="M32" s="13">
        <v>252</v>
      </c>
      <c r="N32" s="13">
        <v>4932</v>
      </c>
      <c r="O32" s="13">
        <v>3051</v>
      </c>
      <c r="P32" s="13">
        <v>2663</v>
      </c>
      <c r="Q32" s="13">
        <v>2642</v>
      </c>
      <c r="R32" s="13"/>
      <c r="S32" s="13"/>
      <c r="T32" s="13"/>
      <c r="U32" s="13">
        <v>2536</v>
      </c>
      <c r="V32" s="13">
        <v>3192</v>
      </c>
      <c r="W32" s="13">
        <v>3137</v>
      </c>
      <c r="X32" s="13">
        <v>3345</v>
      </c>
      <c r="Y32" s="12">
        <v>2455</v>
      </c>
      <c r="Z32" s="12">
        <v>2836</v>
      </c>
      <c r="AA32" s="12">
        <v>2080</v>
      </c>
      <c r="AB32" s="12">
        <v>2439</v>
      </c>
      <c r="AC32" s="12">
        <v>2063</v>
      </c>
      <c r="AD32" s="12">
        <v>2613</v>
      </c>
      <c r="AE32" s="12">
        <v>4332</v>
      </c>
      <c r="AF32" s="12">
        <v>4815</v>
      </c>
      <c r="AG32" s="12">
        <v>5501</v>
      </c>
      <c r="AH32" s="12">
        <v>5315</v>
      </c>
      <c r="AI32" s="12">
        <v>10056</v>
      </c>
      <c r="AJ32" s="12">
        <v>15302</v>
      </c>
      <c r="AK32" s="12">
        <v>38427</v>
      </c>
      <c r="AL32" s="12">
        <v>38582</v>
      </c>
      <c r="AM32" s="12">
        <v>43969</v>
      </c>
      <c r="AN32" s="28">
        <v>44275</v>
      </c>
      <c r="AO32" s="28">
        <v>2749</v>
      </c>
      <c r="AP32" s="28">
        <v>2450</v>
      </c>
      <c r="AQ32" s="28">
        <v>2949</v>
      </c>
      <c r="AR32" s="28">
        <v>4739</v>
      </c>
      <c r="AS32" s="28">
        <v>2616</v>
      </c>
      <c r="AT32" s="28">
        <v>3413</v>
      </c>
      <c r="AU32" s="28">
        <v>3636</v>
      </c>
      <c r="AV32" s="28">
        <v>3221</v>
      </c>
      <c r="AW32" s="28">
        <v>3932</v>
      </c>
      <c r="AX32" s="28">
        <v>2888</v>
      </c>
      <c r="AY32" s="28">
        <v>3053</v>
      </c>
      <c r="AZ32" s="8">
        <v>2847</v>
      </c>
      <c r="BA32" s="8">
        <v>4477</v>
      </c>
      <c r="BB32" s="8">
        <v>3369</v>
      </c>
      <c r="BC32" s="8">
        <v>2244</v>
      </c>
      <c r="BD32" s="8">
        <v>2075</v>
      </c>
      <c r="BE32" s="8">
        <v>7271</v>
      </c>
      <c r="BF32" s="8">
        <v>11546</v>
      </c>
      <c r="BG32" s="8">
        <v>9810</v>
      </c>
      <c r="BH32" s="8">
        <v>10804</v>
      </c>
      <c r="BI32" s="8">
        <v>13525</v>
      </c>
      <c r="BJ32" s="8">
        <v>17530</v>
      </c>
      <c r="BK32" s="8">
        <v>16211</v>
      </c>
    </row>
    <row r="33" spans="1:63" x14ac:dyDescent="0.25">
      <c r="A33" s="22"/>
      <c r="B33" s="7" t="s">
        <v>61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2">
        <v>469</v>
      </c>
      <c r="AF33" s="12">
        <v>400</v>
      </c>
      <c r="AG33" s="12">
        <v>323</v>
      </c>
      <c r="AH33" s="13">
        <v>241</v>
      </c>
      <c r="AI33" s="13">
        <v>158</v>
      </c>
      <c r="AJ33" s="13">
        <v>0</v>
      </c>
      <c r="AK33" s="12">
        <v>739</v>
      </c>
      <c r="AL33" s="12">
        <v>909</v>
      </c>
      <c r="AM33" s="12">
        <v>1116</v>
      </c>
      <c r="AN33" s="28">
        <v>1492</v>
      </c>
      <c r="AO33" s="28">
        <v>1830</v>
      </c>
      <c r="AP33" s="28">
        <v>2294</v>
      </c>
      <c r="AQ33" s="28">
        <v>2377</v>
      </c>
      <c r="AR33" s="28">
        <v>2665</v>
      </c>
      <c r="AS33" s="28">
        <v>3115</v>
      </c>
      <c r="AT33" s="28">
        <v>3598</v>
      </c>
      <c r="AU33" s="28">
        <v>3743</v>
      </c>
      <c r="AV33" s="28">
        <v>4669</v>
      </c>
      <c r="AW33" s="28">
        <v>5622</v>
      </c>
      <c r="AX33" s="28">
        <v>7301</v>
      </c>
      <c r="AY33" s="28">
        <v>7763</v>
      </c>
      <c r="AZ33" s="8">
        <v>8329</v>
      </c>
      <c r="BA33" s="8">
        <v>8573</v>
      </c>
      <c r="BB33" s="8">
        <v>9882</v>
      </c>
      <c r="BC33" s="8">
        <v>10206</v>
      </c>
      <c r="BD33" s="8">
        <v>11089</v>
      </c>
      <c r="BE33" s="8">
        <v>11940</v>
      </c>
      <c r="BF33" s="8">
        <v>13668</v>
      </c>
      <c r="BG33" s="8">
        <v>13632</v>
      </c>
      <c r="BH33" s="8">
        <v>13677</v>
      </c>
      <c r="BI33" s="8">
        <v>13538</v>
      </c>
      <c r="BJ33" s="8">
        <v>13403</v>
      </c>
      <c r="BK33" s="8">
        <v>13519</v>
      </c>
    </row>
    <row r="34" spans="1:63" x14ac:dyDescent="0.25">
      <c r="A34" s="22"/>
      <c r="B34" s="7" t="s">
        <v>76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23178</v>
      </c>
      <c r="AJ34" s="13">
        <v>22437</v>
      </c>
      <c r="AK34" s="13">
        <v>0</v>
      </c>
      <c r="AL34" s="13">
        <v>0</v>
      </c>
      <c r="AM34" s="13">
        <v>0</v>
      </c>
      <c r="AN34" s="28">
        <v>0</v>
      </c>
      <c r="AO34" s="28">
        <v>0</v>
      </c>
      <c r="AP34" s="28">
        <v>0</v>
      </c>
      <c r="AQ34" s="28">
        <v>0</v>
      </c>
      <c r="AR34" s="28">
        <v>0</v>
      </c>
      <c r="AS34" s="28">
        <v>1972</v>
      </c>
      <c r="AT34" s="28">
        <v>2589</v>
      </c>
      <c r="AU34" s="28">
        <v>3712</v>
      </c>
      <c r="AV34" s="28">
        <v>3840</v>
      </c>
      <c r="AW34" s="28">
        <v>3656</v>
      </c>
      <c r="AX34" s="28">
        <v>3947</v>
      </c>
      <c r="AY34" s="28">
        <v>3442.1499999999996</v>
      </c>
      <c r="AZ34" s="8">
        <v>3009</v>
      </c>
      <c r="BA34" s="8">
        <v>1722</v>
      </c>
      <c r="BB34" s="8">
        <v>3296</v>
      </c>
      <c r="BC34" s="8">
        <v>3575</v>
      </c>
      <c r="BD34" s="8">
        <v>3606</v>
      </c>
      <c r="BE34" s="8">
        <v>2138</v>
      </c>
      <c r="BF34" s="8">
        <v>2133</v>
      </c>
      <c r="BG34" s="8">
        <v>1945</v>
      </c>
      <c r="BH34" s="8">
        <v>2057</v>
      </c>
      <c r="BI34" s="8">
        <v>2038</v>
      </c>
      <c r="BJ34" s="8">
        <v>2121</v>
      </c>
      <c r="BK34" s="8">
        <v>2374</v>
      </c>
    </row>
    <row r="35" spans="1:63" x14ac:dyDescent="0.25">
      <c r="A35" s="22"/>
      <c r="B35" s="7" t="s">
        <v>366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/>
      <c r="Q35" s="13">
        <v>0</v>
      </c>
      <c r="R35" s="13"/>
      <c r="S35" s="13"/>
      <c r="T35" s="13"/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28">
        <v>0</v>
      </c>
      <c r="AO35" s="28">
        <v>0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8"/>
      <c r="BA35" s="8"/>
      <c r="BB35" s="8"/>
      <c r="BJ35" s="8">
        <v>83449</v>
      </c>
      <c r="BK35" s="8">
        <v>92057</v>
      </c>
    </row>
    <row r="36" spans="1:63" x14ac:dyDescent="0.25">
      <c r="A36" s="22"/>
      <c r="B36" s="7" t="s">
        <v>48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100263</v>
      </c>
      <c r="O36" s="13">
        <v>101882</v>
      </c>
      <c r="P36" s="13">
        <v>101801</v>
      </c>
      <c r="Q36" s="13">
        <v>0</v>
      </c>
      <c r="R36" s="13"/>
      <c r="S36" s="13"/>
      <c r="T36" s="13"/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8">
        <v>139016</v>
      </c>
      <c r="BA36" s="8">
        <v>123891</v>
      </c>
      <c r="BB36" s="8">
        <v>127262</v>
      </c>
      <c r="BC36" s="8">
        <v>235943</v>
      </c>
      <c r="BD36" s="8">
        <v>191320</v>
      </c>
      <c r="BE36" s="8">
        <v>128423</v>
      </c>
      <c r="BF36" s="8">
        <v>128417</v>
      </c>
      <c r="BG36" s="8">
        <v>134297</v>
      </c>
      <c r="BH36" s="8">
        <v>134313</v>
      </c>
      <c r="BI36" s="8">
        <v>180780</v>
      </c>
      <c r="BJ36" s="8">
        <v>176455</v>
      </c>
      <c r="BK36" s="8">
        <v>186611</v>
      </c>
    </row>
    <row r="37" spans="1:63" x14ac:dyDescent="0.25">
      <c r="B37" s="7"/>
      <c r="C37" s="14">
        <f t="shared" ref="C37:AK37" si="7">SUM(C28:C36)</f>
        <v>25780</v>
      </c>
      <c r="D37" s="14">
        <f t="shared" si="7"/>
        <v>15075</v>
      </c>
      <c r="E37" s="14">
        <f t="shared" si="7"/>
        <v>20053</v>
      </c>
      <c r="F37" s="14">
        <f t="shared" si="7"/>
        <v>15453</v>
      </c>
      <c r="G37" s="14">
        <f t="shared" si="7"/>
        <v>21513</v>
      </c>
      <c r="H37" s="14">
        <f t="shared" si="7"/>
        <v>25735</v>
      </c>
      <c r="I37" s="14">
        <f t="shared" si="7"/>
        <v>26629</v>
      </c>
      <c r="J37" s="14">
        <f t="shared" si="7"/>
        <v>29166</v>
      </c>
      <c r="K37" s="14">
        <f t="shared" si="7"/>
        <v>31834</v>
      </c>
      <c r="L37" s="14">
        <f t="shared" si="7"/>
        <v>39923</v>
      </c>
      <c r="M37" s="14">
        <f t="shared" si="7"/>
        <v>39594</v>
      </c>
      <c r="N37" s="14">
        <f t="shared" si="7"/>
        <v>144923</v>
      </c>
      <c r="O37" s="14">
        <f t="shared" si="7"/>
        <v>155934</v>
      </c>
      <c r="P37" s="14">
        <f t="shared" si="7"/>
        <v>156365</v>
      </c>
      <c r="Q37" s="14">
        <f t="shared" si="7"/>
        <v>57923</v>
      </c>
      <c r="R37" s="14">
        <f t="shared" si="7"/>
        <v>0</v>
      </c>
      <c r="S37" s="14">
        <f t="shared" si="7"/>
        <v>0</v>
      </c>
      <c r="T37" s="14">
        <f t="shared" si="7"/>
        <v>0</v>
      </c>
      <c r="U37" s="14">
        <f t="shared" si="7"/>
        <v>62743</v>
      </c>
      <c r="V37" s="14">
        <f t="shared" si="7"/>
        <v>63373</v>
      </c>
      <c r="W37" s="14">
        <f t="shared" si="7"/>
        <v>68778</v>
      </c>
      <c r="X37" s="14">
        <f t="shared" si="7"/>
        <v>67865</v>
      </c>
      <c r="Y37" s="14">
        <f t="shared" si="7"/>
        <v>74140</v>
      </c>
      <c r="Z37" s="14">
        <f t="shared" si="7"/>
        <v>77735</v>
      </c>
      <c r="AA37" s="14">
        <f t="shared" si="7"/>
        <v>84329</v>
      </c>
      <c r="AB37" s="14">
        <f t="shared" si="7"/>
        <v>94361</v>
      </c>
      <c r="AC37" s="14">
        <f t="shared" si="7"/>
        <v>99932</v>
      </c>
      <c r="AD37" s="14">
        <f t="shared" si="7"/>
        <v>105327</v>
      </c>
      <c r="AE37" s="14">
        <f t="shared" si="7"/>
        <v>121194</v>
      </c>
      <c r="AF37" s="14">
        <f t="shared" si="7"/>
        <v>129326</v>
      </c>
      <c r="AG37" s="14">
        <f t="shared" si="7"/>
        <v>143693</v>
      </c>
      <c r="AH37" s="14">
        <f t="shared" si="7"/>
        <v>157578</v>
      </c>
      <c r="AI37" s="14">
        <f t="shared" si="7"/>
        <v>191664</v>
      </c>
      <c r="AJ37" s="14">
        <f t="shared" si="7"/>
        <v>193105</v>
      </c>
      <c r="AK37" s="14">
        <f t="shared" si="7"/>
        <v>179337</v>
      </c>
      <c r="AL37" s="14">
        <f t="shared" ref="AL37:AQ37" si="8">SUM(AL28:AL36)</f>
        <v>175337</v>
      </c>
      <c r="AM37" s="14">
        <f t="shared" si="8"/>
        <v>189244</v>
      </c>
      <c r="AN37" s="14">
        <f t="shared" si="8"/>
        <v>189279</v>
      </c>
      <c r="AO37" s="14">
        <f t="shared" si="8"/>
        <v>148614</v>
      </c>
      <c r="AP37" s="14">
        <f t="shared" si="8"/>
        <v>148645</v>
      </c>
      <c r="AQ37" s="14">
        <f t="shared" si="8"/>
        <v>149310</v>
      </c>
      <c r="AR37" s="14">
        <f t="shared" ref="AR37:AZ37" si="9">SUM(AR28:AR36)</f>
        <v>160093</v>
      </c>
      <c r="AS37" s="14">
        <f t="shared" si="9"/>
        <v>165685</v>
      </c>
      <c r="AT37" s="14">
        <f t="shared" si="9"/>
        <v>178943</v>
      </c>
      <c r="AU37" s="14">
        <f t="shared" si="9"/>
        <v>188985</v>
      </c>
      <c r="AV37" s="14">
        <f t="shared" si="9"/>
        <v>179495</v>
      </c>
      <c r="AW37" s="14">
        <f t="shared" si="9"/>
        <v>184387</v>
      </c>
      <c r="AX37" s="14">
        <f t="shared" si="9"/>
        <v>187134</v>
      </c>
      <c r="AY37" s="14">
        <f t="shared" si="9"/>
        <v>223318.15</v>
      </c>
      <c r="AZ37" s="14">
        <f t="shared" si="9"/>
        <v>363958</v>
      </c>
      <c r="BA37" s="14">
        <v>382627</v>
      </c>
      <c r="BB37" s="14">
        <v>372483</v>
      </c>
      <c r="BC37" s="14">
        <v>468526</v>
      </c>
      <c r="BD37" s="14">
        <v>446696</v>
      </c>
      <c r="BE37" s="14">
        <v>360702</v>
      </c>
      <c r="BF37" s="14">
        <v>366177</v>
      </c>
      <c r="BG37" s="14">
        <v>364953</v>
      </c>
      <c r="BH37" s="14">
        <v>339116</v>
      </c>
      <c r="BI37" s="14">
        <v>395183</v>
      </c>
      <c r="BJ37" s="14">
        <v>451446</v>
      </c>
      <c r="BK37" s="14">
        <f>SUM(BK28:BK36)</f>
        <v>457481</v>
      </c>
    </row>
    <row r="38" spans="1:63" x14ac:dyDescent="0.25">
      <c r="A38" s="22"/>
      <c r="B38" s="7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7"/>
      <c r="S38" s="7"/>
      <c r="T38" s="7"/>
      <c r="U38" s="10"/>
      <c r="V38" s="10"/>
      <c r="W38" s="10"/>
      <c r="X38" s="10"/>
      <c r="Y38" s="10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Z38" s="8"/>
      <c r="BA38" s="8"/>
      <c r="BB38" s="8"/>
    </row>
    <row r="39" spans="1:63" x14ac:dyDescent="0.25">
      <c r="A39" s="22"/>
      <c r="B39" s="7" t="s">
        <v>4</v>
      </c>
      <c r="C39" s="13">
        <v>0</v>
      </c>
      <c r="D39" s="13">
        <v>148655</v>
      </c>
      <c r="E39" s="13">
        <v>1734</v>
      </c>
      <c r="F39" s="13">
        <v>2282</v>
      </c>
      <c r="G39" s="13">
        <v>3000</v>
      </c>
      <c r="H39" s="13">
        <v>2945</v>
      </c>
      <c r="I39" s="13">
        <v>3757</v>
      </c>
      <c r="J39" s="13">
        <v>3429</v>
      </c>
      <c r="K39" s="13">
        <v>3401</v>
      </c>
      <c r="L39" s="13">
        <v>3764</v>
      </c>
      <c r="M39" s="13">
        <v>4756</v>
      </c>
      <c r="N39" s="13">
        <v>24199</v>
      </c>
      <c r="O39" s="13">
        <v>23747</v>
      </c>
      <c r="P39" s="13">
        <v>23929</v>
      </c>
      <c r="Q39" s="13">
        <v>26207</v>
      </c>
      <c r="R39" s="13"/>
      <c r="S39" s="13"/>
      <c r="T39" s="13"/>
      <c r="U39" s="13">
        <v>24048</v>
      </c>
      <c r="V39" s="13">
        <v>25381</v>
      </c>
      <c r="W39" s="13">
        <v>22406</v>
      </c>
      <c r="X39" s="13">
        <v>16289</v>
      </c>
      <c r="Y39" s="13">
        <v>22502</v>
      </c>
      <c r="Z39" s="13">
        <v>21683</v>
      </c>
      <c r="AA39" s="13">
        <v>22414</v>
      </c>
      <c r="AB39" s="13">
        <v>21672</v>
      </c>
      <c r="AC39" s="13">
        <v>26284</v>
      </c>
      <c r="AD39" s="12">
        <v>26102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2">
        <v>5807</v>
      </c>
      <c r="AK39" s="12">
        <v>39006</v>
      </c>
      <c r="AL39" s="12">
        <v>38776</v>
      </c>
      <c r="AM39" s="12">
        <v>41721</v>
      </c>
      <c r="AN39" s="28">
        <v>42321</v>
      </c>
      <c r="AO39" s="28">
        <v>42809</v>
      </c>
      <c r="AP39" s="28">
        <v>42015</v>
      </c>
      <c r="AQ39" s="28">
        <v>39898</v>
      </c>
      <c r="AR39" s="28">
        <v>41772</v>
      </c>
      <c r="AS39" s="28">
        <v>44595</v>
      </c>
      <c r="AT39" s="28">
        <v>56223</v>
      </c>
      <c r="AU39" s="28">
        <v>59188</v>
      </c>
      <c r="AV39" s="28">
        <v>63748</v>
      </c>
      <c r="AW39" s="28">
        <v>62871</v>
      </c>
      <c r="AX39" s="28">
        <v>66112</v>
      </c>
      <c r="AY39" s="28">
        <v>58077</v>
      </c>
      <c r="AZ39" s="8">
        <v>61065</v>
      </c>
      <c r="BA39" s="8">
        <v>62369</v>
      </c>
      <c r="BB39" s="8">
        <v>53671</v>
      </c>
      <c r="BC39" s="8">
        <v>53299</v>
      </c>
      <c r="BD39" s="8">
        <v>51162</v>
      </c>
      <c r="BE39" s="8">
        <v>62122</v>
      </c>
      <c r="BF39" s="8">
        <v>55617</v>
      </c>
      <c r="BG39" s="8">
        <v>52401</v>
      </c>
      <c r="BH39" s="8">
        <v>53318</v>
      </c>
      <c r="BI39" s="8">
        <v>18886</v>
      </c>
      <c r="BJ39" s="8">
        <v>2430</v>
      </c>
      <c r="BK39" s="8">
        <v>2478</v>
      </c>
    </row>
    <row r="40" spans="1:63" x14ac:dyDescent="0.25">
      <c r="A40" s="22"/>
      <c r="B40" s="7" t="s">
        <v>29</v>
      </c>
      <c r="C40" s="13">
        <v>243162</v>
      </c>
      <c r="D40" s="13">
        <v>241574</v>
      </c>
      <c r="E40" s="13">
        <v>233520</v>
      </c>
      <c r="F40" s="13">
        <v>232029</v>
      </c>
      <c r="G40" s="13">
        <v>231396</v>
      </c>
      <c r="H40" s="13">
        <v>230707</v>
      </c>
      <c r="I40" s="13">
        <v>239147</v>
      </c>
      <c r="J40" s="13">
        <v>246750</v>
      </c>
      <c r="K40" s="13">
        <v>252389</v>
      </c>
      <c r="L40" s="13">
        <v>254937</v>
      </c>
      <c r="M40" s="13">
        <v>248641</v>
      </c>
      <c r="N40" s="13">
        <v>335576</v>
      </c>
      <c r="O40" s="13">
        <v>334385</v>
      </c>
      <c r="P40" s="13">
        <v>338148</v>
      </c>
      <c r="Q40" s="13">
        <v>334394</v>
      </c>
      <c r="R40" s="13"/>
      <c r="S40" s="13"/>
      <c r="T40" s="13"/>
      <c r="U40" s="13">
        <v>337013</v>
      </c>
      <c r="V40" s="13">
        <v>360199</v>
      </c>
      <c r="W40" s="13">
        <v>364955</v>
      </c>
      <c r="X40" s="13">
        <v>384261</v>
      </c>
      <c r="Y40" s="13">
        <v>367129</v>
      </c>
      <c r="Z40" s="13">
        <v>403006</v>
      </c>
      <c r="AA40" s="13">
        <v>401541</v>
      </c>
      <c r="AB40" s="13">
        <v>435281</v>
      </c>
      <c r="AC40" s="13">
        <v>428564</v>
      </c>
      <c r="AD40" s="12">
        <v>418557</v>
      </c>
      <c r="AE40" s="12">
        <v>407916</v>
      </c>
      <c r="AF40" s="12">
        <v>411067</v>
      </c>
      <c r="AG40" s="12">
        <v>400460</v>
      </c>
      <c r="AH40" s="12">
        <v>384002</v>
      </c>
      <c r="AI40" s="12">
        <v>379637</v>
      </c>
      <c r="AJ40" s="12">
        <v>360759</v>
      </c>
      <c r="AK40" s="12">
        <v>364250</v>
      </c>
      <c r="AL40" s="12">
        <v>357408</v>
      </c>
      <c r="AM40" s="12">
        <v>367120</v>
      </c>
      <c r="AN40" s="28">
        <v>367778</v>
      </c>
      <c r="AO40" s="28">
        <v>365507</v>
      </c>
      <c r="AP40" s="28">
        <v>473382</v>
      </c>
      <c r="AQ40" s="28">
        <v>470828</v>
      </c>
      <c r="AR40" s="28">
        <v>488935</v>
      </c>
      <c r="AS40" s="28">
        <v>453837</v>
      </c>
      <c r="AT40" s="28">
        <v>503042</v>
      </c>
      <c r="AU40" s="28">
        <v>507731</v>
      </c>
      <c r="AV40" s="28">
        <v>485768</v>
      </c>
      <c r="AW40" s="28">
        <v>446945</v>
      </c>
      <c r="AX40" s="28">
        <v>462539</v>
      </c>
      <c r="AY40" s="28">
        <v>405483</v>
      </c>
      <c r="AZ40" s="8">
        <v>424994</v>
      </c>
      <c r="BA40" s="8">
        <v>431254</v>
      </c>
      <c r="BB40" s="8">
        <v>402841</v>
      </c>
      <c r="BC40" s="8">
        <v>265581</v>
      </c>
      <c r="BD40" s="8">
        <v>265828</v>
      </c>
      <c r="BE40" s="8">
        <v>262562</v>
      </c>
      <c r="BF40" s="8">
        <v>255152</v>
      </c>
      <c r="BG40" s="8">
        <v>246196</v>
      </c>
      <c r="BH40" s="8">
        <v>243602</v>
      </c>
      <c r="BI40" s="8">
        <v>207775</v>
      </c>
      <c r="BJ40" s="8">
        <v>204714</v>
      </c>
      <c r="BK40" s="8">
        <v>201744</v>
      </c>
    </row>
    <row r="41" spans="1:63" x14ac:dyDescent="0.25">
      <c r="A41" s="22"/>
      <c r="B41" s="7" t="s">
        <v>30</v>
      </c>
      <c r="C41" s="13">
        <v>157487</v>
      </c>
      <c r="D41" s="13">
        <v>8292</v>
      </c>
      <c r="E41" s="13">
        <v>170537</v>
      </c>
      <c r="F41" s="13">
        <v>169953</v>
      </c>
      <c r="G41" s="13">
        <v>169161</v>
      </c>
      <c r="H41" s="13">
        <v>168425</v>
      </c>
      <c r="I41" s="13">
        <v>169535</v>
      </c>
      <c r="J41" s="13">
        <v>168963</v>
      </c>
      <c r="K41" s="13">
        <v>169786</v>
      </c>
      <c r="L41" s="13">
        <v>170335</v>
      </c>
      <c r="M41" s="13">
        <v>171150</v>
      </c>
      <c r="N41" s="13">
        <v>172034</v>
      </c>
      <c r="O41" s="13">
        <v>170953</v>
      </c>
      <c r="P41" s="13">
        <v>176640</v>
      </c>
      <c r="Q41" s="13">
        <v>191919</v>
      </c>
      <c r="R41" s="13"/>
      <c r="S41" s="13"/>
      <c r="T41" s="13"/>
      <c r="U41" s="13">
        <v>195150</v>
      </c>
      <c r="V41" s="13">
        <v>192860</v>
      </c>
      <c r="W41" s="13">
        <v>193060</v>
      </c>
      <c r="X41" s="13">
        <v>195968</v>
      </c>
      <c r="Y41" s="13">
        <v>217709</v>
      </c>
      <c r="Z41" s="13">
        <v>235712</v>
      </c>
      <c r="AA41" s="13">
        <v>358468.8052</v>
      </c>
      <c r="AB41" s="13">
        <v>428093</v>
      </c>
      <c r="AC41" s="13">
        <v>729499</v>
      </c>
      <c r="AD41" s="12">
        <v>676308</v>
      </c>
      <c r="AE41" s="12">
        <v>619637</v>
      </c>
      <c r="AF41" s="12">
        <v>626021</v>
      </c>
      <c r="AG41" s="12">
        <v>627978</v>
      </c>
      <c r="AH41" s="12">
        <v>609247</v>
      </c>
      <c r="AI41" s="12">
        <v>626341</v>
      </c>
      <c r="AJ41" s="12">
        <v>631464</v>
      </c>
      <c r="AK41" s="12">
        <v>617654</v>
      </c>
      <c r="AL41" s="12">
        <v>615815</v>
      </c>
      <c r="AM41" s="12">
        <v>682744</v>
      </c>
      <c r="AN41" s="28">
        <v>701893</v>
      </c>
      <c r="AO41" s="28">
        <v>727924</v>
      </c>
      <c r="AP41" s="28">
        <v>723953</v>
      </c>
      <c r="AQ41" s="28">
        <v>715095</v>
      </c>
      <c r="AR41" s="28">
        <v>758969</v>
      </c>
      <c r="AS41" s="28">
        <v>772189</v>
      </c>
      <c r="AT41" s="28">
        <v>914839</v>
      </c>
      <c r="AU41" s="28">
        <v>868109</v>
      </c>
      <c r="AV41" s="28">
        <v>911361</v>
      </c>
      <c r="AW41" s="28">
        <v>870110</v>
      </c>
      <c r="AX41" s="28">
        <v>935162</v>
      </c>
      <c r="AY41" s="28">
        <v>848831.85</v>
      </c>
      <c r="AZ41" s="8">
        <v>891261</v>
      </c>
      <c r="BA41" s="8">
        <v>894848</v>
      </c>
      <c r="BB41" s="8">
        <v>787752</v>
      </c>
      <c r="BC41" s="8">
        <v>778744</v>
      </c>
      <c r="BD41" s="8">
        <v>717579</v>
      </c>
      <c r="BE41" s="8">
        <v>666246</v>
      </c>
      <c r="BF41" s="8">
        <v>647489</v>
      </c>
      <c r="BG41" s="8">
        <v>694069</v>
      </c>
      <c r="BH41" s="8">
        <v>695279</v>
      </c>
      <c r="BI41" s="8">
        <v>656347</v>
      </c>
      <c r="BJ41" s="8">
        <v>618672</v>
      </c>
      <c r="BK41" s="8">
        <v>652806</v>
      </c>
    </row>
    <row r="42" spans="1:63" s="14" customFormat="1" x14ac:dyDescent="0.25">
      <c r="C42" s="14">
        <f>SUM(C39:C41)</f>
        <v>400649</v>
      </c>
      <c r="D42" s="14">
        <f>SUM(D39:D41)</f>
        <v>398521</v>
      </c>
      <c r="E42" s="14">
        <f>SUM(E39:E41)</f>
        <v>405791</v>
      </c>
      <c r="F42" s="14">
        <f>SUM(F39:F41)</f>
        <v>404264</v>
      </c>
      <c r="G42" s="14">
        <f t="shared" ref="G42:P42" si="10">SUM(G39:G41)</f>
        <v>403557</v>
      </c>
      <c r="H42" s="14">
        <f t="shared" si="10"/>
        <v>402077</v>
      </c>
      <c r="I42" s="14">
        <f t="shared" si="10"/>
        <v>412439</v>
      </c>
      <c r="J42" s="14">
        <f t="shared" si="10"/>
        <v>419142</v>
      </c>
      <c r="K42" s="14">
        <f t="shared" si="10"/>
        <v>425576</v>
      </c>
      <c r="L42" s="14">
        <f t="shared" si="10"/>
        <v>429036</v>
      </c>
      <c r="M42" s="14">
        <f>SUM(M39:M41)</f>
        <v>424547</v>
      </c>
      <c r="N42" s="14">
        <f t="shared" si="10"/>
        <v>531809</v>
      </c>
      <c r="O42" s="14">
        <f t="shared" si="10"/>
        <v>529085</v>
      </c>
      <c r="P42" s="14">
        <f t="shared" si="10"/>
        <v>538717</v>
      </c>
      <c r="Q42" s="14">
        <f>SUM(Q39:Q41)</f>
        <v>552520</v>
      </c>
      <c r="U42" s="14">
        <f t="shared" ref="U42:Z42" si="11">SUM(U39:U41)</f>
        <v>556211</v>
      </c>
      <c r="V42" s="14">
        <f t="shared" si="11"/>
        <v>578440</v>
      </c>
      <c r="W42" s="14">
        <f t="shared" si="11"/>
        <v>580421</v>
      </c>
      <c r="X42" s="14">
        <f t="shared" si="11"/>
        <v>596518</v>
      </c>
      <c r="Y42" s="14">
        <f t="shared" si="11"/>
        <v>607340</v>
      </c>
      <c r="Z42" s="14">
        <f t="shared" si="11"/>
        <v>660401</v>
      </c>
      <c r="AA42" s="14">
        <f t="shared" ref="AA42:AH42" si="12">SUM(AA39:AA41)</f>
        <v>782423.80520000006</v>
      </c>
      <c r="AB42" s="14">
        <f t="shared" si="12"/>
        <v>885046</v>
      </c>
      <c r="AC42" s="14">
        <f t="shared" si="12"/>
        <v>1184347</v>
      </c>
      <c r="AD42" s="14">
        <f t="shared" si="12"/>
        <v>1120967</v>
      </c>
      <c r="AE42" s="14">
        <f t="shared" si="12"/>
        <v>1027553</v>
      </c>
      <c r="AF42" s="14">
        <f t="shared" si="12"/>
        <v>1037088</v>
      </c>
      <c r="AG42" s="14">
        <f t="shared" si="12"/>
        <v>1028438</v>
      </c>
      <c r="AH42" s="14">
        <f t="shared" si="12"/>
        <v>993249</v>
      </c>
      <c r="AI42" s="14">
        <f t="shared" ref="AI42:AP42" si="13">SUM(AI39:AI41)</f>
        <v>1005978</v>
      </c>
      <c r="AJ42" s="14">
        <f t="shared" si="13"/>
        <v>998030</v>
      </c>
      <c r="AK42" s="14">
        <f t="shared" si="13"/>
        <v>1020910</v>
      </c>
      <c r="AL42" s="14">
        <f t="shared" si="13"/>
        <v>1011999</v>
      </c>
      <c r="AM42" s="14">
        <f t="shared" si="13"/>
        <v>1091585</v>
      </c>
      <c r="AN42" s="14">
        <f t="shared" si="13"/>
        <v>1111992</v>
      </c>
      <c r="AO42" s="14">
        <f t="shared" si="13"/>
        <v>1136240</v>
      </c>
      <c r="AP42" s="14">
        <f t="shared" si="13"/>
        <v>1239350</v>
      </c>
      <c r="AQ42" s="14">
        <f t="shared" ref="AQ42:AV42" si="14">SUM(AQ39:AQ41)</f>
        <v>1225821</v>
      </c>
      <c r="AR42" s="14">
        <f t="shared" si="14"/>
        <v>1289676</v>
      </c>
      <c r="AS42" s="14">
        <f t="shared" si="14"/>
        <v>1270621</v>
      </c>
      <c r="AT42" s="14">
        <f t="shared" si="14"/>
        <v>1474104</v>
      </c>
      <c r="AU42" s="14">
        <f t="shared" si="14"/>
        <v>1435028</v>
      </c>
      <c r="AV42" s="14">
        <f t="shared" si="14"/>
        <v>1460877</v>
      </c>
      <c r="AW42" s="14">
        <f t="shared" ref="AW42:AZ42" si="15">SUM(AW39:AW41)</f>
        <v>1379926</v>
      </c>
      <c r="AX42" s="14">
        <f t="shared" si="15"/>
        <v>1463813</v>
      </c>
      <c r="AY42" s="14">
        <f t="shared" si="15"/>
        <v>1312391.8500000001</v>
      </c>
      <c r="AZ42" s="14">
        <f t="shared" si="15"/>
        <v>1377320</v>
      </c>
      <c r="BA42" s="14">
        <v>1388471</v>
      </c>
      <c r="BB42" s="14">
        <v>1244264</v>
      </c>
      <c r="BC42" s="14">
        <v>1097624</v>
      </c>
      <c r="BD42" s="14">
        <v>1034569</v>
      </c>
      <c r="BE42" s="14">
        <v>990930</v>
      </c>
      <c r="BF42" s="14">
        <v>958258</v>
      </c>
      <c r="BG42" s="14">
        <v>992666</v>
      </c>
      <c r="BH42" s="14">
        <v>992199</v>
      </c>
      <c r="BI42" s="14">
        <v>883008</v>
      </c>
      <c r="BJ42" s="14">
        <v>825816</v>
      </c>
      <c r="BK42" s="14">
        <f>SUM(BK39:BK41)</f>
        <v>857028</v>
      </c>
    </row>
    <row r="43" spans="1:63" x14ac:dyDescent="0.25">
      <c r="A43" s="22"/>
      <c r="B43" s="7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7"/>
      <c r="S43" s="7"/>
      <c r="T43" s="7"/>
      <c r="U43" s="12"/>
      <c r="V43" s="12"/>
      <c r="W43" s="12"/>
      <c r="X43" s="12"/>
      <c r="Y43" s="12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Z43" s="8"/>
      <c r="BA43" s="8"/>
      <c r="BB43" s="8"/>
    </row>
    <row r="44" spans="1:63" ht="18" customHeight="1" x14ac:dyDescent="0.25">
      <c r="A44" s="22"/>
      <c r="B44" s="15" t="s">
        <v>5</v>
      </c>
      <c r="C44" s="16">
        <f t="shared" ref="C44:AK44" si="16">C42+C37+C22+C25</f>
        <v>745543</v>
      </c>
      <c r="D44" s="16">
        <f t="shared" si="16"/>
        <v>735997</v>
      </c>
      <c r="E44" s="16">
        <f t="shared" si="16"/>
        <v>771491</v>
      </c>
      <c r="F44" s="16">
        <f t="shared" si="16"/>
        <v>801104</v>
      </c>
      <c r="G44" s="16">
        <f t="shared" si="16"/>
        <v>825937</v>
      </c>
      <c r="H44" s="16">
        <f t="shared" si="16"/>
        <v>807020</v>
      </c>
      <c r="I44" s="16">
        <f t="shared" si="16"/>
        <v>832998</v>
      </c>
      <c r="J44" s="16">
        <f t="shared" si="16"/>
        <v>915601</v>
      </c>
      <c r="K44" s="16">
        <f t="shared" si="16"/>
        <v>937133</v>
      </c>
      <c r="L44" s="16">
        <f t="shared" si="16"/>
        <v>883708</v>
      </c>
      <c r="M44" s="16">
        <f t="shared" si="16"/>
        <v>883966</v>
      </c>
      <c r="N44" s="16">
        <f t="shared" si="16"/>
        <v>1095868</v>
      </c>
      <c r="O44" s="16">
        <f t="shared" si="16"/>
        <v>1123303</v>
      </c>
      <c r="P44" s="16">
        <f t="shared" si="16"/>
        <v>1225029</v>
      </c>
      <c r="Q44" s="16">
        <f t="shared" si="16"/>
        <v>1263552</v>
      </c>
      <c r="R44" s="16">
        <f t="shared" si="16"/>
        <v>0</v>
      </c>
      <c r="S44" s="16">
        <f t="shared" si="16"/>
        <v>0</v>
      </c>
      <c r="T44" s="16">
        <f t="shared" si="16"/>
        <v>0</v>
      </c>
      <c r="U44" s="16">
        <f t="shared" si="16"/>
        <v>1172956</v>
      </c>
      <c r="V44" s="16">
        <f t="shared" si="16"/>
        <v>1193613</v>
      </c>
      <c r="W44" s="16">
        <f t="shared" si="16"/>
        <v>1213631</v>
      </c>
      <c r="X44" s="16">
        <f t="shared" si="16"/>
        <v>1284565</v>
      </c>
      <c r="Y44" s="16">
        <f t="shared" si="16"/>
        <v>1296214</v>
      </c>
      <c r="Z44" s="16">
        <f t="shared" si="16"/>
        <v>1432230</v>
      </c>
      <c r="AA44" s="16">
        <f t="shared" si="16"/>
        <v>1584048.8052000001</v>
      </c>
      <c r="AB44" s="16">
        <f t="shared" si="16"/>
        <v>2190423</v>
      </c>
      <c r="AC44" s="16">
        <f t="shared" si="16"/>
        <v>2156239</v>
      </c>
      <c r="AD44" s="16">
        <f t="shared" si="16"/>
        <v>2053616</v>
      </c>
      <c r="AE44" s="16">
        <f t="shared" si="16"/>
        <v>1878155</v>
      </c>
      <c r="AF44" s="16">
        <f t="shared" si="16"/>
        <v>2161365</v>
      </c>
      <c r="AG44" s="16">
        <f t="shared" si="16"/>
        <v>2074697</v>
      </c>
      <c r="AH44" s="16">
        <f t="shared" si="16"/>
        <v>2018552</v>
      </c>
      <c r="AI44" s="16">
        <f t="shared" si="16"/>
        <v>2091920</v>
      </c>
      <c r="AJ44" s="16">
        <f t="shared" si="16"/>
        <v>2075912</v>
      </c>
      <c r="AK44" s="16">
        <f t="shared" si="16"/>
        <v>2059765</v>
      </c>
      <c r="AL44" s="16">
        <f t="shared" ref="AL44:AQ44" si="17">AL42+AL37+AL22+AL25</f>
        <v>2053485</v>
      </c>
      <c r="AM44" s="16">
        <f t="shared" si="17"/>
        <v>2422281</v>
      </c>
      <c r="AN44" s="16">
        <f t="shared" si="17"/>
        <v>2301208</v>
      </c>
      <c r="AO44" s="16">
        <f t="shared" si="17"/>
        <v>2247239</v>
      </c>
      <c r="AP44" s="16">
        <f t="shared" si="17"/>
        <v>2368989</v>
      </c>
      <c r="AQ44" s="16">
        <f t="shared" si="17"/>
        <v>2425497</v>
      </c>
      <c r="AR44" s="16">
        <f t="shared" ref="AR44:AX44" si="18">AR42+AR37+AR22+AR25</f>
        <v>2610684</v>
      </c>
      <c r="AS44" s="16">
        <f t="shared" si="18"/>
        <v>2518442</v>
      </c>
      <c r="AT44" s="16">
        <f t="shared" si="18"/>
        <v>2834472</v>
      </c>
      <c r="AU44" s="16">
        <f t="shared" si="18"/>
        <v>3021778</v>
      </c>
      <c r="AV44" s="16">
        <f t="shared" si="18"/>
        <v>3096698</v>
      </c>
      <c r="AW44" s="16">
        <f t="shared" si="18"/>
        <v>2869132</v>
      </c>
      <c r="AX44" s="16">
        <f t="shared" si="18"/>
        <v>3168877</v>
      </c>
      <c r="AY44" s="16">
        <f t="shared" ref="AY44:AZ44" si="19">AY42+AY37+AY22+AY25</f>
        <v>2895945</v>
      </c>
      <c r="AZ44" s="16">
        <f t="shared" si="19"/>
        <v>3048767</v>
      </c>
      <c r="BA44" s="16">
        <v>3097783</v>
      </c>
      <c r="BB44" s="16">
        <v>2959343</v>
      </c>
      <c r="BC44" s="16">
        <v>2984995</v>
      </c>
      <c r="BD44" s="16">
        <v>3111942</v>
      </c>
      <c r="BE44" s="16">
        <v>2663351</v>
      </c>
      <c r="BF44" s="16">
        <v>2718049</v>
      </c>
      <c r="BG44" s="16">
        <v>2611023</v>
      </c>
      <c r="BH44" s="16">
        <v>2679664</v>
      </c>
      <c r="BI44" s="16">
        <v>2545626</v>
      </c>
      <c r="BJ44" s="16">
        <v>2733303</v>
      </c>
      <c r="BK44" s="16">
        <f>SUM(BK42,BK37,BK22,BK25)</f>
        <v>2733819</v>
      </c>
    </row>
    <row r="45" spans="1:63" x14ac:dyDescent="0.25">
      <c r="A45" s="22"/>
      <c r="AZ45" s="8"/>
      <c r="BA45" s="8"/>
      <c r="BB45" s="8"/>
    </row>
    <row r="46" spans="1:63" x14ac:dyDescent="0.25">
      <c r="A46" s="22"/>
      <c r="AZ46" s="8"/>
      <c r="BA46" s="8"/>
      <c r="BB46" s="8"/>
    </row>
    <row r="47" spans="1:63" ht="20.25" customHeight="1" x14ac:dyDescent="0.25">
      <c r="A47" s="22"/>
      <c r="B47" s="25" t="s">
        <v>54</v>
      </c>
      <c r="C47" s="26" t="s">
        <v>22</v>
      </c>
      <c r="D47" s="26" t="s">
        <v>21</v>
      </c>
      <c r="E47" s="26" t="s">
        <v>20</v>
      </c>
      <c r="F47" s="26" t="s">
        <v>17</v>
      </c>
      <c r="G47" s="26" t="s">
        <v>19</v>
      </c>
      <c r="H47" s="26" t="s">
        <v>18</v>
      </c>
      <c r="I47" s="26" t="s">
        <v>16</v>
      </c>
      <c r="J47" s="26" t="s">
        <v>15</v>
      </c>
      <c r="K47" s="26" t="s">
        <v>14</v>
      </c>
      <c r="L47" s="26" t="s">
        <v>12</v>
      </c>
      <c r="M47" s="26" t="s">
        <v>10</v>
      </c>
      <c r="N47" s="26" t="s">
        <v>9</v>
      </c>
      <c r="O47" s="26" t="s">
        <v>13</v>
      </c>
      <c r="P47" s="26" t="s">
        <v>11</v>
      </c>
      <c r="Q47" s="26" t="s">
        <v>8</v>
      </c>
      <c r="R47" s="26"/>
      <c r="S47" s="26"/>
      <c r="T47" s="26"/>
      <c r="U47" s="26" t="s">
        <v>25</v>
      </c>
      <c r="V47" s="26" t="s">
        <v>26</v>
      </c>
      <c r="W47" s="26" t="s">
        <v>55</v>
      </c>
      <c r="X47" s="26" t="s">
        <v>56</v>
      </c>
      <c r="Y47" s="26" t="s">
        <v>57</v>
      </c>
      <c r="Z47" s="26" t="s">
        <v>58</v>
      </c>
      <c r="AA47" s="26" t="s">
        <v>59</v>
      </c>
      <c r="AB47" s="26" t="s">
        <v>60</v>
      </c>
      <c r="AC47" s="26" t="s">
        <v>62</v>
      </c>
      <c r="AD47" s="26" t="s">
        <v>69</v>
      </c>
      <c r="AE47" s="26" t="s">
        <v>70</v>
      </c>
      <c r="AF47" s="26" t="s">
        <v>72</v>
      </c>
      <c r="AG47" s="26" t="s">
        <v>73</v>
      </c>
      <c r="AH47" s="26" t="s">
        <v>74</v>
      </c>
      <c r="AI47" s="26" t="s">
        <v>75</v>
      </c>
      <c r="AJ47" s="26" t="s">
        <v>77</v>
      </c>
      <c r="AK47" s="26" t="s">
        <v>79</v>
      </c>
      <c r="AL47" s="26" t="s">
        <v>80</v>
      </c>
      <c r="AM47" s="26" t="str">
        <f>AM7</f>
        <v>2T18</v>
      </c>
      <c r="AN47" s="26" t="str">
        <f>AN7</f>
        <v>3T18</v>
      </c>
      <c r="AO47" s="26" t="str">
        <f>AO7</f>
        <v>4T18</v>
      </c>
      <c r="AP47" s="26" t="s">
        <v>87</v>
      </c>
      <c r="AQ47" s="26" t="s">
        <v>88</v>
      </c>
      <c r="AR47" s="26" t="s">
        <v>89</v>
      </c>
      <c r="AS47" s="26" t="s">
        <v>90</v>
      </c>
      <c r="AT47" s="26" t="s">
        <v>91</v>
      </c>
      <c r="AU47" s="26" t="s">
        <v>92</v>
      </c>
      <c r="AV47" s="26" t="s">
        <v>93</v>
      </c>
      <c r="AW47" s="26" t="s">
        <v>94</v>
      </c>
      <c r="AX47" s="26" t="s">
        <v>95</v>
      </c>
      <c r="AY47" s="26" t="s">
        <v>96</v>
      </c>
      <c r="AZ47" s="26" t="s">
        <v>97</v>
      </c>
      <c r="BA47" s="26" t="s">
        <v>98</v>
      </c>
      <c r="BB47" s="26" t="s">
        <v>99</v>
      </c>
      <c r="BC47" s="26" t="s">
        <v>100</v>
      </c>
      <c r="BD47" s="26" t="s">
        <v>305</v>
      </c>
      <c r="BE47" s="26" t="s">
        <v>309</v>
      </c>
      <c r="BF47" s="26" t="s">
        <v>314</v>
      </c>
      <c r="BG47" s="26" t="s">
        <v>319</v>
      </c>
      <c r="BH47" s="26" t="s">
        <v>323</v>
      </c>
      <c r="BI47" s="26" t="s">
        <v>328</v>
      </c>
      <c r="BJ47" s="26" t="s">
        <v>363</v>
      </c>
      <c r="BK47" s="26" t="str">
        <f>BK7</f>
        <v>2T24 IFRS16</v>
      </c>
    </row>
    <row r="48" spans="1:63" ht="19.5" customHeight="1" x14ac:dyDescent="0.25">
      <c r="A48" s="22"/>
      <c r="B48" s="5" t="s">
        <v>6</v>
      </c>
      <c r="AZ48" s="8"/>
      <c r="BA48" s="8"/>
      <c r="BB48" s="8"/>
    </row>
    <row r="49" spans="1:63" x14ac:dyDescent="0.25">
      <c r="A49" s="22"/>
      <c r="B49" s="6" t="s">
        <v>31</v>
      </c>
      <c r="C49" s="3">
        <v>34404</v>
      </c>
      <c r="D49" s="3">
        <v>40457</v>
      </c>
      <c r="E49" s="3">
        <v>39558</v>
      </c>
      <c r="F49" s="3">
        <v>39296</v>
      </c>
      <c r="G49" s="3">
        <v>43405</v>
      </c>
      <c r="H49" s="3">
        <v>40229</v>
      </c>
      <c r="I49" s="3">
        <v>50288</v>
      </c>
      <c r="J49" s="3">
        <v>62951</v>
      </c>
      <c r="K49" s="3">
        <v>60613</v>
      </c>
      <c r="L49" s="3">
        <v>67601</v>
      </c>
      <c r="M49" s="3">
        <v>63914</v>
      </c>
      <c r="N49" s="3">
        <v>55681</v>
      </c>
      <c r="O49" s="3">
        <v>53406</v>
      </c>
      <c r="P49" s="3">
        <v>54237</v>
      </c>
      <c r="Q49" s="3">
        <v>59832</v>
      </c>
      <c r="R49" s="3"/>
      <c r="S49" s="3"/>
      <c r="T49" s="3"/>
      <c r="U49" s="3">
        <v>64028</v>
      </c>
      <c r="V49" s="3">
        <v>68719</v>
      </c>
      <c r="W49" s="3">
        <v>62446</v>
      </c>
      <c r="X49" s="3">
        <v>76022</v>
      </c>
      <c r="Y49" s="3">
        <v>61992</v>
      </c>
      <c r="Z49" s="3">
        <v>83014</v>
      </c>
      <c r="AA49" s="3">
        <v>80547</v>
      </c>
      <c r="AB49" s="3">
        <v>92353</v>
      </c>
      <c r="AC49" s="3">
        <v>132174</v>
      </c>
      <c r="AD49" s="3">
        <v>99721</v>
      </c>
      <c r="AE49" s="3">
        <v>119290</v>
      </c>
      <c r="AF49" s="3">
        <v>116479</v>
      </c>
      <c r="AG49" s="3">
        <v>106027</v>
      </c>
      <c r="AH49" s="3">
        <v>87143</v>
      </c>
      <c r="AI49" s="3">
        <v>95427</v>
      </c>
      <c r="AJ49" s="3">
        <v>103345</v>
      </c>
      <c r="AK49" s="3">
        <v>99705</v>
      </c>
      <c r="AL49" s="3">
        <v>85043</v>
      </c>
      <c r="AM49" s="3">
        <v>115559</v>
      </c>
      <c r="AN49" s="3">
        <v>115287</v>
      </c>
      <c r="AO49" s="3">
        <v>108852</v>
      </c>
      <c r="AP49" s="3">
        <v>135396</v>
      </c>
      <c r="AQ49" s="3">
        <v>161054</v>
      </c>
      <c r="AR49" s="3">
        <v>185761</v>
      </c>
      <c r="AS49" s="3">
        <v>181080</v>
      </c>
      <c r="AT49" s="3">
        <v>170057</v>
      </c>
      <c r="AU49" s="3">
        <v>177546</v>
      </c>
      <c r="AV49" s="3">
        <v>180772</v>
      </c>
      <c r="AW49" s="8">
        <v>188062</v>
      </c>
      <c r="AX49" s="3">
        <v>177209</v>
      </c>
      <c r="AY49" s="3">
        <v>190791</v>
      </c>
      <c r="AZ49" s="8">
        <v>170778</v>
      </c>
      <c r="BA49" s="8">
        <v>203061</v>
      </c>
      <c r="BB49" s="8">
        <v>186234</v>
      </c>
      <c r="BC49" s="8">
        <v>161658</v>
      </c>
      <c r="BD49" s="8">
        <v>156516</v>
      </c>
      <c r="BE49" s="8">
        <v>180597</v>
      </c>
      <c r="BF49" s="8">
        <v>172922</v>
      </c>
      <c r="BG49" s="8">
        <v>152688</v>
      </c>
      <c r="BH49" s="8">
        <v>181308</v>
      </c>
      <c r="BI49" s="8">
        <v>165338</v>
      </c>
      <c r="BJ49" s="8">
        <v>152521</v>
      </c>
      <c r="BK49" s="8">
        <v>138234</v>
      </c>
    </row>
    <row r="50" spans="1:63" x14ac:dyDescent="0.25">
      <c r="A50" s="22"/>
      <c r="B50" s="17" t="s">
        <v>40</v>
      </c>
      <c r="C50" s="3">
        <v>8620</v>
      </c>
      <c r="D50" s="3">
        <v>41072</v>
      </c>
      <c r="E50" s="3">
        <v>46521</v>
      </c>
      <c r="F50" s="3">
        <v>76686</v>
      </c>
      <c r="G50" s="3">
        <v>82261</v>
      </c>
      <c r="H50" s="3">
        <v>75517</v>
      </c>
      <c r="I50" s="3">
        <v>80973</v>
      </c>
      <c r="J50" s="3">
        <v>77674</v>
      </c>
      <c r="K50" s="3">
        <v>83496</v>
      </c>
      <c r="L50" s="3">
        <v>76872</v>
      </c>
      <c r="M50" s="3">
        <v>79297</v>
      </c>
      <c r="N50" s="3">
        <v>138967</v>
      </c>
      <c r="O50" s="3">
        <v>143897</v>
      </c>
      <c r="P50" s="3">
        <v>105188</v>
      </c>
      <c r="Q50" s="3">
        <v>114374</v>
      </c>
      <c r="R50" s="3"/>
      <c r="S50" s="3"/>
      <c r="T50" s="3"/>
      <c r="U50" s="3">
        <v>18928</v>
      </c>
      <c r="V50" s="3">
        <v>32689</v>
      </c>
      <c r="W50" s="3">
        <v>87732</v>
      </c>
      <c r="X50" s="3">
        <v>124309</v>
      </c>
      <c r="Y50" s="3">
        <v>121565</v>
      </c>
      <c r="Z50" s="3">
        <v>139394</v>
      </c>
      <c r="AA50" s="3">
        <v>137934</v>
      </c>
      <c r="AB50" s="3">
        <v>168818</v>
      </c>
      <c r="AC50" s="3">
        <v>168175</v>
      </c>
      <c r="AD50" s="3">
        <v>172663</v>
      </c>
      <c r="AE50" s="3">
        <v>318608</v>
      </c>
      <c r="AF50" s="3">
        <v>344108</v>
      </c>
      <c r="AG50" s="3">
        <v>326049</v>
      </c>
      <c r="AH50" s="3">
        <v>320301</v>
      </c>
      <c r="AI50" s="3">
        <v>198963</v>
      </c>
      <c r="AJ50" s="3">
        <v>212564</v>
      </c>
      <c r="AK50" s="3">
        <v>255885</v>
      </c>
      <c r="AL50" s="3">
        <v>262633</v>
      </c>
      <c r="AM50" s="3">
        <v>378390</v>
      </c>
      <c r="AN50" s="3">
        <v>194462</v>
      </c>
      <c r="AO50" s="3">
        <v>213403</v>
      </c>
      <c r="AP50" s="3">
        <v>244164</v>
      </c>
      <c r="AQ50" s="3">
        <v>253290</v>
      </c>
      <c r="AR50" s="3">
        <v>273693</v>
      </c>
      <c r="AS50" s="3">
        <v>275552</v>
      </c>
      <c r="AT50" s="3">
        <v>366253</v>
      </c>
      <c r="AU50" s="3">
        <v>625722</v>
      </c>
      <c r="AV50" s="3">
        <v>663112</v>
      </c>
      <c r="AW50" s="8">
        <v>756600</v>
      </c>
      <c r="AX50" s="3">
        <v>833230</v>
      </c>
      <c r="AY50" s="3">
        <v>394519</v>
      </c>
      <c r="AZ50" s="8">
        <v>491444</v>
      </c>
      <c r="BA50" s="8">
        <v>446267</v>
      </c>
      <c r="BB50" s="8">
        <v>513570</v>
      </c>
      <c r="BC50" s="8">
        <v>312601</v>
      </c>
      <c r="BD50" s="8">
        <v>354148</v>
      </c>
      <c r="BE50" s="8">
        <v>281801</v>
      </c>
      <c r="BF50" s="8">
        <v>344013</v>
      </c>
      <c r="BG50" s="8">
        <v>244123</v>
      </c>
      <c r="BH50" s="8">
        <v>264227</v>
      </c>
      <c r="BI50" s="8">
        <v>172061</v>
      </c>
      <c r="BJ50" s="8">
        <v>183017</v>
      </c>
      <c r="BK50" s="8">
        <v>104185</v>
      </c>
    </row>
    <row r="51" spans="1:63" x14ac:dyDescent="0.25">
      <c r="A51" s="22"/>
      <c r="B51" s="6" t="s">
        <v>32</v>
      </c>
      <c r="C51" s="3">
        <v>23089</v>
      </c>
      <c r="D51" s="3">
        <v>27253</v>
      </c>
      <c r="E51" s="3">
        <v>33893</v>
      </c>
      <c r="F51" s="3">
        <v>32076</v>
      </c>
      <c r="G51" s="3">
        <v>27002</v>
      </c>
      <c r="H51" s="3">
        <v>33281</v>
      </c>
      <c r="I51" s="3">
        <v>41369</v>
      </c>
      <c r="J51" s="3">
        <v>38949</v>
      </c>
      <c r="K51" s="3">
        <v>31557</v>
      </c>
      <c r="L51" s="3">
        <v>41202</v>
      </c>
      <c r="M51" s="3">
        <v>49652</v>
      </c>
      <c r="N51" s="3">
        <v>47260</v>
      </c>
      <c r="O51" s="3">
        <v>47523</v>
      </c>
      <c r="P51" s="3">
        <v>49488</v>
      </c>
      <c r="Q51" s="3">
        <v>53763</v>
      </c>
      <c r="R51" s="3"/>
      <c r="S51" s="3"/>
      <c r="T51" s="3"/>
      <c r="U51" s="3">
        <v>48179</v>
      </c>
      <c r="V51" s="3">
        <v>46280</v>
      </c>
      <c r="W51" s="3">
        <v>53704</v>
      </c>
      <c r="X51" s="3">
        <v>63386</v>
      </c>
      <c r="Y51" s="3">
        <v>62786</v>
      </c>
      <c r="Z51" s="3">
        <v>63380</v>
      </c>
      <c r="AA51" s="3">
        <v>71239</v>
      </c>
      <c r="AB51" s="3">
        <v>92351</v>
      </c>
      <c r="AC51" s="3">
        <v>78070</v>
      </c>
      <c r="AD51" s="3">
        <v>87301</v>
      </c>
      <c r="AE51" s="3">
        <v>75468</v>
      </c>
      <c r="AF51" s="3">
        <v>84119</v>
      </c>
      <c r="AG51" s="3">
        <v>68002</v>
      </c>
      <c r="AH51" s="3">
        <v>65340</v>
      </c>
      <c r="AI51" s="3">
        <v>66036</v>
      </c>
      <c r="AJ51" s="3">
        <v>72715</v>
      </c>
      <c r="AK51" s="3">
        <v>63915</v>
      </c>
      <c r="AL51" s="3">
        <v>64551</v>
      </c>
      <c r="AM51" s="3">
        <v>61959</v>
      </c>
      <c r="AN51" s="3">
        <v>69537</v>
      </c>
      <c r="AO51" s="3">
        <v>61396</v>
      </c>
      <c r="AP51" s="3">
        <v>53125</v>
      </c>
      <c r="AQ51" s="3">
        <v>57699</v>
      </c>
      <c r="AR51" s="3">
        <v>70792</v>
      </c>
      <c r="AS51" s="3">
        <v>67015</v>
      </c>
      <c r="AT51" s="3">
        <v>70563</v>
      </c>
      <c r="AU51" s="3">
        <v>73404</v>
      </c>
      <c r="AV51" s="3">
        <v>78622</v>
      </c>
      <c r="AW51" s="8">
        <v>52448</v>
      </c>
      <c r="AX51" s="3">
        <v>61182</v>
      </c>
      <c r="AY51" s="3">
        <v>72600</v>
      </c>
      <c r="AZ51" s="8">
        <v>86002</v>
      </c>
      <c r="BA51" s="8">
        <v>92804</v>
      </c>
      <c r="BB51" s="8">
        <v>78708</v>
      </c>
      <c r="BC51" s="8">
        <v>75771</v>
      </c>
      <c r="BD51" s="8">
        <v>102541</v>
      </c>
      <c r="BE51" s="8">
        <v>96814</v>
      </c>
      <c r="BF51" s="8">
        <v>90635</v>
      </c>
      <c r="BG51" s="8">
        <v>86928</v>
      </c>
      <c r="BH51" s="8">
        <v>112746</v>
      </c>
      <c r="BI51" s="8">
        <v>103227</v>
      </c>
      <c r="BJ51" s="8">
        <v>84090</v>
      </c>
      <c r="BK51" s="8">
        <v>99620</v>
      </c>
    </row>
    <row r="52" spans="1:63" x14ac:dyDescent="0.25">
      <c r="B52" s="6" t="s">
        <v>41</v>
      </c>
      <c r="C52" s="3">
        <v>32991</v>
      </c>
      <c r="D52" s="3">
        <v>12823</v>
      </c>
      <c r="E52" s="3">
        <v>13674</v>
      </c>
      <c r="F52" s="3">
        <v>27878</v>
      </c>
      <c r="G52" s="3">
        <v>31546</v>
      </c>
      <c r="H52" s="3">
        <v>37788</v>
      </c>
      <c r="I52" s="3">
        <v>30758</v>
      </c>
      <c r="J52" s="3">
        <v>28235</v>
      </c>
      <c r="K52" s="3">
        <v>33897</v>
      </c>
      <c r="L52" s="3">
        <v>32519</v>
      </c>
      <c r="M52" s="3">
        <v>16671</v>
      </c>
      <c r="N52" s="3">
        <v>12556</v>
      </c>
      <c r="O52" s="3">
        <v>14720</v>
      </c>
      <c r="P52" s="3">
        <v>14400</v>
      </c>
      <c r="Q52" s="3">
        <v>17040</v>
      </c>
      <c r="R52" s="3"/>
      <c r="S52" s="3"/>
      <c r="T52" s="3"/>
      <c r="U52" s="3">
        <v>17073</v>
      </c>
      <c r="V52" s="3">
        <v>21688</v>
      </c>
      <c r="W52" s="3">
        <v>18349</v>
      </c>
      <c r="X52" s="3">
        <v>23825</v>
      </c>
      <c r="Y52" s="3">
        <v>21242</v>
      </c>
      <c r="Z52" s="3">
        <v>24422</v>
      </c>
      <c r="AA52" s="3">
        <v>18835</v>
      </c>
      <c r="AB52" s="3">
        <v>24805</v>
      </c>
      <c r="AC52" s="3">
        <v>18811</v>
      </c>
      <c r="AD52" s="3">
        <v>19123</v>
      </c>
      <c r="AE52" s="3">
        <v>24480</v>
      </c>
      <c r="AF52" s="3">
        <v>19859</v>
      </c>
      <c r="AG52" s="3">
        <v>11694</v>
      </c>
      <c r="AH52" s="3">
        <v>15568</v>
      </c>
      <c r="AI52" s="3">
        <v>17410</v>
      </c>
      <c r="AJ52" s="3">
        <v>14212</v>
      </c>
      <c r="AK52" s="3">
        <v>11252</v>
      </c>
      <c r="AL52" s="3">
        <v>14425</v>
      </c>
      <c r="AM52" s="3">
        <v>12948</v>
      </c>
      <c r="AN52" s="3">
        <v>17832</v>
      </c>
      <c r="AO52" s="3">
        <v>18661</v>
      </c>
      <c r="AP52" s="3">
        <v>17831</v>
      </c>
      <c r="AQ52" s="3">
        <v>19040</v>
      </c>
      <c r="AR52" s="3">
        <v>22232</v>
      </c>
      <c r="AS52" s="3">
        <v>22255</v>
      </c>
      <c r="AT52" s="3">
        <v>27410</v>
      </c>
      <c r="AU52" s="3">
        <v>36838</v>
      </c>
      <c r="AV52" s="3">
        <v>44991</v>
      </c>
      <c r="AW52" s="8">
        <v>39936</v>
      </c>
      <c r="AX52" s="3">
        <v>38992</v>
      </c>
      <c r="AY52" s="3">
        <v>30455</v>
      </c>
      <c r="AZ52" s="8">
        <v>37965</v>
      </c>
      <c r="BA52" s="8">
        <v>29335</v>
      </c>
      <c r="BB52" s="8">
        <v>35975</v>
      </c>
      <c r="BC52" s="8">
        <v>41356</v>
      </c>
      <c r="BD52" s="8">
        <v>45743</v>
      </c>
      <c r="BE52" s="8">
        <v>55749</v>
      </c>
      <c r="BF52" s="8">
        <v>54989</v>
      </c>
      <c r="BG52" s="8">
        <v>66548</v>
      </c>
      <c r="BH52" s="8">
        <v>55845</v>
      </c>
      <c r="BI52" s="8">
        <v>65579</v>
      </c>
      <c r="BJ52" s="8">
        <v>54281</v>
      </c>
      <c r="BK52" s="8">
        <v>64314</v>
      </c>
    </row>
    <row r="53" spans="1:63" x14ac:dyDescent="0.25">
      <c r="A53" s="22"/>
      <c r="B53" s="6" t="s">
        <v>33</v>
      </c>
      <c r="C53" s="3">
        <v>7535</v>
      </c>
      <c r="D53" s="3">
        <v>7215</v>
      </c>
      <c r="E53" s="3">
        <v>7000</v>
      </c>
      <c r="F53" s="3">
        <v>9230</v>
      </c>
      <c r="G53" s="3">
        <v>2261</v>
      </c>
      <c r="H53" s="3">
        <v>11912</v>
      </c>
      <c r="I53" s="3">
        <v>11452</v>
      </c>
      <c r="J53" s="3">
        <v>10798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/>
      <c r="S53" s="3"/>
      <c r="T53" s="3"/>
      <c r="U53" s="3">
        <v>10563</v>
      </c>
      <c r="V53" s="3">
        <v>0</v>
      </c>
      <c r="W53" s="3">
        <v>9465</v>
      </c>
      <c r="X53" s="3">
        <v>0</v>
      </c>
      <c r="Y53" s="3">
        <v>15731</v>
      </c>
      <c r="Z53" s="3">
        <v>1</v>
      </c>
      <c r="AA53" s="3">
        <v>12998</v>
      </c>
      <c r="AB53" s="3">
        <v>0</v>
      </c>
      <c r="AC53" s="3">
        <v>13021</v>
      </c>
      <c r="AD53" s="3">
        <v>6</v>
      </c>
      <c r="AE53" s="3">
        <v>8</v>
      </c>
      <c r="AF53" s="3">
        <v>10</v>
      </c>
      <c r="AG53" s="3">
        <v>13188</v>
      </c>
      <c r="AH53" s="3">
        <v>7</v>
      </c>
      <c r="AI53" s="3">
        <v>8</v>
      </c>
      <c r="AJ53" s="3">
        <v>8</v>
      </c>
      <c r="AK53" s="3">
        <v>8</v>
      </c>
      <c r="AL53" s="3">
        <v>8</v>
      </c>
      <c r="AM53" s="3">
        <v>9</v>
      </c>
      <c r="AN53" s="3">
        <v>16575</v>
      </c>
      <c r="AO53" s="3">
        <v>37448</v>
      </c>
      <c r="AP53" s="3">
        <v>10</v>
      </c>
      <c r="AQ53" s="3">
        <v>10</v>
      </c>
      <c r="AR53" s="3">
        <v>10</v>
      </c>
      <c r="AS53" s="3">
        <v>44351</v>
      </c>
      <c r="AT53" s="3">
        <v>22181</v>
      </c>
      <c r="AU53" s="3">
        <v>22181</v>
      </c>
      <c r="AV53" s="3">
        <v>22181</v>
      </c>
      <c r="AW53" s="8">
        <v>0</v>
      </c>
      <c r="AX53" s="3">
        <v>0</v>
      </c>
      <c r="AY53" s="3">
        <v>0</v>
      </c>
      <c r="AZ53" s="8"/>
      <c r="BA53" s="8">
        <v>23156</v>
      </c>
      <c r="BB53" s="8">
        <v>12</v>
      </c>
      <c r="BC53" s="8">
        <v>12</v>
      </c>
      <c r="BD53" s="8">
        <v>12</v>
      </c>
      <c r="BE53" s="8">
        <v>21012</v>
      </c>
      <c r="BF53" s="8">
        <v>12</v>
      </c>
      <c r="BG53" s="8">
        <v>5</v>
      </c>
      <c r="BH53" s="8">
        <v>5</v>
      </c>
      <c r="BI53" s="8">
        <v>8</v>
      </c>
      <c r="BJ53" s="8">
        <v>8</v>
      </c>
      <c r="BK53" s="8">
        <v>877</v>
      </c>
    </row>
    <row r="54" spans="1:63" x14ac:dyDescent="0.25">
      <c r="A54" s="22"/>
      <c r="B54" s="6" t="s">
        <v>42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/>
      <c r="S54" s="3"/>
      <c r="T54" s="3"/>
      <c r="U54" s="3">
        <v>6826</v>
      </c>
      <c r="V54" s="3">
        <v>6594</v>
      </c>
      <c r="W54" s="3">
        <v>6419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23" t="s">
        <v>83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8">
        <v>0</v>
      </c>
      <c r="AX54" s="3">
        <v>0</v>
      </c>
      <c r="AY54" s="3">
        <v>0</v>
      </c>
      <c r="AZ54" s="8"/>
      <c r="BA54" s="8"/>
      <c r="BB54" s="8"/>
    </row>
    <row r="55" spans="1:63" x14ac:dyDescent="0.25">
      <c r="A55" s="22"/>
      <c r="B55" s="6" t="s">
        <v>49</v>
      </c>
      <c r="C55" s="3">
        <v>1615</v>
      </c>
      <c r="D55" s="3">
        <v>1570</v>
      </c>
      <c r="E55" s="3">
        <v>1524</v>
      </c>
      <c r="F55" s="3">
        <v>699</v>
      </c>
      <c r="G55" s="3">
        <v>674</v>
      </c>
      <c r="H55" s="3">
        <v>646</v>
      </c>
      <c r="I55" s="3">
        <v>636</v>
      </c>
      <c r="J55" s="3">
        <v>579</v>
      </c>
      <c r="K55" s="3">
        <v>467</v>
      </c>
      <c r="L55" s="3">
        <v>347</v>
      </c>
      <c r="M55" s="3">
        <v>220</v>
      </c>
      <c r="N55" s="3">
        <v>467</v>
      </c>
      <c r="O55" s="3">
        <v>82</v>
      </c>
      <c r="P55" s="3">
        <v>0</v>
      </c>
      <c r="Q55" s="3">
        <v>0</v>
      </c>
      <c r="R55" s="3"/>
      <c r="S55" s="3"/>
      <c r="T55" s="3"/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8">
        <v>0</v>
      </c>
      <c r="AX55" s="3">
        <v>0</v>
      </c>
      <c r="AY55" s="3">
        <v>0</v>
      </c>
      <c r="AZ55" s="8"/>
      <c r="BA55" s="8"/>
      <c r="BB55" s="8"/>
    </row>
    <row r="56" spans="1:63" x14ac:dyDescent="0.25">
      <c r="A56" s="22"/>
      <c r="B56" s="6" t="s">
        <v>50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3</v>
      </c>
      <c r="O56" s="3">
        <v>73</v>
      </c>
      <c r="P56" s="3">
        <v>0</v>
      </c>
      <c r="Q56" s="3">
        <v>0</v>
      </c>
      <c r="R56" s="3"/>
      <c r="S56" s="3"/>
      <c r="T56" s="3"/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8">
        <v>0</v>
      </c>
      <c r="AX56" s="3">
        <v>0</v>
      </c>
      <c r="AY56" s="3">
        <v>0</v>
      </c>
      <c r="AZ56" s="8"/>
      <c r="BA56" s="8"/>
      <c r="BB56" s="8"/>
      <c r="BI56">
        <v>373</v>
      </c>
      <c r="BJ56" s="8">
        <v>234</v>
      </c>
      <c r="BK56" s="8">
        <v>314</v>
      </c>
    </row>
    <row r="57" spans="1:63" x14ac:dyDescent="0.25">
      <c r="A57" s="22"/>
      <c r="B57" s="6" t="s">
        <v>34</v>
      </c>
      <c r="C57" s="3">
        <v>3309</v>
      </c>
      <c r="D57" s="3">
        <v>4458</v>
      </c>
      <c r="E57" s="3">
        <v>6244</v>
      </c>
      <c r="F57" s="3">
        <v>2412</v>
      </c>
      <c r="G57" s="3">
        <v>2847</v>
      </c>
      <c r="H57" s="3">
        <v>3029</v>
      </c>
      <c r="I57" s="3">
        <v>5575</v>
      </c>
      <c r="J57" s="3">
        <v>3758</v>
      </c>
      <c r="K57" s="3">
        <v>4309</v>
      </c>
      <c r="L57" s="3">
        <v>7563</v>
      </c>
      <c r="M57" s="3">
        <v>6524</v>
      </c>
      <c r="N57" s="3">
        <v>16403</v>
      </c>
      <c r="O57" s="3">
        <v>16006</v>
      </c>
      <c r="P57" s="3">
        <v>18977</v>
      </c>
      <c r="Q57" s="3">
        <v>22373</v>
      </c>
      <c r="R57" s="3"/>
      <c r="S57" s="3"/>
      <c r="T57" s="3"/>
      <c r="U57" s="3">
        <v>25628</v>
      </c>
      <c r="V57" s="3">
        <v>23052</v>
      </c>
      <c r="W57" s="3">
        <v>18796</v>
      </c>
      <c r="X57" s="3">
        <v>18108</v>
      </c>
      <c r="Y57" s="3">
        <v>16522</v>
      </c>
      <c r="Z57" s="3">
        <v>14546</v>
      </c>
      <c r="AA57" s="3">
        <v>23283.805200000003</v>
      </c>
      <c r="AB57" s="3">
        <v>18787</v>
      </c>
      <c r="AC57" s="3">
        <v>27213</v>
      </c>
      <c r="AD57" s="3">
        <v>29837</v>
      </c>
      <c r="AE57" s="3">
        <v>17403</v>
      </c>
      <c r="AF57" s="3">
        <v>14349</v>
      </c>
      <c r="AG57" s="3">
        <v>19123</v>
      </c>
      <c r="AH57" s="3">
        <v>17935</v>
      </c>
      <c r="AI57" s="3">
        <v>18022</v>
      </c>
      <c r="AJ57" s="3">
        <v>14973</v>
      </c>
      <c r="AK57" s="3">
        <v>17353</v>
      </c>
      <c r="AL57" s="3">
        <v>16857</v>
      </c>
      <c r="AM57" s="3">
        <v>30575</v>
      </c>
      <c r="AN57" s="3">
        <v>31570</v>
      </c>
      <c r="AO57" s="3">
        <v>26006</v>
      </c>
      <c r="AP57" s="3">
        <v>33772</v>
      </c>
      <c r="AQ57" s="3">
        <v>29481</v>
      </c>
      <c r="AR57" s="3">
        <v>22888</v>
      </c>
      <c r="AS57" s="3">
        <v>41583</v>
      </c>
      <c r="AT57" s="3">
        <v>50984</v>
      </c>
      <c r="AU57" s="3">
        <v>50060</v>
      </c>
      <c r="AV57" s="3">
        <v>55506</v>
      </c>
      <c r="AW57" s="8">
        <v>53900.000000000007</v>
      </c>
      <c r="AX57" s="3">
        <v>52504</v>
      </c>
      <c r="AY57" s="3">
        <v>55013</v>
      </c>
      <c r="AZ57" s="8">
        <v>46459.999999999993</v>
      </c>
      <c r="BA57" s="8">
        <v>59685</v>
      </c>
      <c r="BB57" s="8">
        <v>90151</v>
      </c>
      <c r="BC57" s="8">
        <v>73323</v>
      </c>
      <c r="BD57" s="8">
        <v>70570</v>
      </c>
      <c r="BE57" s="8">
        <v>66243</v>
      </c>
      <c r="BF57" s="8">
        <v>73940</v>
      </c>
      <c r="BG57" s="8">
        <v>68095</v>
      </c>
      <c r="BH57" s="8">
        <v>60089</v>
      </c>
      <c r="BI57" s="8">
        <v>44584</v>
      </c>
      <c r="BJ57" s="8">
        <v>41505</v>
      </c>
      <c r="BK57" s="8">
        <v>47406</v>
      </c>
    </row>
    <row r="58" spans="1:63" x14ac:dyDescent="0.25">
      <c r="A58" s="22"/>
      <c r="B58" s="6" t="s">
        <v>102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8"/>
      <c r="AX58" s="3"/>
      <c r="AY58" s="3"/>
      <c r="AZ58" s="8"/>
      <c r="BA58" s="8"/>
      <c r="BB58" s="8"/>
      <c r="BC58" s="8">
        <v>162233</v>
      </c>
      <c r="BD58" s="8">
        <v>161999</v>
      </c>
      <c r="BE58" s="8"/>
      <c r="BF58" s="8"/>
      <c r="BG58" s="8"/>
      <c r="BH58" s="8"/>
      <c r="BI58" s="8"/>
      <c r="BJ58" s="8"/>
      <c r="BK58" s="8"/>
    </row>
    <row r="59" spans="1:63" x14ac:dyDescent="0.25">
      <c r="A59" s="22"/>
      <c r="B59" s="7" t="s">
        <v>35</v>
      </c>
      <c r="C59" s="14">
        <f t="shared" ref="C59:Q59" si="20">SUM(C49:C57)</f>
        <v>111563</v>
      </c>
      <c r="D59" s="14">
        <f t="shared" si="20"/>
        <v>134848</v>
      </c>
      <c r="E59" s="14">
        <f t="shared" si="20"/>
        <v>148414</v>
      </c>
      <c r="F59" s="14">
        <f t="shared" si="20"/>
        <v>188277</v>
      </c>
      <c r="G59" s="14">
        <f t="shared" si="20"/>
        <v>189996</v>
      </c>
      <c r="H59" s="14">
        <f t="shared" si="20"/>
        <v>202402</v>
      </c>
      <c r="I59" s="14">
        <f t="shared" si="20"/>
        <v>221051</v>
      </c>
      <c r="J59" s="14">
        <f t="shared" si="20"/>
        <v>222944</v>
      </c>
      <c r="K59" s="14">
        <f t="shared" si="20"/>
        <v>214339</v>
      </c>
      <c r="L59" s="14">
        <f t="shared" si="20"/>
        <v>226104</v>
      </c>
      <c r="M59" s="14">
        <f t="shared" si="20"/>
        <v>216278</v>
      </c>
      <c r="N59" s="14">
        <f t="shared" si="20"/>
        <v>271337</v>
      </c>
      <c r="O59" s="14">
        <f t="shared" si="20"/>
        <v>275707</v>
      </c>
      <c r="P59" s="14">
        <f t="shared" si="20"/>
        <v>242290</v>
      </c>
      <c r="Q59" s="14">
        <f t="shared" si="20"/>
        <v>267382</v>
      </c>
      <c r="R59" s="13"/>
      <c r="S59" s="13"/>
      <c r="T59" s="13"/>
      <c r="U59" s="14">
        <f t="shared" ref="U59:AV59" si="21">SUM(U49:U57)</f>
        <v>191225</v>
      </c>
      <c r="V59" s="14">
        <f t="shared" si="21"/>
        <v>199022</v>
      </c>
      <c r="W59" s="14">
        <f t="shared" si="21"/>
        <v>256911</v>
      </c>
      <c r="X59" s="14">
        <f t="shared" si="21"/>
        <v>305650</v>
      </c>
      <c r="Y59" s="14">
        <f t="shared" si="21"/>
        <v>299838</v>
      </c>
      <c r="Z59" s="14">
        <f t="shared" si="21"/>
        <v>324757</v>
      </c>
      <c r="AA59" s="14">
        <f t="shared" si="21"/>
        <v>344836.8052</v>
      </c>
      <c r="AB59" s="14">
        <f t="shared" si="21"/>
        <v>397114</v>
      </c>
      <c r="AC59" s="14">
        <f t="shared" si="21"/>
        <v>437464</v>
      </c>
      <c r="AD59" s="14">
        <f t="shared" si="21"/>
        <v>408651</v>
      </c>
      <c r="AE59" s="14">
        <f t="shared" si="21"/>
        <v>555257</v>
      </c>
      <c r="AF59" s="14">
        <f t="shared" si="21"/>
        <v>578924</v>
      </c>
      <c r="AG59" s="14">
        <f t="shared" si="21"/>
        <v>544083</v>
      </c>
      <c r="AH59" s="14">
        <f t="shared" si="21"/>
        <v>506294</v>
      </c>
      <c r="AI59" s="14">
        <f t="shared" si="21"/>
        <v>395866</v>
      </c>
      <c r="AJ59" s="14">
        <f t="shared" si="21"/>
        <v>417817</v>
      </c>
      <c r="AK59" s="14">
        <f t="shared" si="21"/>
        <v>448118</v>
      </c>
      <c r="AL59" s="14">
        <f t="shared" si="21"/>
        <v>443517</v>
      </c>
      <c r="AM59" s="14">
        <f t="shared" si="21"/>
        <v>599440</v>
      </c>
      <c r="AN59" s="14">
        <f t="shared" si="21"/>
        <v>445263</v>
      </c>
      <c r="AO59" s="14">
        <f t="shared" si="21"/>
        <v>465766</v>
      </c>
      <c r="AP59" s="14">
        <f t="shared" si="21"/>
        <v>484298</v>
      </c>
      <c r="AQ59" s="14">
        <f t="shared" si="21"/>
        <v>520574</v>
      </c>
      <c r="AR59" s="14">
        <f t="shared" si="21"/>
        <v>575376</v>
      </c>
      <c r="AS59" s="14">
        <f t="shared" si="21"/>
        <v>631836</v>
      </c>
      <c r="AT59" s="14">
        <f t="shared" si="21"/>
        <v>707448</v>
      </c>
      <c r="AU59" s="14">
        <f t="shared" si="21"/>
        <v>985751</v>
      </c>
      <c r="AV59" s="14">
        <f t="shared" si="21"/>
        <v>1045184</v>
      </c>
      <c r="AW59" s="14">
        <f t="shared" ref="AW59:AZ59" si="22">SUM(AW49:AW57)</f>
        <v>1090946</v>
      </c>
      <c r="AX59" s="14">
        <f t="shared" si="22"/>
        <v>1163117</v>
      </c>
      <c r="AY59" s="14">
        <f t="shared" si="22"/>
        <v>743378</v>
      </c>
      <c r="AZ59" s="14">
        <f t="shared" si="22"/>
        <v>832649</v>
      </c>
      <c r="BA59" s="14">
        <v>854308</v>
      </c>
      <c r="BB59" s="14">
        <v>904650</v>
      </c>
      <c r="BC59" s="14">
        <v>826954</v>
      </c>
      <c r="BD59" s="14">
        <v>891529</v>
      </c>
      <c r="BE59" s="14">
        <v>702216</v>
      </c>
      <c r="BF59" s="14">
        <v>736511</v>
      </c>
      <c r="BG59" s="14">
        <v>618387</v>
      </c>
      <c r="BH59" s="14">
        <v>674220</v>
      </c>
      <c r="BI59" s="14">
        <v>551170</v>
      </c>
      <c r="BJ59" s="14">
        <v>515656</v>
      </c>
      <c r="BK59" s="14">
        <f>SUM(BK49:BK58)</f>
        <v>454950</v>
      </c>
    </row>
    <row r="60" spans="1:63" x14ac:dyDescent="0.25">
      <c r="A60" s="22"/>
      <c r="AZ60" s="8"/>
      <c r="BA60" s="8"/>
      <c r="BB60" s="8"/>
    </row>
    <row r="61" spans="1:63" x14ac:dyDescent="0.25">
      <c r="A61" s="22"/>
      <c r="B61" s="5" t="s">
        <v>7</v>
      </c>
      <c r="AZ61" s="8"/>
      <c r="BA61" s="8"/>
      <c r="BB61" s="8"/>
    </row>
    <row r="62" spans="1:63" x14ac:dyDescent="0.25">
      <c r="A62" s="22"/>
      <c r="B62" s="6" t="s">
        <v>31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2453</v>
      </c>
      <c r="K62" s="3">
        <v>1152</v>
      </c>
      <c r="L62" s="3">
        <v>416</v>
      </c>
      <c r="M62" s="3">
        <v>571</v>
      </c>
      <c r="N62" s="3">
        <v>147</v>
      </c>
      <c r="O62" s="3">
        <v>142</v>
      </c>
      <c r="P62" s="3">
        <v>158</v>
      </c>
      <c r="Q62" s="3">
        <v>1708</v>
      </c>
      <c r="R62" s="3"/>
      <c r="S62" s="3"/>
      <c r="T62" s="3"/>
      <c r="U62" s="3">
        <v>1621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8">
        <v>0</v>
      </c>
      <c r="AX62" s="3">
        <v>0</v>
      </c>
      <c r="AY62" s="3">
        <v>0</v>
      </c>
      <c r="AZ62" s="8"/>
      <c r="BA62" s="8"/>
      <c r="BB62" s="8"/>
      <c r="BC62" s="8">
        <v>0</v>
      </c>
    </row>
    <row r="63" spans="1:63" x14ac:dyDescent="0.25">
      <c r="A63" s="22"/>
      <c r="B63" s="17" t="s">
        <v>40</v>
      </c>
      <c r="C63" s="3">
        <v>180111</v>
      </c>
      <c r="D63" s="3">
        <v>144111</v>
      </c>
      <c r="E63" s="3">
        <v>144000</v>
      </c>
      <c r="F63" s="3">
        <v>108000</v>
      </c>
      <c r="G63" s="3">
        <v>108000</v>
      </c>
      <c r="H63" s="3">
        <v>72000</v>
      </c>
      <c r="I63" s="3">
        <v>72000</v>
      </c>
      <c r="J63" s="3">
        <v>136000</v>
      </c>
      <c r="K63" s="3">
        <v>136000</v>
      </c>
      <c r="L63" s="3">
        <v>100000</v>
      </c>
      <c r="M63" s="3">
        <v>100000</v>
      </c>
      <c r="N63" s="3">
        <v>263799</v>
      </c>
      <c r="O63" s="3">
        <v>272320</v>
      </c>
      <c r="P63" s="3">
        <v>401029</v>
      </c>
      <c r="Q63" s="3">
        <v>401529</v>
      </c>
      <c r="R63" s="3"/>
      <c r="S63" s="3"/>
      <c r="T63" s="3"/>
      <c r="U63" s="3">
        <v>393164</v>
      </c>
      <c r="V63" s="3">
        <v>397997</v>
      </c>
      <c r="W63" s="3">
        <v>356791</v>
      </c>
      <c r="X63" s="3">
        <v>343883</v>
      </c>
      <c r="Y63" s="3">
        <v>357584</v>
      </c>
      <c r="Z63" s="18">
        <v>414856</v>
      </c>
      <c r="AA63" s="18">
        <v>544863</v>
      </c>
      <c r="AB63" s="3">
        <v>630684</v>
      </c>
      <c r="AC63" s="3">
        <v>583248</v>
      </c>
      <c r="AD63" s="3">
        <v>545430</v>
      </c>
      <c r="AE63" s="3">
        <v>301662</v>
      </c>
      <c r="AF63" s="3">
        <v>512259</v>
      </c>
      <c r="AG63" s="3">
        <v>475421</v>
      </c>
      <c r="AH63" s="3">
        <v>455084</v>
      </c>
      <c r="AI63" s="3">
        <v>627791</v>
      </c>
      <c r="AJ63" s="3">
        <v>603300</v>
      </c>
      <c r="AK63" s="3">
        <v>549599</v>
      </c>
      <c r="AL63" s="3">
        <v>542592</v>
      </c>
      <c r="AM63" s="3">
        <v>680106</v>
      </c>
      <c r="AN63" s="3">
        <v>680034</v>
      </c>
      <c r="AO63" s="3">
        <v>617438</v>
      </c>
      <c r="AP63" s="3">
        <v>709707</v>
      </c>
      <c r="AQ63" s="3">
        <v>720911</v>
      </c>
      <c r="AR63" s="3">
        <v>750433</v>
      </c>
      <c r="AS63" s="3">
        <v>669698</v>
      </c>
      <c r="AT63" s="3">
        <v>756509</v>
      </c>
      <c r="AU63" s="3">
        <v>746477</v>
      </c>
      <c r="AV63" s="3">
        <v>719037</v>
      </c>
      <c r="AW63" s="8">
        <v>551485</v>
      </c>
      <c r="AX63" s="3">
        <v>621746</v>
      </c>
      <c r="AY63" s="3">
        <v>851992</v>
      </c>
      <c r="AZ63" s="8">
        <v>801761</v>
      </c>
      <c r="BA63" s="8">
        <v>820355</v>
      </c>
      <c r="BB63" s="8">
        <v>733746</v>
      </c>
      <c r="BC63" s="8">
        <v>763086</v>
      </c>
      <c r="BD63" s="8">
        <v>751932</v>
      </c>
      <c r="BE63" s="8">
        <v>585354</v>
      </c>
      <c r="BF63" s="8">
        <v>558369</v>
      </c>
      <c r="BG63" s="8">
        <v>518131</v>
      </c>
      <c r="BH63" s="8">
        <v>472189</v>
      </c>
      <c r="BI63" s="8">
        <v>537893</v>
      </c>
      <c r="BJ63" s="8">
        <v>517878</v>
      </c>
      <c r="BK63" s="8">
        <v>493485</v>
      </c>
    </row>
    <row r="64" spans="1:63" x14ac:dyDescent="0.25">
      <c r="A64" s="22"/>
      <c r="B64" s="17" t="s">
        <v>49</v>
      </c>
      <c r="C64" s="3">
        <v>7885</v>
      </c>
      <c r="D64" s="3">
        <v>7607</v>
      </c>
      <c r="E64" s="3">
        <v>7323</v>
      </c>
      <c r="F64" s="3">
        <v>3247</v>
      </c>
      <c r="G64" s="3">
        <v>2873</v>
      </c>
      <c r="H64" s="3">
        <v>2494</v>
      </c>
      <c r="I64" s="3">
        <v>2109</v>
      </c>
      <c r="J64" s="3">
        <v>1643</v>
      </c>
      <c r="K64" s="3">
        <v>1330</v>
      </c>
      <c r="L64" s="3">
        <v>1015</v>
      </c>
      <c r="M64" s="3">
        <v>699</v>
      </c>
      <c r="N64" s="3">
        <v>0</v>
      </c>
      <c r="O64" s="3">
        <v>0</v>
      </c>
      <c r="P64" s="3">
        <v>0</v>
      </c>
      <c r="Q64" s="3">
        <v>0</v>
      </c>
      <c r="R64" s="3"/>
      <c r="S64" s="3"/>
      <c r="T64" s="3"/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8">
        <v>0</v>
      </c>
      <c r="AX64" s="3">
        <v>0</v>
      </c>
      <c r="AY64" s="3">
        <v>0</v>
      </c>
      <c r="AZ64" s="8"/>
      <c r="BA64" s="8"/>
      <c r="BB64" s="8"/>
      <c r="BC64" s="8">
        <v>1492</v>
      </c>
      <c r="BD64" s="8">
        <v>1492</v>
      </c>
      <c r="BE64" s="8">
        <v>1491</v>
      </c>
      <c r="BF64" s="8">
        <v>1491</v>
      </c>
      <c r="BG64" s="8">
        <v>1491</v>
      </c>
      <c r="BH64" s="8">
        <v>1491</v>
      </c>
      <c r="BI64" s="8">
        <v>1491</v>
      </c>
      <c r="BJ64" s="8">
        <v>666</v>
      </c>
      <c r="BK64" s="8">
        <v>666</v>
      </c>
    </row>
    <row r="65" spans="1:63" x14ac:dyDescent="0.25">
      <c r="A65" s="22"/>
      <c r="B65" s="6" t="s">
        <v>43</v>
      </c>
      <c r="C65" s="3">
        <v>27445</v>
      </c>
      <c r="D65" s="3">
        <v>21884</v>
      </c>
      <c r="E65" s="3">
        <v>26950</v>
      </c>
      <c r="F65" s="3">
        <v>26275</v>
      </c>
      <c r="G65" s="3">
        <v>24118</v>
      </c>
      <c r="H65" s="3">
        <v>23562</v>
      </c>
      <c r="I65" s="3">
        <v>23613</v>
      </c>
      <c r="J65" s="3">
        <v>22293</v>
      </c>
      <c r="K65" s="3">
        <v>20901</v>
      </c>
      <c r="L65" s="3">
        <v>21587</v>
      </c>
      <c r="M65" s="3">
        <v>20315</v>
      </c>
      <c r="N65" s="3">
        <v>12628</v>
      </c>
      <c r="O65" s="3">
        <v>12091</v>
      </c>
      <c r="P65" s="3">
        <v>14300</v>
      </c>
      <c r="Q65" s="3">
        <v>14708</v>
      </c>
      <c r="R65" s="3"/>
      <c r="S65" s="3"/>
      <c r="T65" s="3"/>
      <c r="U65" s="3">
        <v>12682</v>
      </c>
      <c r="V65" s="3">
        <v>12825</v>
      </c>
      <c r="W65" s="3">
        <v>12273</v>
      </c>
      <c r="X65" s="3">
        <v>12702</v>
      </c>
      <c r="Y65" s="3">
        <v>19272</v>
      </c>
      <c r="Z65" s="3">
        <v>20382</v>
      </c>
      <c r="AA65" s="3">
        <v>18582</v>
      </c>
      <c r="AB65" s="3">
        <v>23426</v>
      </c>
      <c r="AC65" s="3">
        <v>22955</v>
      </c>
      <c r="AD65" s="3">
        <v>18537</v>
      </c>
      <c r="AE65" s="3">
        <v>19419</v>
      </c>
      <c r="AF65" s="3">
        <v>20451</v>
      </c>
      <c r="AG65" s="3">
        <v>19789</v>
      </c>
      <c r="AH65" s="3">
        <v>19350</v>
      </c>
      <c r="AI65" s="3">
        <v>17764</v>
      </c>
      <c r="AJ65" s="3">
        <v>19899</v>
      </c>
      <c r="AK65" s="3">
        <v>17407</v>
      </c>
      <c r="AL65" s="3">
        <v>15368</v>
      </c>
      <c r="AM65" s="3">
        <v>15206</v>
      </c>
      <c r="AN65" s="3">
        <v>13873</v>
      </c>
      <c r="AO65" s="3">
        <v>15016</v>
      </c>
      <c r="AP65" s="3">
        <v>14365</v>
      </c>
      <c r="AQ65" s="3">
        <v>19047</v>
      </c>
      <c r="AR65" s="3">
        <v>15063</v>
      </c>
      <c r="AS65" s="3">
        <v>15243</v>
      </c>
      <c r="AT65" s="3">
        <v>16085</v>
      </c>
      <c r="AU65" s="3">
        <v>16011</v>
      </c>
      <c r="AV65" s="3">
        <v>17142</v>
      </c>
      <c r="AW65" s="8">
        <v>18625</v>
      </c>
      <c r="AX65" s="3">
        <v>18688</v>
      </c>
      <c r="AY65" s="3">
        <v>42206</v>
      </c>
      <c r="AZ65" s="8">
        <v>45589</v>
      </c>
      <c r="BA65" s="8">
        <v>45548</v>
      </c>
      <c r="BB65" s="8">
        <v>46458</v>
      </c>
      <c r="BC65" s="8">
        <v>51952</v>
      </c>
      <c r="BD65" s="8">
        <v>54355</v>
      </c>
      <c r="BE65" s="8">
        <v>66130</v>
      </c>
      <c r="BF65" s="8">
        <v>72093</v>
      </c>
      <c r="BG65" s="8">
        <v>54332</v>
      </c>
      <c r="BH65" s="8">
        <v>54873</v>
      </c>
      <c r="BI65" s="8">
        <v>57261</v>
      </c>
      <c r="BJ65" s="8">
        <v>62802</v>
      </c>
      <c r="BK65" s="8">
        <v>40038</v>
      </c>
    </row>
    <row r="66" spans="1:63" x14ac:dyDescent="0.25">
      <c r="A66" s="22"/>
      <c r="B66" s="6" t="s">
        <v>2</v>
      </c>
      <c r="C66" s="3">
        <v>9775</v>
      </c>
      <c r="D66" s="3">
        <v>11731</v>
      </c>
      <c r="E66" s="3">
        <v>13686</v>
      </c>
      <c r="F66" s="3">
        <v>9820</v>
      </c>
      <c r="G66" s="3">
        <v>17596</v>
      </c>
      <c r="H66" s="3">
        <v>19551</v>
      </c>
      <c r="I66" s="3">
        <v>21506</v>
      </c>
      <c r="J66" s="3">
        <v>19963</v>
      </c>
      <c r="K66" s="3">
        <v>26815</v>
      </c>
      <c r="L66" s="3">
        <v>24150</v>
      </c>
      <c r="M66" s="3">
        <v>26204</v>
      </c>
      <c r="N66" s="3">
        <v>29823</v>
      </c>
      <c r="O66" s="3">
        <v>31829</v>
      </c>
      <c r="P66" s="3">
        <v>32617</v>
      </c>
      <c r="Q66" s="3">
        <v>25982</v>
      </c>
      <c r="R66" s="3"/>
      <c r="S66" s="3"/>
      <c r="T66" s="3"/>
      <c r="U66" s="3">
        <v>26757</v>
      </c>
      <c r="V66" s="3">
        <v>26861</v>
      </c>
      <c r="W66" s="3">
        <v>27479</v>
      </c>
      <c r="X66" s="3">
        <v>27877</v>
      </c>
      <c r="Y66" s="3">
        <v>24897</v>
      </c>
      <c r="Z66" s="3">
        <v>27049</v>
      </c>
      <c r="AA66" s="3">
        <v>27731</v>
      </c>
      <c r="AB66" s="3">
        <v>27279</v>
      </c>
      <c r="AC66" s="3">
        <v>26490</v>
      </c>
      <c r="AD66" s="3">
        <v>27404</v>
      </c>
      <c r="AE66" s="3">
        <v>27541</v>
      </c>
      <c r="AF66" s="3">
        <v>33996</v>
      </c>
      <c r="AG66" s="3">
        <v>32980</v>
      </c>
      <c r="AH66" s="3">
        <v>32883</v>
      </c>
      <c r="AI66" s="3">
        <v>32905</v>
      </c>
      <c r="AJ66" s="3">
        <v>36133</v>
      </c>
      <c r="AK66" s="3">
        <v>36805</v>
      </c>
      <c r="AL66" s="3">
        <v>36552</v>
      </c>
      <c r="AM66" s="3">
        <v>36189</v>
      </c>
      <c r="AN66" s="3">
        <v>37096</v>
      </c>
      <c r="AO66" s="3">
        <v>36279</v>
      </c>
      <c r="AP66" s="3">
        <v>38742</v>
      </c>
      <c r="AQ66" s="3">
        <v>37896</v>
      </c>
      <c r="AR66" s="3">
        <v>37672</v>
      </c>
      <c r="AS66" s="3">
        <v>38080</v>
      </c>
      <c r="AT66" s="3">
        <v>38696</v>
      </c>
      <c r="AU66" s="3">
        <v>39025</v>
      </c>
      <c r="AV66" s="3">
        <v>38726</v>
      </c>
      <c r="AW66" s="8">
        <v>44847</v>
      </c>
      <c r="AX66" s="3">
        <v>45135</v>
      </c>
      <c r="AY66" s="3">
        <v>48149</v>
      </c>
      <c r="AZ66" s="8">
        <v>42555</v>
      </c>
      <c r="BA66" s="8">
        <v>38337</v>
      </c>
      <c r="BB66" s="8">
        <v>38896</v>
      </c>
      <c r="BC66" s="8">
        <v>42725</v>
      </c>
      <c r="BD66" s="8">
        <v>45493</v>
      </c>
      <c r="BE66" s="8">
        <v>9585</v>
      </c>
      <c r="BF66" s="8">
        <v>8587</v>
      </c>
      <c r="BG66" s="8">
        <v>10437</v>
      </c>
      <c r="BH66" s="8">
        <v>14643</v>
      </c>
      <c r="BI66" s="8">
        <v>9940</v>
      </c>
      <c r="BJ66" s="8">
        <v>16237</v>
      </c>
      <c r="BK66" s="8">
        <v>16013</v>
      </c>
    </row>
    <row r="67" spans="1:63" x14ac:dyDescent="0.25">
      <c r="A67" s="22"/>
      <c r="B67" s="6" t="s">
        <v>42</v>
      </c>
      <c r="C67" s="3">
        <v>4000</v>
      </c>
      <c r="D67" s="3">
        <v>1524</v>
      </c>
      <c r="E67" s="3">
        <v>1406</v>
      </c>
      <c r="F67" s="3">
        <v>4000</v>
      </c>
      <c r="G67" s="3">
        <v>4000</v>
      </c>
      <c r="H67" s="3">
        <v>4000</v>
      </c>
      <c r="I67" s="3">
        <v>4000</v>
      </c>
      <c r="J67" s="3">
        <v>4000</v>
      </c>
      <c r="K67" s="3">
        <v>4000</v>
      </c>
      <c r="L67" s="3">
        <v>4000</v>
      </c>
      <c r="M67" s="3">
        <v>4000</v>
      </c>
      <c r="N67" s="3">
        <v>4000</v>
      </c>
      <c r="O67" s="3">
        <v>4000</v>
      </c>
      <c r="P67" s="3">
        <v>4000</v>
      </c>
      <c r="Q67" s="3">
        <v>8652</v>
      </c>
      <c r="R67" s="3"/>
      <c r="S67" s="3"/>
      <c r="T67" s="3"/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8">
        <v>0</v>
      </c>
      <c r="AX67" s="3">
        <v>0</v>
      </c>
      <c r="AY67" s="3">
        <v>0</v>
      </c>
      <c r="AZ67" s="8"/>
      <c r="BA67" s="8"/>
      <c r="BB67" s="8"/>
      <c r="BD67" s="8"/>
      <c r="BE67" s="8"/>
      <c r="BF67" s="8"/>
      <c r="BG67" s="8"/>
      <c r="BH67" s="8"/>
      <c r="BI67" s="8"/>
      <c r="BJ67" s="8"/>
      <c r="BK67" s="8"/>
    </row>
    <row r="68" spans="1:63" x14ac:dyDescent="0.25">
      <c r="A68" s="22"/>
      <c r="B68" s="6" t="s">
        <v>50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593</v>
      </c>
      <c r="O68" s="3">
        <v>3840</v>
      </c>
      <c r="P68" s="3">
        <v>0</v>
      </c>
      <c r="Q68" s="3">
        <v>0</v>
      </c>
      <c r="R68" s="3"/>
      <c r="S68" s="3"/>
      <c r="T68" s="3"/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8">
        <v>0</v>
      </c>
      <c r="AX68" s="3">
        <v>0</v>
      </c>
      <c r="AY68" s="3">
        <v>0</v>
      </c>
      <c r="AZ68" s="8"/>
      <c r="BA68" s="8"/>
      <c r="BB68" s="8"/>
    </row>
    <row r="69" spans="1:63" x14ac:dyDescent="0.25">
      <c r="A69" s="22"/>
      <c r="B69" s="6" t="s">
        <v>34</v>
      </c>
      <c r="C69" s="3">
        <v>3692</v>
      </c>
      <c r="D69" s="3">
        <v>4000</v>
      </c>
      <c r="E69" s="3">
        <v>4000</v>
      </c>
      <c r="F69" s="3">
        <v>6435</v>
      </c>
      <c r="G69" s="3">
        <v>5839</v>
      </c>
      <c r="H69" s="3">
        <v>3763</v>
      </c>
      <c r="I69" s="3">
        <v>2970</v>
      </c>
      <c r="J69" s="3">
        <v>2995</v>
      </c>
      <c r="K69" s="3">
        <v>2693</v>
      </c>
      <c r="L69" s="3">
        <v>2545</v>
      </c>
      <c r="M69" s="3">
        <v>1394</v>
      </c>
      <c r="N69" s="3">
        <v>1092</v>
      </c>
      <c r="O69" s="3">
        <v>91</v>
      </c>
      <c r="P69" s="3">
        <v>59</v>
      </c>
      <c r="Q69" s="3">
        <v>921</v>
      </c>
      <c r="R69" s="3"/>
      <c r="S69" s="3"/>
      <c r="T69" s="3"/>
      <c r="U69" s="3">
        <v>4037</v>
      </c>
      <c r="V69" s="3">
        <v>2673</v>
      </c>
      <c r="W69" s="3">
        <v>3462</v>
      </c>
      <c r="X69" s="3">
        <v>3906</v>
      </c>
      <c r="Y69" s="3">
        <v>4062</v>
      </c>
      <c r="Z69" s="3">
        <v>4406</v>
      </c>
      <c r="AA69" s="3">
        <v>4528</v>
      </c>
      <c r="AB69" s="3">
        <v>5243</v>
      </c>
      <c r="AC69" s="3">
        <v>7856</v>
      </c>
      <c r="AD69" s="3">
        <v>8214</v>
      </c>
      <c r="AE69" s="3">
        <v>11644</v>
      </c>
      <c r="AF69" s="3">
        <v>9771</v>
      </c>
      <c r="AG69" s="3">
        <v>10274</v>
      </c>
      <c r="AH69" s="3">
        <v>20690</v>
      </c>
      <c r="AI69" s="3">
        <v>20155</v>
      </c>
      <c r="AJ69" s="3">
        <v>14587</v>
      </c>
      <c r="AK69" s="3">
        <v>17141</v>
      </c>
      <c r="AL69" s="3">
        <v>17498</v>
      </c>
      <c r="AM69" s="3">
        <v>18860</v>
      </c>
      <c r="AN69" s="3">
        <v>24224</v>
      </c>
      <c r="AO69" s="3">
        <v>24297</v>
      </c>
      <c r="AP69" s="3">
        <v>20075</v>
      </c>
      <c r="AQ69" s="3">
        <v>23141</v>
      </c>
      <c r="AR69" s="3">
        <v>51577</v>
      </c>
      <c r="AS69" s="3">
        <v>46478</v>
      </c>
      <c r="AT69" s="3">
        <v>56740</v>
      </c>
      <c r="AU69" s="3">
        <v>63122</v>
      </c>
      <c r="AV69" s="3">
        <v>80864</v>
      </c>
      <c r="AW69" s="8">
        <v>50600</v>
      </c>
      <c r="AX69" s="3">
        <v>59665</v>
      </c>
      <c r="AY69" s="3">
        <v>38434.000000000007</v>
      </c>
      <c r="AZ69" s="8">
        <v>41865.999999999993</v>
      </c>
      <c r="BA69" s="8">
        <v>32709</v>
      </c>
      <c r="BB69" s="8">
        <v>43995</v>
      </c>
      <c r="BC69" s="8">
        <v>45643</v>
      </c>
      <c r="BD69" s="8">
        <v>45434</v>
      </c>
      <c r="BE69" s="8">
        <v>25900</v>
      </c>
      <c r="BF69" s="8">
        <v>24907</v>
      </c>
      <c r="BG69" s="8">
        <v>82721</v>
      </c>
      <c r="BH69" s="8">
        <v>69113</v>
      </c>
      <c r="BI69" s="8">
        <v>56602</v>
      </c>
      <c r="BJ69" s="8">
        <v>54441</v>
      </c>
      <c r="BK69" s="8">
        <v>48388</v>
      </c>
    </row>
    <row r="70" spans="1:63" x14ac:dyDescent="0.25">
      <c r="A70" s="22"/>
      <c r="B70" s="6" t="s">
        <v>102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8"/>
      <c r="AX70" s="3"/>
      <c r="AY70" s="3"/>
      <c r="AZ70" s="8"/>
      <c r="BA70" s="8"/>
      <c r="BB70" s="8"/>
      <c r="BC70" s="8">
        <v>0</v>
      </c>
    </row>
    <row r="71" spans="1:63" x14ac:dyDescent="0.25">
      <c r="A71" s="22"/>
      <c r="B71" s="7"/>
      <c r="C71" s="14">
        <f t="shared" ref="C71:Q71" si="23">SUM(C62:C69)</f>
        <v>232908</v>
      </c>
      <c r="D71" s="14">
        <f t="shared" si="23"/>
        <v>190857</v>
      </c>
      <c r="E71" s="14">
        <f t="shared" si="23"/>
        <v>197365</v>
      </c>
      <c r="F71" s="14">
        <f t="shared" si="23"/>
        <v>157777</v>
      </c>
      <c r="G71" s="14">
        <f t="shared" si="23"/>
        <v>162426</v>
      </c>
      <c r="H71" s="14">
        <f t="shared" si="23"/>
        <v>125370</v>
      </c>
      <c r="I71" s="14">
        <f t="shared" si="23"/>
        <v>126198</v>
      </c>
      <c r="J71" s="14">
        <f t="shared" si="23"/>
        <v>189347</v>
      </c>
      <c r="K71" s="14">
        <f t="shared" si="23"/>
        <v>192891</v>
      </c>
      <c r="L71" s="14">
        <f t="shared" si="23"/>
        <v>153713</v>
      </c>
      <c r="M71" s="14">
        <f t="shared" si="23"/>
        <v>153183</v>
      </c>
      <c r="N71" s="14">
        <f t="shared" si="23"/>
        <v>312082</v>
      </c>
      <c r="O71" s="14">
        <f t="shared" si="23"/>
        <v>324313</v>
      </c>
      <c r="P71" s="14">
        <f t="shared" si="23"/>
        <v>452163</v>
      </c>
      <c r="Q71" s="14">
        <f t="shared" si="23"/>
        <v>453500</v>
      </c>
      <c r="R71" s="13"/>
      <c r="S71" s="13"/>
      <c r="T71" s="13"/>
      <c r="U71" s="14">
        <f t="shared" ref="U71:AZ71" si="24">SUM(U62:U69)</f>
        <v>438261</v>
      </c>
      <c r="V71" s="14">
        <f t="shared" si="24"/>
        <v>440356</v>
      </c>
      <c r="W71" s="14">
        <f t="shared" si="24"/>
        <v>400005</v>
      </c>
      <c r="X71" s="14">
        <f t="shared" si="24"/>
        <v>388368</v>
      </c>
      <c r="Y71" s="14">
        <f t="shared" si="24"/>
        <v>405815</v>
      </c>
      <c r="Z71" s="14">
        <f t="shared" si="24"/>
        <v>466693</v>
      </c>
      <c r="AA71" s="14">
        <f t="shared" si="24"/>
        <v>595704</v>
      </c>
      <c r="AB71" s="14">
        <f t="shared" si="24"/>
        <v>686632</v>
      </c>
      <c r="AC71" s="14">
        <f t="shared" si="24"/>
        <v>640549</v>
      </c>
      <c r="AD71" s="14">
        <f t="shared" si="24"/>
        <v>599585</v>
      </c>
      <c r="AE71" s="14">
        <f t="shared" si="24"/>
        <v>360266</v>
      </c>
      <c r="AF71" s="14">
        <f t="shared" si="24"/>
        <v>576477</v>
      </c>
      <c r="AG71" s="14">
        <f t="shared" si="24"/>
        <v>538464</v>
      </c>
      <c r="AH71" s="14">
        <f t="shared" si="24"/>
        <v>528007</v>
      </c>
      <c r="AI71" s="14">
        <f t="shared" si="24"/>
        <v>698615</v>
      </c>
      <c r="AJ71" s="14">
        <f t="shared" si="24"/>
        <v>673919</v>
      </c>
      <c r="AK71" s="14">
        <f t="shared" si="24"/>
        <v>620952</v>
      </c>
      <c r="AL71" s="14">
        <f t="shared" si="24"/>
        <v>612010</v>
      </c>
      <c r="AM71" s="14">
        <f t="shared" si="24"/>
        <v>750361</v>
      </c>
      <c r="AN71" s="14">
        <f t="shared" si="24"/>
        <v>755227</v>
      </c>
      <c r="AO71" s="14">
        <f t="shared" si="24"/>
        <v>693030</v>
      </c>
      <c r="AP71" s="14">
        <f t="shared" si="24"/>
        <v>782889</v>
      </c>
      <c r="AQ71" s="14">
        <f t="shared" si="24"/>
        <v>800995</v>
      </c>
      <c r="AR71" s="14">
        <f t="shared" si="24"/>
        <v>854745</v>
      </c>
      <c r="AS71" s="14">
        <f t="shared" si="24"/>
        <v>769499</v>
      </c>
      <c r="AT71" s="14">
        <f t="shared" si="24"/>
        <v>868030</v>
      </c>
      <c r="AU71" s="14">
        <f t="shared" si="24"/>
        <v>864635</v>
      </c>
      <c r="AV71" s="14">
        <f t="shared" si="24"/>
        <v>855769</v>
      </c>
      <c r="AW71" s="14">
        <f t="shared" si="24"/>
        <v>665557</v>
      </c>
      <c r="AX71" s="14">
        <f t="shared" si="24"/>
        <v>745234</v>
      </c>
      <c r="AY71" s="14">
        <f t="shared" si="24"/>
        <v>980781</v>
      </c>
      <c r="AZ71" s="14">
        <f t="shared" si="24"/>
        <v>931771</v>
      </c>
      <c r="BA71" s="14">
        <v>936949</v>
      </c>
      <c r="BB71" s="14">
        <v>863095</v>
      </c>
      <c r="BC71" s="14">
        <v>904898</v>
      </c>
      <c r="BD71" s="14">
        <v>898706</v>
      </c>
      <c r="BE71" s="14">
        <v>688460</v>
      </c>
      <c r="BF71" s="14">
        <v>665447</v>
      </c>
      <c r="BG71" s="14">
        <v>667112</v>
      </c>
      <c r="BH71" s="14">
        <v>612309</v>
      </c>
      <c r="BI71" s="14">
        <v>663187</v>
      </c>
      <c r="BJ71" s="14">
        <v>652024</v>
      </c>
      <c r="BK71" s="14">
        <f>SUM(BK62:BK70)</f>
        <v>598590</v>
      </c>
    </row>
    <row r="72" spans="1:63" x14ac:dyDescent="0.25">
      <c r="A72" s="22"/>
      <c r="AZ72" s="8"/>
      <c r="BA72" s="8"/>
      <c r="BB72" s="8"/>
    </row>
    <row r="73" spans="1:63" x14ac:dyDescent="0.25">
      <c r="A73" s="22"/>
      <c r="B73" s="5" t="s">
        <v>23</v>
      </c>
      <c r="N73" s="18"/>
      <c r="O73" s="18"/>
      <c r="AZ73" s="8"/>
      <c r="BA73" s="8"/>
      <c r="BB73" s="8"/>
      <c r="BD73" s="8"/>
      <c r="BE73" s="8"/>
      <c r="BF73" s="8"/>
      <c r="BG73" s="8"/>
      <c r="BH73" s="8"/>
      <c r="BI73" s="8"/>
      <c r="BJ73" s="8"/>
      <c r="BK73" s="8"/>
    </row>
    <row r="74" spans="1:63" x14ac:dyDescent="0.25">
      <c r="A74" s="22"/>
      <c r="B74" s="6" t="s">
        <v>24</v>
      </c>
      <c r="C74" s="3">
        <v>260000</v>
      </c>
      <c r="D74" s="3">
        <v>260000</v>
      </c>
      <c r="E74" s="3">
        <v>260000</v>
      </c>
      <c r="F74" s="3">
        <v>260000</v>
      </c>
      <c r="G74" s="3">
        <v>260000</v>
      </c>
      <c r="H74" s="3">
        <v>360000</v>
      </c>
      <c r="I74" s="3">
        <v>360000</v>
      </c>
      <c r="J74" s="3">
        <v>360000</v>
      </c>
      <c r="K74" s="3">
        <v>360000</v>
      </c>
      <c r="L74" s="3">
        <v>360000</v>
      </c>
      <c r="M74" s="3">
        <v>360000</v>
      </c>
      <c r="N74" s="3">
        <v>360000</v>
      </c>
      <c r="O74" s="3">
        <v>360000</v>
      </c>
      <c r="P74" s="3">
        <v>360000</v>
      </c>
      <c r="Q74" s="3">
        <v>360000</v>
      </c>
      <c r="R74" s="3"/>
      <c r="S74" s="3"/>
      <c r="T74" s="3"/>
      <c r="U74" s="3">
        <v>360000</v>
      </c>
      <c r="V74" s="3">
        <v>360000</v>
      </c>
      <c r="W74" s="3">
        <v>360000</v>
      </c>
      <c r="X74" s="3">
        <v>360000</v>
      </c>
      <c r="Y74" s="3">
        <v>360000</v>
      </c>
      <c r="Z74" s="3">
        <v>360000</v>
      </c>
      <c r="AA74" s="3">
        <v>360000</v>
      </c>
      <c r="AB74" s="3">
        <v>740820</v>
      </c>
      <c r="AC74" s="3">
        <v>740820</v>
      </c>
      <c r="AD74" s="3">
        <v>740820</v>
      </c>
      <c r="AE74" s="3">
        <v>740820</v>
      </c>
      <c r="AF74" s="3">
        <v>740820</v>
      </c>
      <c r="AG74" s="3">
        <v>740820</v>
      </c>
      <c r="AH74" s="3">
        <v>740820</v>
      </c>
      <c r="AI74" s="3">
        <v>904508</v>
      </c>
      <c r="AJ74" s="3">
        <v>904508</v>
      </c>
      <c r="AK74" s="3">
        <v>904508</v>
      </c>
      <c r="AL74" s="3">
        <v>904508</v>
      </c>
      <c r="AM74" s="3">
        <v>904508</v>
      </c>
      <c r="AN74" s="3">
        <v>904508</v>
      </c>
      <c r="AO74" s="3">
        <v>904508</v>
      </c>
      <c r="AP74" s="3">
        <v>904508</v>
      </c>
      <c r="AQ74" s="3">
        <v>904508</v>
      </c>
      <c r="AR74" s="3">
        <v>904508</v>
      </c>
      <c r="AS74" s="3">
        <v>904508</v>
      </c>
      <c r="AT74" s="3">
        <v>904508</v>
      </c>
      <c r="AU74" s="3">
        <v>904508</v>
      </c>
      <c r="AV74" s="3">
        <v>904508</v>
      </c>
      <c r="AW74" s="8">
        <v>904508</v>
      </c>
      <c r="AX74" s="3">
        <v>1003513</v>
      </c>
      <c r="AY74" s="3">
        <v>1003513</v>
      </c>
      <c r="AZ74" s="8">
        <v>1003527</v>
      </c>
      <c r="BA74" s="8">
        <v>1003527</v>
      </c>
      <c r="BB74" s="8">
        <v>1007849</v>
      </c>
      <c r="BC74" s="8">
        <v>1007849</v>
      </c>
      <c r="BD74" s="8">
        <v>1022370</v>
      </c>
      <c r="BE74" s="8">
        <v>1022370</v>
      </c>
      <c r="BF74" s="8">
        <v>1022370</v>
      </c>
      <c r="BG74" s="8">
        <v>1022370</v>
      </c>
      <c r="BH74" s="8">
        <v>1022370</v>
      </c>
      <c r="BI74" s="8">
        <v>1022370</v>
      </c>
      <c r="BJ74" s="8">
        <v>1022370</v>
      </c>
      <c r="BK74" s="8">
        <v>1022370</v>
      </c>
    </row>
    <row r="75" spans="1:63" x14ac:dyDescent="0.25">
      <c r="A75" s="22"/>
      <c r="B75" s="6" t="s">
        <v>63</v>
      </c>
      <c r="C75" s="3">
        <v>-3301</v>
      </c>
      <c r="D75" s="3">
        <v>-7031</v>
      </c>
      <c r="E75" s="3">
        <v>-8365</v>
      </c>
      <c r="F75" s="3">
        <v>-1199</v>
      </c>
      <c r="G75" s="3">
        <v>-4543</v>
      </c>
      <c r="H75" s="3">
        <v>-8036</v>
      </c>
      <c r="I75" s="3">
        <v>-25092</v>
      </c>
      <c r="J75" s="3">
        <v>-7485</v>
      </c>
      <c r="K75" s="3">
        <v>-3968</v>
      </c>
      <c r="L75" s="3">
        <v>-3787</v>
      </c>
      <c r="M75" s="3">
        <v>-4346</v>
      </c>
      <c r="N75" s="3">
        <v>-4346</v>
      </c>
      <c r="O75" s="3">
        <v>-4346</v>
      </c>
      <c r="P75" s="3">
        <v>-2991</v>
      </c>
      <c r="Q75" s="3">
        <v>-2991</v>
      </c>
      <c r="R75" s="3"/>
      <c r="S75" s="3"/>
      <c r="T75" s="3"/>
      <c r="U75" s="3">
        <v>-2991</v>
      </c>
      <c r="V75" s="3">
        <f>-2991+1791</f>
        <v>-1200</v>
      </c>
      <c r="W75" s="3">
        <f>-2682+2053</f>
        <v>-629</v>
      </c>
      <c r="X75" s="3">
        <v>-629</v>
      </c>
      <c r="Y75" s="3">
        <v>-629</v>
      </c>
      <c r="Z75" s="3">
        <f>-2057+2821</f>
        <v>764</v>
      </c>
      <c r="AA75" s="3">
        <f>-2057+2821</f>
        <v>764</v>
      </c>
      <c r="AB75" s="19">
        <f>-1831+3121</f>
        <v>1290</v>
      </c>
      <c r="AC75" s="19">
        <f>-1718+3083</f>
        <v>1365</v>
      </c>
      <c r="AD75" s="19">
        <v>1365</v>
      </c>
      <c r="AE75" s="19">
        <v>1987</v>
      </c>
      <c r="AF75" s="19">
        <f>8098-AF76</f>
        <v>1987</v>
      </c>
      <c r="AG75" s="20">
        <v>-1345</v>
      </c>
      <c r="AH75" s="20">
        <v>0</v>
      </c>
      <c r="AI75" s="20">
        <v>-11746</v>
      </c>
      <c r="AJ75" s="20">
        <v>-13073</v>
      </c>
      <c r="AK75" s="20">
        <v>-13073</v>
      </c>
      <c r="AL75" s="20">
        <v>-14949</v>
      </c>
      <c r="AM75" s="20">
        <v>-14949</v>
      </c>
      <c r="AN75" s="20">
        <v>-15061</v>
      </c>
      <c r="AO75" s="20">
        <v>-14889</v>
      </c>
      <c r="AP75" s="20">
        <v>-14889</v>
      </c>
      <c r="AQ75" s="20">
        <v>-14889</v>
      </c>
      <c r="AR75" s="20">
        <v>-16076</v>
      </c>
      <c r="AS75" s="20">
        <v>-16076</v>
      </c>
      <c r="AT75" s="20">
        <v>-19689</v>
      </c>
      <c r="AU75" s="20">
        <v>-19591</v>
      </c>
      <c r="AV75" s="20">
        <v>-19591</v>
      </c>
      <c r="AW75" s="8">
        <v>-24906</v>
      </c>
      <c r="AX75" s="8">
        <v>-24906</v>
      </c>
      <c r="AY75" s="20">
        <v>0</v>
      </c>
      <c r="AZ75" s="8"/>
      <c r="BA75" s="8"/>
      <c r="BB75" s="8"/>
      <c r="BC75" s="8">
        <v>-42309</v>
      </c>
      <c r="BD75" s="8">
        <v>-42282</v>
      </c>
      <c r="BE75" s="8">
        <v>-25666</v>
      </c>
      <c r="BF75" s="8">
        <v>-25579</v>
      </c>
      <c r="BG75" s="8">
        <v>-25620</v>
      </c>
      <c r="BH75" s="8">
        <v>-25324</v>
      </c>
      <c r="BI75" s="8">
        <v>-25324</v>
      </c>
      <c r="BJ75" s="8">
        <v>-24466</v>
      </c>
      <c r="BK75" s="8">
        <v>-24023</v>
      </c>
    </row>
    <row r="76" spans="1:63" x14ac:dyDescent="0.25">
      <c r="A76" s="22"/>
      <c r="B76" s="6" t="s">
        <v>64</v>
      </c>
      <c r="C76" s="3">
        <v>6089</v>
      </c>
      <c r="D76" s="3">
        <v>6111</v>
      </c>
      <c r="E76" s="3">
        <v>6111</v>
      </c>
      <c r="F76" s="3">
        <v>6111</v>
      </c>
      <c r="G76" s="3">
        <v>6111</v>
      </c>
      <c r="H76" s="3">
        <v>6111</v>
      </c>
      <c r="I76" s="3">
        <v>6111</v>
      </c>
      <c r="J76" s="3">
        <v>6111</v>
      </c>
      <c r="K76" s="3">
        <v>6111</v>
      </c>
      <c r="L76" s="3">
        <v>6111</v>
      </c>
      <c r="M76" s="3">
        <v>6670</v>
      </c>
      <c r="N76" s="3">
        <v>6670</v>
      </c>
      <c r="O76" s="3">
        <v>6670</v>
      </c>
      <c r="P76" s="3">
        <v>7902</v>
      </c>
      <c r="Q76" s="3">
        <v>7902</v>
      </c>
      <c r="R76" s="3"/>
      <c r="S76" s="3"/>
      <c r="T76" s="3"/>
      <c r="U76" s="3">
        <v>7902</v>
      </c>
      <c r="V76" s="3">
        <v>6111</v>
      </c>
      <c r="W76" s="3">
        <v>6111</v>
      </c>
      <c r="X76" s="3">
        <v>6111</v>
      </c>
      <c r="Y76" s="3">
        <v>6111</v>
      </c>
      <c r="Z76" s="3">
        <v>6111</v>
      </c>
      <c r="AA76" s="3">
        <v>6111</v>
      </c>
      <c r="AB76" s="19">
        <v>6111</v>
      </c>
      <c r="AC76" s="19">
        <v>6111</v>
      </c>
      <c r="AD76" s="3">
        <v>6111</v>
      </c>
      <c r="AE76" s="3">
        <v>6111</v>
      </c>
      <c r="AF76" s="3">
        <v>6111</v>
      </c>
      <c r="AG76" s="13">
        <v>9443</v>
      </c>
      <c r="AH76" s="13">
        <v>9443</v>
      </c>
      <c r="AI76" s="13">
        <v>9443</v>
      </c>
      <c r="AJ76" s="13">
        <v>10120</v>
      </c>
      <c r="AK76" s="13">
        <v>10799</v>
      </c>
      <c r="AL76" s="13">
        <v>11477</v>
      </c>
      <c r="AM76" s="13">
        <v>12156</v>
      </c>
      <c r="AN76" s="13">
        <v>9833</v>
      </c>
      <c r="AO76" s="13">
        <v>10400</v>
      </c>
      <c r="AP76" s="13">
        <v>11324</v>
      </c>
      <c r="AQ76" s="13">
        <v>12615</v>
      </c>
      <c r="AR76" s="13">
        <v>12615</v>
      </c>
      <c r="AS76" s="13">
        <v>12615</v>
      </c>
      <c r="AT76" s="13">
        <v>12615</v>
      </c>
      <c r="AU76" s="13">
        <v>12517</v>
      </c>
      <c r="AV76" s="20">
        <v>12517</v>
      </c>
      <c r="AW76" s="8">
        <v>12615</v>
      </c>
      <c r="AX76" s="20">
        <v>0</v>
      </c>
      <c r="AY76" s="8">
        <v>-9017</v>
      </c>
      <c r="AZ76" s="8">
        <v>-4753.9999999999982</v>
      </c>
      <c r="BA76" s="8">
        <v>-10837</v>
      </c>
      <c r="BB76" s="8">
        <v>-18113</v>
      </c>
      <c r="BC76" s="8">
        <v>22452</v>
      </c>
      <c r="BD76" s="8">
        <v>22877</v>
      </c>
      <c r="BE76" s="8">
        <v>24640</v>
      </c>
      <c r="BF76" s="8">
        <v>25058</v>
      </c>
      <c r="BG76" s="8">
        <v>25186</v>
      </c>
      <c r="BH76" s="8">
        <v>27098</v>
      </c>
      <c r="BI76" s="8">
        <v>27936</v>
      </c>
      <c r="BJ76" s="8">
        <v>29605</v>
      </c>
      <c r="BK76" s="8">
        <v>29266</v>
      </c>
    </row>
    <row r="77" spans="1:63" x14ac:dyDescent="0.25">
      <c r="A77" s="22"/>
      <c r="B77" s="6" t="s">
        <v>36</v>
      </c>
      <c r="C77" s="3">
        <v>122849</v>
      </c>
      <c r="D77" s="3">
        <v>122848</v>
      </c>
      <c r="E77" s="3">
        <v>122848</v>
      </c>
      <c r="F77" s="3">
        <v>184946</v>
      </c>
      <c r="G77" s="3">
        <v>184946</v>
      </c>
      <c r="H77" s="3">
        <v>84946</v>
      </c>
      <c r="I77" s="3">
        <v>84946</v>
      </c>
      <c r="J77" s="3">
        <v>79277</v>
      </c>
      <c r="K77" s="3">
        <v>79277</v>
      </c>
      <c r="L77" s="3">
        <v>79277</v>
      </c>
      <c r="M77" s="3">
        <v>79277</v>
      </c>
      <c r="N77" s="3">
        <v>130611</v>
      </c>
      <c r="O77" s="3">
        <v>130611</v>
      </c>
      <c r="P77" s="3">
        <v>130611</v>
      </c>
      <c r="Q77" s="3">
        <v>130611</v>
      </c>
      <c r="R77" s="3"/>
      <c r="S77" s="3"/>
      <c r="T77" s="3"/>
      <c r="U77" s="3">
        <v>157568</v>
      </c>
      <c r="V77" s="3">
        <v>157568</v>
      </c>
      <c r="W77" s="3">
        <v>157568</v>
      </c>
      <c r="X77" s="3">
        <v>157568</v>
      </c>
      <c r="Y77" s="3">
        <v>201197</v>
      </c>
      <c r="Z77" s="3">
        <v>201197</v>
      </c>
      <c r="AA77" s="3">
        <v>201197</v>
      </c>
      <c r="AB77" s="3">
        <v>201197</v>
      </c>
      <c r="AC77" s="3">
        <v>266417</v>
      </c>
      <c r="AD77" s="3">
        <v>266417</v>
      </c>
      <c r="AE77" s="3">
        <v>266417</v>
      </c>
      <c r="AF77" s="3">
        <v>266417</v>
      </c>
      <c r="AG77" s="13">
        <v>298188</v>
      </c>
      <c r="AH77" s="3">
        <v>303961</v>
      </c>
      <c r="AI77" s="3">
        <v>134500</v>
      </c>
      <c r="AJ77" s="3">
        <v>134500</v>
      </c>
      <c r="AK77" s="13">
        <v>137507</v>
      </c>
      <c r="AL77" s="3">
        <v>127176</v>
      </c>
      <c r="AM77" s="3">
        <v>127176</v>
      </c>
      <c r="AN77" s="3">
        <v>136355</v>
      </c>
      <c r="AO77" s="3">
        <v>180697</v>
      </c>
      <c r="AP77" s="3">
        <v>182536</v>
      </c>
      <c r="AQ77" s="3">
        <v>184691</v>
      </c>
      <c r="AR77" s="3">
        <v>186753</v>
      </c>
      <c r="AS77" s="3">
        <v>193777</v>
      </c>
      <c r="AT77" s="3">
        <v>195241</v>
      </c>
      <c r="AU77" s="3">
        <v>196557</v>
      </c>
      <c r="AV77" s="3">
        <v>197642</v>
      </c>
      <c r="AW77" s="8">
        <v>199614</v>
      </c>
      <c r="AX77" s="20">
        <v>14388</v>
      </c>
      <c r="AY77" s="20">
        <v>5070</v>
      </c>
      <c r="AZ77" s="8">
        <v>6892</v>
      </c>
      <c r="BA77" s="8">
        <v>45774</v>
      </c>
      <c r="BB77" s="8">
        <v>48477</v>
      </c>
      <c r="BC77" s="8">
        <v>51638</v>
      </c>
      <c r="BD77" s="8">
        <v>56033</v>
      </c>
      <c r="BE77" s="8">
        <v>38713</v>
      </c>
      <c r="BF77" s="8">
        <v>41164</v>
      </c>
      <c r="BG77" s="8">
        <v>46864</v>
      </c>
      <c r="BH77" s="8">
        <v>52595</v>
      </c>
      <c r="BI77" s="8">
        <v>221770</v>
      </c>
      <c r="BJ77" s="8">
        <v>194016</v>
      </c>
      <c r="BK77" s="8">
        <v>195758</v>
      </c>
    </row>
    <row r="78" spans="1:63" x14ac:dyDescent="0.25">
      <c r="B78" s="6" t="s">
        <v>37</v>
      </c>
      <c r="C78" s="3">
        <v>-1607</v>
      </c>
      <c r="D78" s="3">
        <v>-2547</v>
      </c>
      <c r="E78" s="3">
        <v>-2345</v>
      </c>
      <c r="F78" s="3">
        <v>-3279</v>
      </c>
      <c r="G78" s="3">
        <v>-2713</v>
      </c>
      <c r="H78" s="3">
        <v>-3615</v>
      </c>
      <c r="I78" s="3">
        <v>530</v>
      </c>
      <c r="J78" s="3">
        <v>-504</v>
      </c>
      <c r="K78" s="3">
        <v>-717</v>
      </c>
      <c r="L78" s="3">
        <v>-1287</v>
      </c>
      <c r="M78" s="3">
        <v>-647</v>
      </c>
      <c r="N78" s="3">
        <v>1028</v>
      </c>
      <c r="O78" s="3">
        <v>-2066</v>
      </c>
      <c r="P78" s="3">
        <v>5602</v>
      </c>
      <c r="Q78" s="3">
        <v>9243</v>
      </c>
      <c r="R78" s="3"/>
      <c r="S78" s="3"/>
      <c r="T78" s="3"/>
      <c r="U78" s="3">
        <v>13039</v>
      </c>
      <c r="V78" s="3">
        <v>6263</v>
      </c>
      <c r="W78" s="3">
        <v>3299</v>
      </c>
      <c r="X78" s="3">
        <v>7455</v>
      </c>
      <c r="Y78" s="3">
        <v>13644</v>
      </c>
      <c r="Z78" s="3">
        <v>26827</v>
      </c>
      <c r="AA78" s="3">
        <v>24488</v>
      </c>
      <c r="AB78" s="3">
        <v>65578</v>
      </c>
      <c r="AC78" s="3">
        <v>34949</v>
      </c>
      <c r="AD78" s="3">
        <v>-9606</v>
      </c>
      <c r="AE78" s="3">
        <v>-73521</v>
      </c>
      <c r="AF78" s="3">
        <v>-65658</v>
      </c>
      <c r="AG78" s="13">
        <v>-77227</v>
      </c>
      <c r="AH78" s="3">
        <v>-89137</v>
      </c>
      <c r="AI78" s="3">
        <v>-62402</v>
      </c>
      <c r="AJ78" s="3">
        <v>-89792</v>
      </c>
      <c r="AK78" s="3">
        <v>-71317</v>
      </c>
      <c r="AL78" s="3">
        <v>-72828</v>
      </c>
      <c r="AM78" s="3">
        <v>-3569</v>
      </c>
      <c r="AN78" s="3">
        <v>10213</v>
      </c>
      <c r="AO78" s="3">
        <v>-8808</v>
      </c>
      <c r="AP78" s="3">
        <v>-10740</v>
      </c>
      <c r="AQ78" s="3">
        <v>-18787</v>
      </c>
      <c r="AR78" s="3">
        <v>21309</v>
      </c>
      <c r="AS78" s="3">
        <v>4041</v>
      </c>
      <c r="AT78" s="3">
        <v>146680</v>
      </c>
      <c r="AU78" s="3">
        <v>203104</v>
      </c>
      <c r="AV78" s="3">
        <v>225035</v>
      </c>
      <c r="AW78" s="8">
        <v>173502</v>
      </c>
      <c r="AX78" s="3">
        <v>223165</v>
      </c>
      <c r="AY78" s="3">
        <v>150276</v>
      </c>
      <c r="AZ78" s="8">
        <v>202483</v>
      </c>
      <c r="BA78" s="8">
        <v>220340</v>
      </c>
      <c r="BB78" s="8">
        <v>124545</v>
      </c>
      <c r="BC78" s="8">
        <v>187446</v>
      </c>
      <c r="BD78" s="8">
        <v>214751</v>
      </c>
      <c r="BE78" s="8">
        <v>175310</v>
      </c>
      <c r="BF78" s="8">
        <v>156501</v>
      </c>
      <c r="BG78" s="8">
        <v>120530</v>
      </c>
      <c r="BH78" s="8">
        <v>134762</v>
      </c>
      <c r="BI78" s="8">
        <v>27065</v>
      </c>
      <c r="BJ78" s="8">
        <v>144869</v>
      </c>
      <c r="BK78" s="8">
        <v>229881</v>
      </c>
    </row>
    <row r="79" spans="1:63" x14ac:dyDescent="0.25">
      <c r="A79" s="22"/>
      <c r="B79" s="6" t="s">
        <v>38</v>
      </c>
      <c r="C79" s="3">
        <v>0</v>
      </c>
      <c r="D79" s="3">
        <v>0</v>
      </c>
      <c r="E79" s="3">
        <v>0</v>
      </c>
      <c r="F79" s="3">
        <v>8471</v>
      </c>
      <c r="G79" s="3">
        <v>8471</v>
      </c>
      <c r="H79" s="3">
        <v>0</v>
      </c>
      <c r="I79" s="3">
        <v>0</v>
      </c>
      <c r="J79" s="3">
        <v>65911</v>
      </c>
      <c r="K79" s="3">
        <v>65911</v>
      </c>
      <c r="L79" s="3">
        <v>12771</v>
      </c>
      <c r="M79" s="3">
        <v>0</v>
      </c>
      <c r="N79" s="3">
        <v>18486</v>
      </c>
      <c r="O79" s="3">
        <v>18486</v>
      </c>
      <c r="P79" s="3">
        <v>0</v>
      </c>
      <c r="Q79" s="3">
        <v>0</v>
      </c>
      <c r="R79" s="3"/>
      <c r="S79" s="3"/>
      <c r="T79" s="3"/>
      <c r="U79" s="3">
        <v>7952</v>
      </c>
      <c r="V79" s="3">
        <v>7952</v>
      </c>
      <c r="W79" s="3">
        <v>0</v>
      </c>
      <c r="X79" s="3">
        <v>0</v>
      </c>
      <c r="Y79" s="3">
        <v>10238</v>
      </c>
      <c r="Z79" s="3">
        <v>10238</v>
      </c>
      <c r="AA79" s="3">
        <v>0</v>
      </c>
      <c r="AB79" s="3">
        <v>0</v>
      </c>
      <c r="AC79" s="3">
        <v>16094</v>
      </c>
      <c r="AD79" s="3">
        <v>16094</v>
      </c>
      <c r="AE79" s="3">
        <v>0</v>
      </c>
      <c r="AF79" s="3">
        <v>0</v>
      </c>
      <c r="AG79" s="13">
        <v>10842</v>
      </c>
      <c r="AH79" s="3">
        <v>0</v>
      </c>
      <c r="AI79" s="3">
        <v>0</v>
      </c>
      <c r="AJ79" s="3">
        <v>0</v>
      </c>
      <c r="AK79" s="3">
        <v>10577</v>
      </c>
      <c r="AL79" s="3">
        <v>10577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8">
        <v>0</v>
      </c>
      <c r="AX79" s="3">
        <v>0</v>
      </c>
      <c r="AY79" s="3">
        <v>0</v>
      </c>
      <c r="AZ79" s="8"/>
      <c r="BA79" s="8"/>
      <c r="BB79" s="8"/>
      <c r="BD79" s="8"/>
      <c r="BE79" s="8"/>
      <c r="BF79" s="8"/>
      <c r="BG79" s="8"/>
      <c r="BH79" s="8"/>
      <c r="BI79" s="8">
        <v>24646</v>
      </c>
      <c r="BJ79" s="8">
        <v>24646</v>
      </c>
      <c r="BK79" s="8">
        <v>0</v>
      </c>
    </row>
    <row r="80" spans="1:63" x14ac:dyDescent="0.25">
      <c r="A80" s="22"/>
      <c r="B80" s="6" t="s">
        <v>51</v>
      </c>
      <c r="C80" s="3">
        <v>17042</v>
      </c>
      <c r="D80" s="3">
        <v>30911</v>
      </c>
      <c r="E80" s="3">
        <v>47463</v>
      </c>
      <c r="F80" s="3">
        <v>0</v>
      </c>
      <c r="G80" s="3">
        <v>21243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34280</v>
      </c>
      <c r="Q80" s="3">
        <v>37905</v>
      </c>
      <c r="R80" s="3"/>
      <c r="S80" s="3"/>
      <c r="T80" s="3"/>
      <c r="U80" s="3">
        <v>0</v>
      </c>
      <c r="V80" s="3">
        <v>0</v>
      </c>
      <c r="W80" s="3">
        <v>30366</v>
      </c>
      <c r="X80" s="3">
        <v>60042</v>
      </c>
      <c r="Y80" s="3">
        <v>0</v>
      </c>
      <c r="Z80" s="3">
        <v>35643</v>
      </c>
      <c r="AA80" s="3">
        <v>50948</v>
      </c>
      <c r="AB80" s="3">
        <v>91681</v>
      </c>
      <c r="AC80" s="3">
        <v>0</v>
      </c>
      <c r="AD80" s="3">
        <v>11830</v>
      </c>
      <c r="AE80" s="3">
        <v>10423</v>
      </c>
      <c r="AF80" s="3">
        <v>45136</v>
      </c>
      <c r="AG80" s="13">
        <v>0</v>
      </c>
      <c r="AH80" s="3">
        <v>7641</v>
      </c>
      <c r="AI80" s="3">
        <v>0</v>
      </c>
      <c r="AJ80" s="3">
        <v>0</v>
      </c>
      <c r="AK80" s="3">
        <v>0</v>
      </c>
      <c r="AL80" s="3">
        <v>19722</v>
      </c>
      <c r="AM80" s="3">
        <v>33199</v>
      </c>
      <c r="AN80" s="3">
        <v>40414</v>
      </c>
      <c r="AO80" s="3">
        <v>0</v>
      </c>
      <c r="AP80" s="3">
        <v>0</v>
      </c>
      <c r="AQ80" s="3">
        <v>20033</v>
      </c>
      <c r="AR80" s="3">
        <v>51675</v>
      </c>
      <c r="AS80" s="3">
        <v>0</v>
      </c>
      <c r="AT80" s="3">
        <v>2102</v>
      </c>
      <c r="AU80" s="3">
        <v>-145956</v>
      </c>
      <c r="AV80" s="3">
        <v>-148430</v>
      </c>
      <c r="AW80" s="8">
        <v>-202455</v>
      </c>
      <c r="AX80" s="3">
        <v>-7800</v>
      </c>
      <c r="AY80" s="3">
        <v>-25403</v>
      </c>
      <c r="AZ80" s="8">
        <v>26855</v>
      </c>
      <c r="BA80" s="8">
        <v>0</v>
      </c>
      <c r="BB80" s="8">
        <v>-18083</v>
      </c>
      <c r="BC80" s="8">
        <v>-22385</v>
      </c>
      <c r="BD80" s="8">
        <v>-307</v>
      </c>
      <c r="BE80" s="8">
        <v>0</v>
      </c>
      <c r="BF80" s="8">
        <v>59457</v>
      </c>
      <c r="BG80" s="8">
        <v>102564</v>
      </c>
      <c r="BH80" s="8">
        <v>147259</v>
      </c>
      <c r="BI80" s="8">
        <v>0</v>
      </c>
      <c r="BJ80" s="8">
        <v>147874</v>
      </c>
      <c r="BK80" s="8">
        <v>200166</v>
      </c>
    </row>
    <row r="81" spans="1:63" x14ac:dyDescent="0.25">
      <c r="A81" s="22"/>
      <c r="B81" s="6" t="s">
        <v>39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39842</v>
      </c>
      <c r="I81" s="3">
        <v>59254</v>
      </c>
      <c r="J81" s="3">
        <v>0</v>
      </c>
      <c r="K81" s="3">
        <v>23289</v>
      </c>
      <c r="L81" s="3">
        <v>50806</v>
      </c>
      <c r="M81" s="3">
        <v>73551</v>
      </c>
      <c r="N81" s="3">
        <v>0</v>
      </c>
      <c r="O81" s="3">
        <v>13928</v>
      </c>
      <c r="P81" s="3">
        <v>0</v>
      </c>
      <c r="Q81" s="3">
        <v>0</v>
      </c>
      <c r="R81" s="3"/>
      <c r="S81" s="3"/>
      <c r="T81" s="3"/>
      <c r="U81" s="3">
        <v>0</v>
      </c>
      <c r="V81" s="3">
        <v>17541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13">
        <v>0</v>
      </c>
      <c r="AH81" s="3">
        <v>0</v>
      </c>
      <c r="AI81" s="3">
        <v>10805</v>
      </c>
      <c r="AJ81" s="3">
        <v>26622.999999999996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13722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8">
        <v>0</v>
      </c>
      <c r="AX81" s="3">
        <v>0</v>
      </c>
      <c r="AY81" s="3">
        <v>0</v>
      </c>
      <c r="AZ81" s="8"/>
      <c r="BA81" s="8"/>
      <c r="BB81" s="8"/>
    </row>
    <row r="82" spans="1:63" x14ac:dyDescent="0.25">
      <c r="A82" s="22"/>
      <c r="B82" s="15" t="s">
        <v>66</v>
      </c>
      <c r="C82" s="16">
        <f t="shared" ref="C82:Q82" si="25">SUM(C73:C81)</f>
        <v>401072</v>
      </c>
      <c r="D82" s="16">
        <f t="shared" si="25"/>
        <v>410292</v>
      </c>
      <c r="E82" s="16">
        <f t="shared" si="25"/>
        <v>425712</v>
      </c>
      <c r="F82" s="16">
        <f t="shared" si="25"/>
        <v>455050</v>
      </c>
      <c r="G82" s="16">
        <f t="shared" si="25"/>
        <v>473515</v>
      </c>
      <c r="H82" s="16">
        <f t="shared" si="25"/>
        <v>479248</v>
      </c>
      <c r="I82" s="16">
        <f t="shared" si="25"/>
        <v>485749</v>
      </c>
      <c r="J82" s="16">
        <f t="shared" si="25"/>
        <v>503310</v>
      </c>
      <c r="K82" s="16">
        <f t="shared" si="25"/>
        <v>529903</v>
      </c>
      <c r="L82" s="16">
        <f t="shared" si="25"/>
        <v>503891</v>
      </c>
      <c r="M82" s="16">
        <f t="shared" si="25"/>
        <v>514505</v>
      </c>
      <c r="N82" s="16">
        <f t="shared" si="25"/>
        <v>512449</v>
      </c>
      <c r="O82" s="16">
        <f t="shared" si="25"/>
        <v>523283</v>
      </c>
      <c r="P82" s="16">
        <f t="shared" si="25"/>
        <v>535404</v>
      </c>
      <c r="Q82" s="16">
        <f t="shared" si="25"/>
        <v>542670</v>
      </c>
      <c r="R82" s="21"/>
      <c r="S82" s="21"/>
      <c r="T82" s="21"/>
      <c r="U82" s="16">
        <f t="shared" ref="U82:AB82" si="26">SUM(U73:U81)</f>
        <v>543470</v>
      </c>
      <c r="V82" s="16">
        <f t="shared" si="26"/>
        <v>554235</v>
      </c>
      <c r="W82" s="16">
        <f t="shared" si="26"/>
        <v>556715</v>
      </c>
      <c r="X82" s="16">
        <f t="shared" si="26"/>
        <v>590547</v>
      </c>
      <c r="Y82" s="16">
        <f t="shared" si="26"/>
        <v>590561</v>
      </c>
      <c r="Z82" s="16">
        <f t="shared" si="26"/>
        <v>640780</v>
      </c>
      <c r="AA82" s="16">
        <f t="shared" si="26"/>
        <v>643508</v>
      </c>
      <c r="AB82" s="16">
        <f t="shared" si="26"/>
        <v>1106677</v>
      </c>
      <c r="AC82" s="16">
        <f t="shared" ref="AC82:AK82" si="27">SUM(AC73:AC81)</f>
        <v>1065756</v>
      </c>
      <c r="AD82" s="16">
        <f t="shared" si="27"/>
        <v>1033031</v>
      </c>
      <c r="AE82" s="16">
        <f t="shared" si="27"/>
        <v>952237</v>
      </c>
      <c r="AF82" s="16">
        <f t="shared" si="27"/>
        <v>994813</v>
      </c>
      <c r="AG82" s="16">
        <f t="shared" si="27"/>
        <v>980721</v>
      </c>
      <c r="AH82" s="16">
        <f t="shared" si="27"/>
        <v>972728</v>
      </c>
      <c r="AI82" s="16">
        <f t="shared" si="27"/>
        <v>985108</v>
      </c>
      <c r="AJ82" s="16">
        <f t="shared" si="27"/>
        <v>972886</v>
      </c>
      <c r="AK82" s="16">
        <f t="shared" si="27"/>
        <v>979001</v>
      </c>
      <c r="AL82" s="16">
        <f t="shared" ref="AL82:AQ82" si="28">SUM(AL73:AL81)</f>
        <v>985683</v>
      </c>
      <c r="AM82" s="16">
        <f t="shared" si="28"/>
        <v>1058521</v>
      </c>
      <c r="AN82" s="16">
        <f t="shared" si="28"/>
        <v>1086262</v>
      </c>
      <c r="AO82" s="16">
        <f t="shared" si="28"/>
        <v>1071908</v>
      </c>
      <c r="AP82" s="16">
        <f t="shared" si="28"/>
        <v>1086461</v>
      </c>
      <c r="AQ82" s="16">
        <f t="shared" si="28"/>
        <v>1088171</v>
      </c>
      <c r="AR82" s="16">
        <f t="shared" ref="AR82:AZ82" si="29">SUM(AR73:AR81)</f>
        <v>1160784</v>
      </c>
      <c r="AS82" s="16">
        <f t="shared" si="29"/>
        <v>1098865</v>
      </c>
      <c r="AT82" s="16">
        <f t="shared" si="29"/>
        <v>1241457</v>
      </c>
      <c r="AU82" s="16">
        <f t="shared" si="29"/>
        <v>1151139</v>
      </c>
      <c r="AV82" s="16">
        <f t="shared" si="29"/>
        <v>1171681</v>
      </c>
      <c r="AW82" s="16">
        <f t="shared" si="29"/>
        <v>1062878</v>
      </c>
      <c r="AX82" s="16">
        <f t="shared" si="29"/>
        <v>1208360</v>
      </c>
      <c r="AY82" s="16">
        <f t="shared" si="29"/>
        <v>1124439</v>
      </c>
      <c r="AZ82" s="16">
        <f t="shared" si="29"/>
        <v>1235003</v>
      </c>
      <c r="BA82" s="16">
        <v>1258804</v>
      </c>
      <c r="BB82" s="16">
        <v>1144675</v>
      </c>
      <c r="BC82" s="16">
        <v>1204691</v>
      </c>
      <c r="BD82" s="16">
        <v>1273442</v>
      </c>
      <c r="BE82" s="16">
        <v>1235367</v>
      </c>
      <c r="BF82" s="16">
        <v>1278971</v>
      </c>
      <c r="BG82" s="16">
        <v>1291894</v>
      </c>
      <c r="BH82" s="16">
        <v>1358760</v>
      </c>
      <c r="BI82" s="16">
        <v>1298463</v>
      </c>
      <c r="BJ82" s="16">
        <v>1538914</v>
      </c>
      <c r="BK82" s="16">
        <f>SUM(BK73:BK81)</f>
        <v>1653418</v>
      </c>
    </row>
    <row r="83" spans="1:63" x14ac:dyDescent="0.25">
      <c r="A83" s="22"/>
      <c r="B83" s="15" t="s">
        <v>67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12470</v>
      </c>
      <c r="AD83" s="16">
        <v>12349</v>
      </c>
      <c r="AE83" s="16">
        <v>10395</v>
      </c>
      <c r="AF83" s="16">
        <v>11151</v>
      </c>
      <c r="AG83" s="16">
        <v>11429</v>
      </c>
      <c r="AH83" s="16">
        <v>11523</v>
      </c>
      <c r="AI83" s="16">
        <v>12330.57</v>
      </c>
      <c r="AJ83" s="16">
        <v>11289.689999999999</v>
      </c>
      <c r="AK83" s="16">
        <v>11694</v>
      </c>
      <c r="AL83" s="16">
        <v>12275</v>
      </c>
      <c r="AM83" s="16">
        <v>13959</v>
      </c>
      <c r="AN83" s="16">
        <v>14456</v>
      </c>
      <c r="AO83" s="16">
        <v>16535</v>
      </c>
      <c r="AP83" s="16">
        <v>15341</v>
      </c>
      <c r="AQ83" s="16">
        <v>15757</v>
      </c>
      <c r="AR83" s="16">
        <v>19779</v>
      </c>
      <c r="AS83" s="16">
        <v>18242</v>
      </c>
      <c r="AT83" s="16">
        <v>17537</v>
      </c>
      <c r="AU83" s="16">
        <v>20253</v>
      </c>
      <c r="AV83" s="16">
        <v>24064</v>
      </c>
      <c r="AW83" s="16">
        <v>49778</v>
      </c>
      <c r="AX83" s="16">
        <v>52166</v>
      </c>
      <c r="AY83" s="16">
        <v>47347</v>
      </c>
      <c r="AZ83" s="16">
        <v>49323</v>
      </c>
      <c r="BA83" s="16">
        <v>47722</v>
      </c>
      <c r="BB83" s="16">
        <v>46923</v>
      </c>
      <c r="BC83" s="16">
        <v>48452</v>
      </c>
      <c r="BD83" s="16">
        <v>48265</v>
      </c>
      <c r="BE83" s="16">
        <v>37308</v>
      </c>
      <c r="BF83" s="16">
        <v>37120</v>
      </c>
      <c r="BG83" s="16">
        <v>33630</v>
      </c>
      <c r="BH83" s="16">
        <v>34375</v>
      </c>
      <c r="BI83" s="16">
        <v>32806</v>
      </c>
      <c r="BJ83" s="16">
        <v>26709</v>
      </c>
      <c r="BK83" s="16">
        <v>26861</v>
      </c>
    </row>
    <row r="84" spans="1:63" x14ac:dyDescent="0.25">
      <c r="A84" s="22"/>
      <c r="B84" s="15" t="s">
        <v>68</v>
      </c>
      <c r="C84" s="16">
        <f>SUM(C82:C83)</f>
        <v>401072</v>
      </c>
      <c r="D84" s="16">
        <f t="shared" ref="D84:AD84" si="30">SUM(D82:D83)</f>
        <v>410292</v>
      </c>
      <c r="E84" s="16">
        <f t="shared" si="30"/>
        <v>425712</v>
      </c>
      <c r="F84" s="16">
        <f t="shared" si="30"/>
        <v>455050</v>
      </c>
      <c r="G84" s="16">
        <f t="shared" si="30"/>
        <v>473515</v>
      </c>
      <c r="H84" s="16">
        <f t="shared" si="30"/>
        <v>479248</v>
      </c>
      <c r="I84" s="16">
        <f t="shared" si="30"/>
        <v>485749</v>
      </c>
      <c r="J84" s="16">
        <f t="shared" si="30"/>
        <v>503310</v>
      </c>
      <c r="K84" s="16">
        <f t="shared" si="30"/>
        <v>529903</v>
      </c>
      <c r="L84" s="16">
        <f t="shared" si="30"/>
        <v>503891</v>
      </c>
      <c r="M84" s="16">
        <f t="shared" si="30"/>
        <v>514505</v>
      </c>
      <c r="N84" s="16">
        <f t="shared" si="30"/>
        <v>512449</v>
      </c>
      <c r="O84" s="16">
        <f t="shared" si="30"/>
        <v>523283</v>
      </c>
      <c r="P84" s="16">
        <f t="shared" si="30"/>
        <v>535404</v>
      </c>
      <c r="Q84" s="16">
        <f t="shared" si="30"/>
        <v>542670</v>
      </c>
      <c r="R84" s="21">
        <f t="shared" si="30"/>
        <v>0</v>
      </c>
      <c r="S84" s="21">
        <f t="shared" si="30"/>
        <v>0</v>
      </c>
      <c r="T84" s="21">
        <f t="shared" si="30"/>
        <v>0</v>
      </c>
      <c r="U84" s="16">
        <f t="shared" si="30"/>
        <v>543470</v>
      </c>
      <c r="V84" s="16">
        <f t="shared" si="30"/>
        <v>554235</v>
      </c>
      <c r="W84" s="16">
        <f t="shared" si="30"/>
        <v>556715</v>
      </c>
      <c r="X84" s="16">
        <f t="shared" si="30"/>
        <v>590547</v>
      </c>
      <c r="Y84" s="16">
        <f t="shared" si="30"/>
        <v>590561</v>
      </c>
      <c r="Z84" s="16">
        <f t="shared" si="30"/>
        <v>640780</v>
      </c>
      <c r="AA84" s="16">
        <f t="shared" si="30"/>
        <v>643508</v>
      </c>
      <c r="AB84" s="16">
        <f t="shared" si="30"/>
        <v>1106677</v>
      </c>
      <c r="AC84" s="16">
        <f t="shared" si="30"/>
        <v>1078226</v>
      </c>
      <c r="AD84" s="16">
        <f t="shared" si="30"/>
        <v>1045380</v>
      </c>
      <c r="AE84" s="16">
        <f t="shared" ref="AE84:AK84" si="31">SUM(AE82:AE83)</f>
        <v>962632</v>
      </c>
      <c r="AF84" s="16">
        <f t="shared" si="31"/>
        <v>1005964</v>
      </c>
      <c r="AG84" s="16">
        <f t="shared" si="31"/>
        <v>992150</v>
      </c>
      <c r="AH84" s="16">
        <f t="shared" si="31"/>
        <v>984251</v>
      </c>
      <c r="AI84" s="16">
        <f t="shared" si="31"/>
        <v>997438.57</v>
      </c>
      <c r="AJ84" s="16">
        <f t="shared" si="31"/>
        <v>984175.69</v>
      </c>
      <c r="AK84" s="16">
        <f t="shared" si="31"/>
        <v>990695</v>
      </c>
      <c r="AL84" s="16">
        <f t="shared" ref="AL84:AQ84" si="32">SUM(AL82:AL83)</f>
        <v>997958</v>
      </c>
      <c r="AM84" s="16">
        <f t="shared" si="32"/>
        <v>1072480</v>
      </c>
      <c r="AN84" s="16">
        <f t="shared" si="32"/>
        <v>1100718</v>
      </c>
      <c r="AO84" s="16">
        <f t="shared" si="32"/>
        <v>1088443</v>
      </c>
      <c r="AP84" s="16">
        <f t="shared" si="32"/>
        <v>1101802</v>
      </c>
      <c r="AQ84" s="16">
        <f t="shared" si="32"/>
        <v>1103928</v>
      </c>
      <c r="AR84" s="16">
        <f t="shared" ref="AR84:AZ84" si="33">SUM(AR82:AR83)</f>
        <v>1180563</v>
      </c>
      <c r="AS84" s="16">
        <f t="shared" si="33"/>
        <v>1117107</v>
      </c>
      <c r="AT84" s="16">
        <f t="shared" si="33"/>
        <v>1258994</v>
      </c>
      <c r="AU84" s="16">
        <f t="shared" si="33"/>
        <v>1171392</v>
      </c>
      <c r="AV84" s="16">
        <f t="shared" si="33"/>
        <v>1195745</v>
      </c>
      <c r="AW84" s="16">
        <f t="shared" si="33"/>
        <v>1112656</v>
      </c>
      <c r="AX84" s="16">
        <f t="shared" si="33"/>
        <v>1260526</v>
      </c>
      <c r="AY84" s="16">
        <f t="shared" si="33"/>
        <v>1171786</v>
      </c>
      <c r="AZ84" s="16">
        <f t="shared" si="33"/>
        <v>1284326</v>
      </c>
      <c r="BA84" s="16">
        <v>1306526</v>
      </c>
      <c r="BB84" s="16">
        <v>1191598</v>
      </c>
      <c r="BC84" s="16">
        <v>1253143</v>
      </c>
      <c r="BD84" s="16">
        <v>1321707</v>
      </c>
      <c r="BE84" s="16">
        <v>1272675</v>
      </c>
      <c r="BF84" s="16">
        <v>1316091</v>
      </c>
      <c r="BG84" s="16">
        <v>1325524</v>
      </c>
      <c r="BH84" s="16">
        <v>1393135</v>
      </c>
      <c r="BI84" s="16">
        <v>1331269</v>
      </c>
      <c r="BJ84" s="16">
        <v>1565623</v>
      </c>
      <c r="BK84" s="16">
        <f>SUM(BK82:BK83)</f>
        <v>1680279</v>
      </c>
    </row>
    <row r="85" spans="1:63" x14ac:dyDescent="0.25">
      <c r="A85" s="22"/>
      <c r="AZ85" s="8"/>
    </row>
    <row r="86" spans="1:63" ht="20.25" customHeight="1" x14ac:dyDescent="0.25">
      <c r="A86" s="22"/>
      <c r="B86" s="15" t="s">
        <v>85</v>
      </c>
      <c r="C86" s="16">
        <f t="shared" ref="C86:AB86" si="34">C59+C71+C82</f>
        <v>745543</v>
      </c>
      <c r="D86" s="16">
        <f t="shared" si="34"/>
        <v>735997</v>
      </c>
      <c r="E86" s="16">
        <f t="shared" si="34"/>
        <v>771491</v>
      </c>
      <c r="F86" s="16">
        <f t="shared" si="34"/>
        <v>801104</v>
      </c>
      <c r="G86" s="16">
        <f t="shared" si="34"/>
        <v>825937</v>
      </c>
      <c r="H86" s="16">
        <f t="shared" si="34"/>
        <v>807020</v>
      </c>
      <c r="I86" s="16">
        <f t="shared" si="34"/>
        <v>832998</v>
      </c>
      <c r="J86" s="16">
        <f t="shared" si="34"/>
        <v>915601</v>
      </c>
      <c r="K86" s="16">
        <f t="shared" si="34"/>
        <v>937133</v>
      </c>
      <c r="L86" s="16">
        <f t="shared" si="34"/>
        <v>883708</v>
      </c>
      <c r="M86" s="16">
        <f t="shared" si="34"/>
        <v>883966</v>
      </c>
      <c r="N86" s="16">
        <f t="shared" si="34"/>
        <v>1095868</v>
      </c>
      <c r="O86" s="16">
        <f t="shared" si="34"/>
        <v>1123303</v>
      </c>
      <c r="P86" s="16">
        <f t="shared" si="34"/>
        <v>1229857</v>
      </c>
      <c r="Q86" s="16">
        <f t="shared" si="34"/>
        <v>1263552</v>
      </c>
      <c r="R86" s="16">
        <f t="shared" si="34"/>
        <v>0</v>
      </c>
      <c r="S86" s="16">
        <f t="shared" si="34"/>
        <v>0</v>
      </c>
      <c r="T86" s="16">
        <f t="shared" si="34"/>
        <v>0</v>
      </c>
      <c r="U86" s="16">
        <f t="shared" si="34"/>
        <v>1172956</v>
      </c>
      <c r="V86" s="16">
        <f t="shared" si="34"/>
        <v>1193613</v>
      </c>
      <c r="W86" s="16">
        <f t="shared" si="34"/>
        <v>1213631</v>
      </c>
      <c r="X86" s="16">
        <f t="shared" si="34"/>
        <v>1284565</v>
      </c>
      <c r="Y86" s="16">
        <f t="shared" si="34"/>
        <v>1296214</v>
      </c>
      <c r="Z86" s="16">
        <f t="shared" si="34"/>
        <v>1432230</v>
      </c>
      <c r="AA86" s="16">
        <f t="shared" si="34"/>
        <v>1584048.8052000001</v>
      </c>
      <c r="AB86" s="16">
        <f t="shared" si="34"/>
        <v>2190423</v>
      </c>
      <c r="AC86" s="16">
        <f t="shared" ref="AC86:AZ86" si="35">AC59+AC71+AC84</f>
        <v>2156239</v>
      </c>
      <c r="AD86" s="16">
        <f t="shared" si="35"/>
        <v>2053616</v>
      </c>
      <c r="AE86" s="16">
        <f t="shared" si="35"/>
        <v>1878155</v>
      </c>
      <c r="AF86" s="16">
        <f t="shared" si="35"/>
        <v>2161365</v>
      </c>
      <c r="AG86" s="16">
        <f t="shared" si="35"/>
        <v>2074697</v>
      </c>
      <c r="AH86" s="16">
        <f t="shared" si="35"/>
        <v>2018552</v>
      </c>
      <c r="AI86" s="16">
        <f t="shared" si="35"/>
        <v>2091919.5699999998</v>
      </c>
      <c r="AJ86" s="16">
        <f t="shared" si="35"/>
        <v>2075911.69</v>
      </c>
      <c r="AK86" s="16">
        <f t="shared" si="35"/>
        <v>2059765</v>
      </c>
      <c r="AL86" s="16">
        <f t="shared" si="35"/>
        <v>2053485</v>
      </c>
      <c r="AM86" s="16">
        <f t="shared" si="35"/>
        <v>2422281</v>
      </c>
      <c r="AN86" s="16">
        <f t="shared" si="35"/>
        <v>2301208</v>
      </c>
      <c r="AO86" s="16">
        <f t="shared" si="35"/>
        <v>2247239</v>
      </c>
      <c r="AP86" s="16">
        <f t="shared" si="35"/>
        <v>2368989</v>
      </c>
      <c r="AQ86" s="16">
        <f t="shared" si="35"/>
        <v>2425497</v>
      </c>
      <c r="AR86" s="16">
        <f t="shared" si="35"/>
        <v>2610684</v>
      </c>
      <c r="AS86" s="16">
        <f t="shared" si="35"/>
        <v>2518442</v>
      </c>
      <c r="AT86" s="16">
        <f t="shared" si="35"/>
        <v>2834472</v>
      </c>
      <c r="AU86" s="16">
        <f t="shared" si="35"/>
        <v>3021778</v>
      </c>
      <c r="AV86" s="16">
        <f t="shared" si="35"/>
        <v>3096698</v>
      </c>
      <c r="AW86" s="16">
        <f t="shared" si="35"/>
        <v>2869159</v>
      </c>
      <c r="AX86" s="16">
        <f t="shared" si="35"/>
        <v>3168877</v>
      </c>
      <c r="AY86" s="16">
        <f t="shared" si="35"/>
        <v>2895945</v>
      </c>
      <c r="AZ86" s="16">
        <f t="shared" si="35"/>
        <v>3048746</v>
      </c>
      <c r="BA86" s="16">
        <v>3097783</v>
      </c>
      <c r="BB86" s="16">
        <v>2959343</v>
      </c>
      <c r="BC86" s="16">
        <v>2984995</v>
      </c>
      <c r="BD86" s="16">
        <v>3111942</v>
      </c>
      <c r="BE86" s="16">
        <v>2663351</v>
      </c>
      <c r="BF86" s="16">
        <v>2718049</v>
      </c>
      <c r="BG86" s="16">
        <v>2611023</v>
      </c>
      <c r="BH86" s="16">
        <v>2679664</v>
      </c>
      <c r="BI86" s="16">
        <v>2545626</v>
      </c>
      <c r="BJ86" s="16">
        <v>2733303</v>
      </c>
      <c r="BK86" s="16">
        <f>BK59+BK71+BK84</f>
        <v>2733819</v>
      </c>
    </row>
    <row r="87" spans="1:63" x14ac:dyDescent="0.25">
      <c r="A87" s="22"/>
      <c r="N87" s="18"/>
      <c r="O87" s="18"/>
      <c r="P87" s="18"/>
      <c r="Q87" s="18"/>
      <c r="U87" s="18"/>
      <c r="V87" s="18"/>
    </row>
    <row r="88" spans="1:63" x14ac:dyDescent="0.25">
      <c r="A88" s="22"/>
    </row>
    <row r="89" spans="1:63" ht="15" customHeight="1" x14ac:dyDescent="0.25">
      <c r="A89" s="22"/>
      <c r="B89" s="180" t="s">
        <v>65</v>
      </c>
    </row>
    <row r="90" spans="1:63" x14ac:dyDescent="0.25">
      <c r="A90" s="22"/>
      <c r="B90" s="180"/>
      <c r="AM90" s="24"/>
    </row>
    <row r="91" spans="1:63" x14ac:dyDescent="0.25">
      <c r="A91" s="22"/>
      <c r="B91" s="180"/>
    </row>
    <row r="92" spans="1:63" x14ac:dyDescent="0.25">
      <c r="A92" s="22"/>
      <c r="B92" s="180"/>
    </row>
    <row r="93" spans="1:63" x14ac:dyDescent="0.25">
      <c r="A93" s="22"/>
    </row>
    <row r="94" spans="1:63" x14ac:dyDescent="0.25">
      <c r="A94" s="22"/>
    </row>
    <row r="95" spans="1:63" x14ac:dyDescent="0.25">
      <c r="A95" s="22"/>
    </row>
    <row r="99" spans="1:1" x14ac:dyDescent="0.25">
      <c r="A99" s="22"/>
    </row>
    <row r="100" spans="1:1" x14ac:dyDescent="0.25">
      <c r="A100" s="22"/>
    </row>
    <row r="101" spans="1:1" x14ac:dyDescent="0.25">
      <c r="A101" s="22"/>
    </row>
    <row r="102" spans="1:1" x14ac:dyDescent="0.25">
      <c r="A102" s="22"/>
    </row>
    <row r="103" spans="1:1" x14ac:dyDescent="0.25">
      <c r="A103" s="22"/>
    </row>
    <row r="104" spans="1:1" x14ac:dyDescent="0.25">
      <c r="A104" s="22"/>
    </row>
  </sheetData>
  <mergeCells count="1">
    <mergeCell ref="B89:B92"/>
  </mergeCells>
  <pageMargins left="0.511811024" right="0.511811024" top="0.78740157499999996" bottom="0.78740157499999996" header="0.31496062000000002" footer="0.31496062000000002"/>
  <pageSetup paperSize="9" scale="18" orientation="landscape" r:id="rId1"/>
  <ignoredErrors>
    <ignoredError sqref="AH22" formula="1"/>
    <ignoredError sqref="C22:AG22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S98"/>
  <sheetViews>
    <sheetView showGridLines="0" zoomScaleNormal="100" workbookViewId="0">
      <pane xSplit="2" ySplit="7" topLeftCell="I8" activePane="bottomRight" state="frozen"/>
      <selection activeCell="R26" sqref="R26"/>
      <selection pane="topRight" activeCell="R26" sqref="R26"/>
      <selection pane="bottomLeft" activeCell="R26" sqref="R26"/>
      <selection pane="bottomRight" activeCell="S1" sqref="S1:S1048576"/>
    </sheetView>
  </sheetViews>
  <sheetFormatPr defaultColWidth="8.7109375" defaultRowHeight="15" x14ac:dyDescent="0.25"/>
  <cols>
    <col min="1" max="1" width="1.5703125" style="138" customWidth="1"/>
    <col min="2" max="2" width="50.5703125" style="6" bestFit="1" customWidth="1"/>
    <col min="3" max="3" width="12.42578125" style="136" bestFit="1" customWidth="1"/>
    <col min="4" max="6" width="12.85546875" style="136" bestFit="1" customWidth="1"/>
    <col min="7" max="7" width="12.85546875" style="136" customWidth="1"/>
    <col min="8" max="8" width="12.85546875" style="136" bestFit="1" customWidth="1"/>
    <col min="9" max="9" width="13.140625" style="136" bestFit="1" customWidth="1"/>
    <col min="10" max="11" width="10.140625" style="136" bestFit="1" customWidth="1"/>
    <col min="12" max="12" width="12.85546875" style="136" customWidth="1"/>
    <col min="13" max="13" width="12.140625" style="136" bestFit="1" customWidth="1"/>
    <col min="14" max="14" width="12.140625" style="136" customWidth="1"/>
    <col min="15" max="16" width="11.28515625" style="136" customWidth="1"/>
    <col min="17" max="17" width="12.85546875" style="136" customWidth="1"/>
    <col min="18" max="19" width="11.28515625" style="136" bestFit="1" customWidth="1"/>
    <col min="20" max="16384" width="8.7109375" style="136"/>
  </cols>
  <sheetData>
    <row r="1" spans="1:19" s="4" customFormat="1" ht="8.25" customHeight="1" x14ac:dyDescent="0.25">
      <c r="B1" s="9"/>
    </row>
    <row r="2" spans="1:19" x14ac:dyDescent="0.25">
      <c r="A2" s="4"/>
    </row>
    <row r="3" spans="1:19" x14ac:dyDescent="0.25">
      <c r="A3" s="4"/>
    </row>
    <row r="4" spans="1:19" x14ac:dyDescent="0.25">
      <c r="A4" s="4"/>
    </row>
    <row r="5" spans="1:19" x14ac:dyDescent="0.25">
      <c r="A5" s="4"/>
    </row>
    <row r="6" spans="1:19" x14ac:dyDescent="0.25">
      <c r="A6" s="4"/>
    </row>
    <row r="7" spans="1:19" ht="16.5" customHeight="1" x14ac:dyDescent="0.25">
      <c r="A7" s="4"/>
      <c r="B7" s="42" t="s">
        <v>127</v>
      </c>
      <c r="C7" s="26" t="s">
        <v>95</v>
      </c>
      <c r="D7" s="26" t="s">
        <v>96</v>
      </c>
      <c r="E7" s="26" t="s">
        <v>97</v>
      </c>
      <c r="F7" s="26" t="s">
        <v>98</v>
      </c>
      <c r="G7" s="26">
        <v>2021</v>
      </c>
      <c r="H7" s="26" t="s">
        <v>99</v>
      </c>
      <c r="I7" s="26" t="s">
        <v>100</v>
      </c>
      <c r="J7" s="26" t="s">
        <v>305</v>
      </c>
      <c r="K7" s="26" t="s">
        <v>308</v>
      </c>
      <c r="L7" s="26">
        <v>2022</v>
      </c>
      <c r="M7" s="26" t="s">
        <v>318</v>
      </c>
      <c r="N7" s="26" t="s">
        <v>320</v>
      </c>
      <c r="O7" s="26" t="s">
        <v>324</v>
      </c>
      <c r="P7" s="26" t="s">
        <v>329</v>
      </c>
      <c r="Q7" s="26">
        <v>2023</v>
      </c>
      <c r="R7" s="26" t="s">
        <v>363</v>
      </c>
      <c r="S7" s="26" t="s">
        <v>371</v>
      </c>
    </row>
    <row r="8" spans="1:19" x14ac:dyDescent="0.25">
      <c r="A8" s="4"/>
      <c r="C8" s="137"/>
      <c r="D8" s="137"/>
    </row>
    <row r="9" spans="1:19" x14ac:dyDescent="0.25">
      <c r="A9" s="4"/>
      <c r="B9" s="5" t="s">
        <v>124</v>
      </c>
      <c r="C9" s="35">
        <v>365138</v>
      </c>
      <c r="D9" s="35">
        <v>392746</v>
      </c>
      <c r="E9" s="35">
        <v>421274</v>
      </c>
      <c r="F9" s="35">
        <v>437255</v>
      </c>
      <c r="G9" s="35">
        <f>SUM(C9:F9)</f>
        <v>1616413</v>
      </c>
      <c r="H9" s="35">
        <v>447543</v>
      </c>
      <c r="I9" s="35">
        <v>456843</v>
      </c>
      <c r="J9" s="35">
        <v>496301</v>
      </c>
      <c r="K9" s="35">
        <v>478750</v>
      </c>
      <c r="L9" s="35">
        <f>SUM(H9:K9)</f>
        <v>1879437</v>
      </c>
      <c r="M9" s="35">
        <v>529279</v>
      </c>
      <c r="N9" s="35">
        <v>534356</v>
      </c>
      <c r="O9" s="35">
        <v>558409</v>
      </c>
      <c r="P9" s="35">
        <v>633466</v>
      </c>
      <c r="Q9" s="35">
        <v>2255510</v>
      </c>
      <c r="R9" s="35">
        <v>484319</v>
      </c>
      <c r="S9" s="35">
        <v>518153</v>
      </c>
    </row>
    <row r="10" spans="1:19" x14ac:dyDescent="0.25">
      <c r="A10" s="4"/>
      <c r="B10" s="6" t="s">
        <v>123</v>
      </c>
      <c r="C10" s="39">
        <v>-265876</v>
      </c>
      <c r="D10" s="39">
        <v>-264048.73</v>
      </c>
      <c r="E10" s="39">
        <v>-292591.3600000001</v>
      </c>
      <c r="F10" s="39">
        <v>-302500.36999999988</v>
      </c>
      <c r="G10" s="39">
        <f t="shared" ref="G10:G43" si="0">SUM(C10:F10)</f>
        <v>-1125016.46</v>
      </c>
      <c r="H10" s="39">
        <v>-296787.36</v>
      </c>
      <c r="I10" s="39">
        <v>-287417.37</v>
      </c>
      <c r="J10" s="39">
        <v>-315932.35999999987</v>
      </c>
      <c r="K10" s="39">
        <v>-309672.44000000018</v>
      </c>
      <c r="L10" s="39">
        <f t="shared" ref="L10:L43" si="1">SUM(H10:K10)</f>
        <v>-1209809.53</v>
      </c>
      <c r="M10" s="39">
        <v>-321757.58999999997</v>
      </c>
      <c r="N10" s="39">
        <v>-341036.58999999997</v>
      </c>
      <c r="O10" s="39">
        <v>-362969.59000000008</v>
      </c>
      <c r="P10" s="39">
        <v>-406911.58999999985</v>
      </c>
      <c r="Q10" s="39">
        <v>-1432675.3599999999</v>
      </c>
      <c r="R10" s="39">
        <v>-305121.58999999997</v>
      </c>
      <c r="S10" s="39">
        <v>-328714.58999999997</v>
      </c>
    </row>
    <row r="11" spans="1:19" x14ac:dyDescent="0.25">
      <c r="A11" s="4"/>
      <c r="B11" s="5" t="s">
        <v>122</v>
      </c>
      <c r="C11" s="35">
        <v>99262</v>
      </c>
      <c r="D11" s="35">
        <v>128697.27000000002</v>
      </c>
      <c r="E11" s="35">
        <v>128682.6399999999</v>
      </c>
      <c r="F11" s="35">
        <v>134754.63000000012</v>
      </c>
      <c r="G11" s="35">
        <f t="shared" si="0"/>
        <v>491396.54000000004</v>
      </c>
      <c r="H11" s="35">
        <v>150755.64000000001</v>
      </c>
      <c r="I11" s="35">
        <v>169425.63</v>
      </c>
      <c r="J11" s="35">
        <v>180368.64000000013</v>
      </c>
      <c r="K11" s="35">
        <v>169077.55999999982</v>
      </c>
      <c r="L11" s="35">
        <f t="shared" si="1"/>
        <v>669627.47</v>
      </c>
      <c r="M11" s="35">
        <v>207521.41000000003</v>
      </c>
      <c r="N11" s="35">
        <v>193319.41000000003</v>
      </c>
      <c r="O11" s="35">
        <v>195439.40999999992</v>
      </c>
      <c r="P11" s="35">
        <v>226554.41000000015</v>
      </c>
      <c r="Q11" s="35">
        <v>822834.64000000013</v>
      </c>
      <c r="R11" s="35">
        <v>179197.41000000003</v>
      </c>
      <c r="S11" s="35">
        <v>189438.41000000003</v>
      </c>
    </row>
    <row r="12" spans="1:19" x14ac:dyDescent="0.25">
      <c r="A12" s="4"/>
      <c r="B12" s="5"/>
    </row>
    <row r="13" spans="1:19" x14ac:dyDescent="0.25">
      <c r="A13" s="4"/>
      <c r="B13" s="5" t="s">
        <v>121</v>
      </c>
    </row>
    <row r="14" spans="1:19" x14ac:dyDescent="0.25">
      <c r="A14" s="4"/>
      <c r="B14" s="6" t="s">
        <v>120</v>
      </c>
      <c r="C14" s="39">
        <v>-35743</v>
      </c>
      <c r="D14" s="39">
        <v>-60464</v>
      </c>
      <c r="E14" s="39">
        <v>-41985</v>
      </c>
      <c r="F14" s="39">
        <v>-36616</v>
      </c>
      <c r="G14" s="39">
        <f t="shared" si="0"/>
        <v>-174808</v>
      </c>
      <c r="H14" s="39">
        <v>-43017</v>
      </c>
      <c r="I14" s="39">
        <v>-48489</v>
      </c>
      <c r="J14" s="39">
        <v>-42759</v>
      </c>
      <c r="K14" s="39">
        <v>-41835</v>
      </c>
      <c r="L14" s="39">
        <f t="shared" si="1"/>
        <v>-176100</v>
      </c>
      <c r="M14" s="39">
        <v>-48999</v>
      </c>
      <c r="N14" s="39">
        <v>-45244</v>
      </c>
      <c r="O14" s="39">
        <v>-33505</v>
      </c>
      <c r="P14" s="39">
        <v>-66294</v>
      </c>
      <c r="Q14" s="39">
        <v>-194042</v>
      </c>
      <c r="R14" s="39">
        <v>-47626</v>
      </c>
      <c r="S14" s="39">
        <v>-46601</v>
      </c>
    </row>
    <row r="15" spans="1:19" x14ac:dyDescent="0.25">
      <c r="A15" s="4"/>
      <c r="B15" s="6" t="s">
        <v>119</v>
      </c>
      <c r="C15" s="39">
        <v>-18791</v>
      </c>
      <c r="D15" s="39">
        <v>-27396</v>
      </c>
      <c r="E15" s="39">
        <v>-20310</v>
      </c>
      <c r="F15" s="39">
        <v>-21881</v>
      </c>
      <c r="G15" s="39">
        <f t="shared" si="0"/>
        <v>-88378</v>
      </c>
      <c r="H15" s="39">
        <v>-31248</v>
      </c>
      <c r="I15" s="39">
        <v>-24860</v>
      </c>
      <c r="J15" s="39">
        <v>-38366</v>
      </c>
      <c r="K15" s="39">
        <v>-21229</v>
      </c>
      <c r="L15" s="39">
        <f t="shared" si="1"/>
        <v>-115703</v>
      </c>
      <c r="M15" s="39">
        <v>-39587</v>
      </c>
      <c r="N15" s="39">
        <v>-37190</v>
      </c>
      <c r="O15" s="41">
        <v>-46692</v>
      </c>
      <c r="P15" s="41">
        <v>-42293</v>
      </c>
      <c r="Q15" s="39">
        <v>-165762</v>
      </c>
      <c r="R15" s="41">
        <v>-38802</v>
      </c>
      <c r="S15" s="41">
        <v>-36413</v>
      </c>
    </row>
    <row r="16" spans="1:19" x14ac:dyDescent="0.25">
      <c r="A16" s="4"/>
      <c r="B16" s="6" t="s">
        <v>118</v>
      </c>
      <c r="C16" s="39">
        <v>-10430</v>
      </c>
      <c r="D16" s="39">
        <v>-32032</v>
      </c>
      <c r="E16" s="39">
        <v>-5138</v>
      </c>
      <c r="F16" s="39">
        <v>-12621</v>
      </c>
      <c r="G16" s="39">
        <f t="shared" si="0"/>
        <v>-60221</v>
      </c>
      <c r="H16" s="39">
        <v>-8357</v>
      </c>
      <c r="I16" s="39">
        <v>-3984</v>
      </c>
      <c r="J16" s="39">
        <v>-8533</v>
      </c>
      <c r="K16" s="39">
        <v>-50853</v>
      </c>
      <c r="L16" s="39">
        <f t="shared" si="1"/>
        <v>-71727</v>
      </c>
      <c r="M16" s="39">
        <v>-16392</v>
      </c>
      <c r="N16" s="39">
        <v>-7036</v>
      </c>
      <c r="O16" s="39">
        <v>-3827</v>
      </c>
      <c r="P16" s="39">
        <v>-43789</v>
      </c>
      <c r="Q16" s="39">
        <v>-71044</v>
      </c>
      <c r="R16" s="39">
        <v>109129.98029000001</v>
      </c>
      <c r="S16" s="39">
        <v>-2326</v>
      </c>
    </row>
    <row r="17" spans="1:19" x14ac:dyDescent="0.25">
      <c r="A17" s="4"/>
      <c r="B17" s="6" t="s">
        <v>117</v>
      </c>
      <c r="C17" s="39">
        <v>36</v>
      </c>
      <c r="D17" s="39">
        <v>-387</v>
      </c>
      <c r="E17" s="39">
        <v>-681</v>
      </c>
      <c r="F17" s="39">
        <v>-1596</v>
      </c>
      <c r="G17" s="39">
        <f t="shared" si="0"/>
        <v>-2628</v>
      </c>
      <c r="H17" s="39">
        <v>-354</v>
      </c>
      <c r="I17" s="39">
        <v>-876</v>
      </c>
      <c r="J17" s="39">
        <v>-630</v>
      </c>
      <c r="K17" s="39">
        <v>-1586</v>
      </c>
      <c r="L17" s="39">
        <f t="shared" si="1"/>
        <v>-3446</v>
      </c>
      <c r="M17" s="39">
        <v>-1022</v>
      </c>
      <c r="N17" s="39">
        <v>-534</v>
      </c>
      <c r="O17" s="39">
        <v>671</v>
      </c>
      <c r="P17" s="39">
        <v>658</v>
      </c>
      <c r="Q17" s="39">
        <v>-227</v>
      </c>
      <c r="R17" s="39">
        <v>-1728</v>
      </c>
      <c r="S17" s="39">
        <v>105</v>
      </c>
    </row>
    <row r="18" spans="1:19" x14ac:dyDescent="0.25">
      <c r="A18" s="4"/>
      <c r="C18" s="35">
        <f t="shared" ref="C18:I18" si="2">SUM(C14:C17)</f>
        <v>-64928</v>
      </c>
      <c r="D18" s="35">
        <f t="shared" si="2"/>
        <v>-120279</v>
      </c>
      <c r="E18" s="35">
        <f t="shared" si="2"/>
        <v>-68114</v>
      </c>
      <c r="F18" s="35">
        <f t="shared" si="2"/>
        <v>-72714</v>
      </c>
      <c r="G18" s="35">
        <f t="shared" si="0"/>
        <v>-326035</v>
      </c>
      <c r="H18" s="35">
        <f t="shared" si="2"/>
        <v>-82976</v>
      </c>
      <c r="I18" s="35">
        <f t="shared" si="2"/>
        <v>-78209</v>
      </c>
      <c r="J18" s="35">
        <f>SUM(J14:J17)</f>
        <v>-90288</v>
      </c>
      <c r="K18" s="35">
        <f>SUM(K14:K17)</f>
        <v>-115503</v>
      </c>
      <c r="L18" s="35">
        <f>SUM(L14:L17)</f>
        <v>-366976</v>
      </c>
      <c r="M18" s="35">
        <f>SUM(M14:M17)</f>
        <v>-106000</v>
      </c>
      <c r="N18" s="35">
        <v>-90004</v>
      </c>
      <c r="O18" s="35">
        <v>-83353</v>
      </c>
      <c r="P18" s="35">
        <v>-151718</v>
      </c>
      <c r="Q18" s="35">
        <v>-431075</v>
      </c>
      <c r="R18" s="35">
        <v>20973.980290000007</v>
      </c>
      <c r="S18" s="35">
        <f>SUM(S14:S17)</f>
        <v>-85235</v>
      </c>
    </row>
    <row r="19" spans="1:19" x14ac:dyDescent="0.25">
      <c r="A19" s="4"/>
    </row>
    <row r="20" spans="1:19" x14ac:dyDescent="0.25">
      <c r="A20" s="4"/>
      <c r="B20" s="5" t="s">
        <v>116</v>
      </c>
      <c r="C20" s="35">
        <f t="shared" ref="C20:I20" si="3">C11+C18</f>
        <v>34334</v>
      </c>
      <c r="D20" s="35">
        <f t="shared" si="3"/>
        <v>8418.2700000000186</v>
      </c>
      <c r="E20" s="35">
        <f t="shared" si="3"/>
        <v>60568.639999999898</v>
      </c>
      <c r="F20" s="35">
        <f t="shared" si="3"/>
        <v>62040.630000000121</v>
      </c>
      <c r="G20" s="35">
        <f t="shared" si="0"/>
        <v>165361.54000000004</v>
      </c>
      <c r="H20" s="35">
        <f t="shared" si="3"/>
        <v>67779.640000000014</v>
      </c>
      <c r="I20" s="35">
        <f t="shared" si="3"/>
        <v>91216.63</v>
      </c>
      <c r="J20" s="35">
        <f>J11+J18</f>
        <v>90080.64000000013</v>
      </c>
      <c r="K20" s="35">
        <f>K11+K18</f>
        <v>53574.559999999823</v>
      </c>
      <c r="L20" s="35">
        <f t="shared" si="1"/>
        <v>302651.46999999997</v>
      </c>
      <c r="M20" s="35">
        <v>101521.41000000003</v>
      </c>
      <c r="N20" s="35">
        <v>103315.41000000003</v>
      </c>
      <c r="O20" s="35">
        <v>112086.40999999992</v>
      </c>
      <c r="P20" s="35">
        <v>74836.410000000149</v>
      </c>
      <c r="Q20" s="35">
        <v>391759.64000000013</v>
      </c>
      <c r="R20" s="35">
        <v>200171.39029000004</v>
      </c>
      <c r="S20" s="35">
        <v>104203.41000000003</v>
      </c>
    </row>
    <row r="21" spans="1:19" x14ac:dyDescent="0.25">
      <c r="A21" s="4"/>
      <c r="B21" s="5"/>
    </row>
    <row r="22" spans="1:19" x14ac:dyDescent="0.25">
      <c r="A22" s="4"/>
      <c r="B22" s="5" t="s">
        <v>115</v>
      </c>
    </row>
    <row r="23" spans="1:19" x14ac:dyDescent="0.25">
      <c r="A23" s="4"/>
      <c r="B23" s="6" t="s">
        <v>114</v>
      </c>
      <c r="C23" s="41">
        <v>17308</v>
      </c>
      <c r="D23" s="41">
        <v>52414</v>
      </c>
      <c r="E23" s="41">
        <v>46156</v>
      </c>
      <c r="F23" s="41">
        <v>45926</v>
      </c>
      <c r="G23" s="41">
        <f t="shared" si="0"/>
        <v>161804</v>
      </c>
      <c r="H23" s="41">
        <v>33437</v>
      </c>
      <c r="I23" s="41">
        <v>73243</v>
      </c>
      <c r="J23" s="41">
        <v>53598</v>
      </c>
      <c r="K23" s="41">
        <v>59984</v>
      </c>
      <c r="L23" s="41">
        <f t="shared" si="1"/>
        <v>220262</v>
      </c>
      <c r="M23" s="41">
        <v>46488</v>
      </c>
      <c r="N23" s="41">
        <v>47749.451296024476</v>
      </c>
      <c r="O23" s="41">
        <v>65390.512520976903</v>
      </c>
      <c r="P23" s="41">
        <v>117478.03618299862</v>
      </c>
      <c r="Q23" s="41">
        <v>277106</v>
      </c>
      <c r="R23" s="41">
        <v>47411</v>
      </c>
      <c r="S23" s="41">
        <v>54003</v>
      </c>
    </row>
    <row r="24" spans="1:19" x14ac:dyDescent="0.25">
      <c r="A24" s="4"/>
      <c r="B24" s="6" t="s">
        <v>113</v>
      </c>
      <c r="C24" s="41">
        <v>-35899</v>
      </c>
      <c r="D24" s="41">
        <v>-84055</v>
      </c>
      <c r="E24" s="41">
        <v>-45066</v>
      </c>
      <c r="F24" s="41">
        <v>-65039</v>
      </c>
      <c r="G24" s="41">
        <f t="shared" si="0"/>
        <v>-230059</v>
      </c>
      <c r="H24" s="41">
        <v>-118189</v>
      </c>
      <c r="I24" s="41">
        <v>-89957</v>
      </c>
      <c r="J24" s="41">
        <v>-104634</v>
      </c>
      <c r="K24" s="41">
        <v>-94059</v>
      </c>
      <c r="L24" s="41">
        <f t="shared" si="1"/>
        <v>-406839</v>
      </c>
      <c r="M24" s="41">
        <v>-65428</v>
      </c>
      <c r="N24" s="41">
        <v>-80421.203093544231</v>
      </c>
      <c r="O24" s="41">
        <v>-89613.22016645578</v>
      </c>
      <c r="P24" s="41">
        <v>-160240.57673999999</v>
      </c>
      <c r="Q24" s="41">
        <v>-395703</v>
      </c>
      <c r="R24" s="41">
        <v>-77509</v>
      </c>
      <c r="S24" s="41">
        <v>-69916</v>
      </c>
    </row>
    <row r="25" spans="1:19" x14ac:dyDescent="0.25">
      <c r="A25" s="4"/>
      <c r="C25" s="35">
        <f t="shared" ref="C25:I25" si="4">SUM(C23:C24)</f>
        <v>-18591</v>
      </c>
      <c r="D25" s="35">
        <f t="shared" si="4"/>
        <v>-31641</v>
      </c>
      <c r="E25" s="35">
        <f t="shared" si="4"/>
        <v>1090</v>
      </c>
      <c r="F25" s="35">
        <f t="shared" si="4"/>
        <v>-19113</v>
      </c>
      <c r="G25" s="35">
        <f t="shared" si="0"/>
        <v>-68255</v>
      </c>
      <c r="H25" s="35">
        <f t="shared" si="4"/>
        <v>-84752</v>
      </c>
      <c r="I25" s="35">
        <f t="shared" si="4"/>
        <v>-16714</v>
      </c>
      <c r="J25" s="35">
        <f t="shared" ref="J25:N25" si="5">SUM(J23:J24)</f>
        <v>-51036</v>
      </c>
      <c r="K25" s="35">
        <f t="shared" si="5"/>
        <v>-34075</v>
      </c>
      <c r="L25" s="35">
        <f t="shared" si="5"/>
        <v>-186577</v>
      </c>
      <c r="M25" s="35">
        <f t="shared" si="5"/>
        <v>-18940</v>
      </c>
      <c r="N25" s="35">
        <f t="shared" si="5"/>
        <v>-32671.751797519755</v>
      </c>
      <c r="O25" s="35">
        <v>-24222.707645478877</v>
      </c>
      <c r="P25" s="35">
        <v>-42762.540557001368</v>
      </c>
      <c r="Q25" s="35">
        <v>-118597</v>
      </c>
      <c r="R25" s="35">
        <v>-30098</v>
      </c>
      <c r="S25" s="35">
        <f>SUM(S23:S24)</f>
        <v>-15913</v>
      </c>
    </row>
    <row r="26" spans="1:19" x14ac:dyDescent="0.25">
      <c r="A26" s="4"/>
    </row>
    <row r="27" spans="1:19" x14ac:dyDescent="0.25">
      <c r="A27" s="4"/>
      <c r="B27" s="5" t="s">
        <v>112</v>
      </c>
      <c r="C27" s="35">
        <f t="shared" ref="C27:I27" si="6">C20+C25</f>
        <v>15743</v>
      </c>
      <c r="D27" s="35">
        <f t="shared" si="6"/>
        <v>-23222.729999999981</v>
      </c>
      <c r="E27" s="35">
        <f t="shared" si="6"/>
        <v>61658.639999999898</v>
      </c>
      <c r="F27" s="35">
        <f t="shared" si="6"/>
        <v>42927.630000000121</v>
      </c>
      <c r="G27" s="35">
        <f t="shared" si="0"/>
        <v>97106.540000000037</v>
      </c>
      <c r="H27" s="35">
        <f t="shared" si="6"/>
        <v>-16972.359999999986</v>
      </c>
      <c r="I27" s="35">
        <f t="shared" si="6"/>
        <v>74502.63</v>
      </c>
      <c r="J27" s="35">
        <f>J20+J25</f>
        <v>39044.64000000013</v>
      </c>
      <c r="K27" s="35">
        <f>K20+K25</f>
        <v>19499.559999999823</v>
      </c>
      <c r="L27" s="35">
        <f t="shared" si="1"/>
        <v>116074.46999999997</v>
      </c>
      <c r="M27" s="35">
        <v>82581.410000000033</v>
      </c>
      <c r="N27" s="35">
        <v>70643.658202480277</v>
      </c>
      <c r="O27" s="35">
        <v>87863.70235452104</v>
      </c>
      <c r="P27" s="35">
        <v>32073.869442998781</v>
      </c>
      <c r="Q27" s="35">
        <v>273162.64000000013</v>
      </c>
      <c r="R27" s="35">
        <v>170073.39029000004</v>
      </c>
      <c r="S27" s="35">
        <f>S20+S25</f>
        <v>88290.410000000033</v>
      </c>
    </row>
    <row r="28" spans="1:19" x14ac:dyDescent="0.25">
      <c r="A28" s="4"/>
      <c r="B28" s="5"/>
    </row>
    <row r="29" spans="1:19" x14ac:dyDescent="0.25">
      <c r="A29" s="4"/>
      <c r="B29" s="5" t="s">
        <v>111</v>
      </c>
    </row>
    <row r="30" spans="1:19" x14ac:dyDescent="0.25">
      <c r="A30" s="4"/>
      <c r="B30" s="6" t="s">
        <v>110</v>
      </c>
      <c r="C30" s="41">
        <v>-8996</v>
      </c>
      <c r="D30" s="41">
        <v>-1661</v>
      </c>
      <c r="E30" s="41">
        <v>-5015</v>
      </c>
      <c r="F30" s="41">
        <v>-7538</v>
      </c>
      <c r="G30" s="41">
        <f t="shared" si="0"/>
        <v>-23210</v>
      </c>
      <c r="H30" s="41">
        <v>-7010</v>
      </c>
      <c r="I30" s="41">
        <v>-18875</v>
      </c>
      <c r="J30" s="41">
        <v>-10602</v>
      </c>
      <c r="K30" s="41">
        <v>-8315</v>
      </c>
      <c r="L30" s="41">
        <f t="shared" si="1"/>
        <v>-44802</v>
      </c>
      <c r="M30" s="41">
        <v>-17396</v>
      </c>
      <c r="N30" s="41">
        <v>-8324</v>
      </c>
      <c r="O30" s="41">
        <v>-11945</v>
      </c>
      <c r="P30" s="41">
        <v>-5632</v>
      </c>
      <c r="Q30" s="41">
        <v>-43297</v>
      </c>
      <c r="R30" s="41">
        <v>13334</v>
      </c>
      <c r="S30" s="41">
        <v>2496</v>
      </c>
    </row>
    <row r="31" spans="1:19" x14ac:dyDescent="0.25">
      <c r="A31" s="4"/>
      <c r="B31" s="6" t="s">
        <v>109</v>
      </c>
      <c r="C31" s="41">
        <v>4741</v>
      </c>
      <c r="D31" s="41">
        <v>6119</v>
      </c>
      <c r="E31" s="41">
        <v>-1030</v>
      </c>
      <c r="F31" s="41">
        <v>3765</v>
      </c>
      <c r="G31" s="41">
        <f t="shared" si="0"/>
        <v>13595</v>
      </c>
      <c r="H31" s="41">
        <v>14944</v>
      </c>
      <c r="I31" s="41">
        <v>-7203</v>
      </c>
      <c r="J31" s="41">
        <v>10274</v>
      </c>
      <c r="K31" s="41">
        <v>8071</v>
      </c>
      <c r="L31" s="41">
        <f t="shared" si="1"/>
        <v>26086</v>
      </c>
      <c r="M31" s="41">
        <v>-5546</v>
      </c>
      <c r="N31" s="41">
        <v>-7125</v>
      </c>
      <c r="O31" s="41">
        <v>-14918</v>
      </c>
      <c r="P31" s="41">
        <v>8344</v>
      </c>
      <c r="Q31" s="41">
        <v>-19245</v>
      </c>
      <c r="R31" s="41">
        <v>-36769</v>
      </c>
      <c r="S31" s="41">
        <v>-11167</v>
      </c>
    </row>
    <row r="32" spans="1:19" x14ac:dyDescent="0.25">
      <c r="A32" s="4"/>
      <c r="C32" s="35">
        <f t="shared" ref="C32:I32" si="7">SUM(C30:C31)</f>
        <v>-4255</v>
      </c>
      <c r="D32" s="35">
        <f t="shared" si="7"/>
        <v>4458</v>
      </c>
      <c r="E32" s="35">
        <f t="shared" si="7"/>
        <v>-6045</v>
      </c>
      <c r="F32" s="35">
        <f t="shared" si="7"/>
        <v>-3773</v>
      </c>
      <c r="G32" s="35">
        <f t="shared" si="0"/>
        <v>-9615</v>
      </c>
      <c r="H32" s="35">
        <f t="shared" si="7"/>
        <v>7934</v>
      </c>
      <c r="I32" s="35">
        <f t="shared" si="7"/>
        <v>-26078</v>
      </c>
      <c r="J32" s="35">
        <f>SUM(J30:J31)</f>
        <v>-328</v>
      </c>
      <c r="K32" s="35">
        <f>SUM(K30:K31)</f>
        <v>-244</v>
      </c>
      <c r="L32" s="35">
        <f t="shared" si="1"/>
        <v>-18716</v>
      </c>
      <c r="M32" s="35">
        <v>-22942</v>
      </c>
      <c r="N32" s="35">
        <v>-15449</v>
      </c>
      <c r="O32" s="35">
        <v>-26863</v>
      </c>
      <c r="P32" s="35">
        <v>2712</v>
      </c>
      <c r="Q32" s="35">
        <v>-62542</v>
      </c>
      <c r="R32" s="35">
        <v>-23435</v>
      </c>
      <c r="S32" s="35">
        <f>SUM(S30:S31)</f>
        <v>-8671</v>
      </c>
    </row>
    <row r="34" spans="1:19" x14ac:dyDescent="0.25">
      <c r="A34" s="4"/>
      <c r="B34" s="5" t="s">
        <v>108</v>
      </c>
      <c r="C34" s="35">
        <f t="shared" ref="C34:I34" si="8">C27+C32</f>
        <v>11488</v>
      </c>
      <c r="D34" s="35">
        <f t="shared" si="8"/>
        <v>-18764.729999999981</v>
      </c>
      <c r="E34" s="35">
        <f t="shared" si="8"/>
        <v>55613.639999999898</v>
      </c>
      <c r="F34" s="35">
        <f t="shared" si="8"/>
        <v>39154.630000000121</v>
      </c>
      <c r="G34" s="35">
        <f t="shared" si="0"/>
        <v>87491.540000000037</v>
      </c>
      <c r="H34" s="35">
        <f t="shared" si="8"/>
        <v>-9038.359999999986</v>
      </c>
      <c r="I34" s="35">
        <f t="shared" si="8"/>
        <v>48424.630000000005</v>
      </c>
      <c r="J34" s="35">
        <f>J27+J32</f>
        <v>38716.64000000013</v>
      </c>
      <c r="K34" s="35">
        <f>K27+K32</f>
        <v>19255.559999999823</v>
      </c>
      <c r="L34" s="35">
        <f t="shared" si="1"/>
        <v>97358.469999999972</v>
      </c>
      <c r="M34" s="35">
        <v>59639.410000000033</v>
      </c>
      <c r="N34" s="35">
        <v>55194.658202480277</v>
      </c>
      <c r="O34" s="35">
        <v>61000.70235452104</v>
      </c>
      <c r="P34" s="35">
        <v>34785.869442998781</v>
      </c>
      <c r="Q34" s="35">
        <v>210620.64000000013</v>
      </c>
      <c r="R34" s="35">
        <v>146638.39029000004</v>
      </c>
      <c r="S34" s="35">
        <f>S27+S32</f>
        <v>79619.410000000033</v>
      </c>
    </row>
    <row r="35" spans="1:19" x14ac:dyDescent="0.25">
      <c r="A35" s="4"/>
      <c r="B35" s="5"/>
    </row>
    <row r="36" spans="1:19" x14ac:dyDescent="0.25">
      <c r="A36" s="4"/>
      <c r="B36" s="5" t="s">
        <v>107</v>
      </c>
      <c r="C36" s="41">
        <v>-14264</v>
      </c>
      <c r="D36" s="41">
        <v>493</v>
      </c>
      <c r="E36" s="41">
        <v>-2794</v>
      </c>
      <c r="F36" s="41">
        <v>-13010</v>
      </c>
      <c r="G36" s="41">
        <f t="shared" si="0"/>
        <v>-29575</v>
      </c>
      <c r="H36" s="41">
        <v>-7436</v>
      </c>
      <c r="I36" s="41">
        <v>-52689</v>
      </c>
      <c r="J36" s="41">
        <v>-17314</v>
      </c>
      <c r="K36" s="41">
        <v>-4416</v>
      </c>
      <c r="L36" s="41">
        <f t="shared" si="1"/>
        <v>-81855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</row>
    <row r="37" spans="1:19" x14ac:dyDescent="0.25">
      <c r="A37" s="4"/>
      <c r="B37" s="6" t="s">
        <v>106</v>
      </c>
    </row>
    <row r="38" spans="1:19" x14ac:dyDescent="0.25">
      <c r="A38" s="4"/>
    </row>
    <row r="39" spans="1:19" x14ac:dyDescent="0.25">
      <c r="A39" s="4"/>
      <c r="B39" s="5" t="s">
        <v>105</v>
      </c>
      <c r="C39" s="35">
        <f t="shared" ref="C39:I39" si="9">C34+C36</f>
        <v>-2776</v>
      </c>
      <c r="D39" s="35">
        <f t="shared" si="9"/>
        <v>-18271.729999999981</v>
      </c>
      <c r="E39" s="35">
        <f t="shared" si="9"/>
        <v>52819.639999999898</v>
      </c>
      <c r="F39" s="35">
        <f t="shared" si="9"/>
        <v>26144.630000000121</v>
      </c>
      <c r="G39" s="35">
        <f t="shared" si="0"/>
        <v>57916.540000000037</v>
      </c>
      <c r="H39" s="35">
        <f t="shared" si="9"/>
        <v>-16474.359999999986</v>
      </c>
      <c r="I39" s="35">
        <f t="shared" si="9"/>
        <v>-4264.3699999999953</v>
      </c>
      <c r="J39" s="35">
        <f>J34+J36</f>
        <v>21402.64000000013</v>
      </c>
      <c r="K39" s="35">
        <f>K34+K36</f>
        <v>14839.559999999823</v>
      </c>
      <c r="L39" s="35">
        <f t="shared" si="1"/>
        <v>15503.469999999972</v>
      </c>
      <c r="M39" s="35">
        <v>59639.410000000033</v>
      </c>
      <c r="N39" s="35">
        <v>55194.658202480277</v>
      </c>
      <c r="O39" s="35">
        <v>61000.70235452104</v>
      </c>
      <c r="P39" s="35">
        <v>34785.869442998781</v>
      </c>
      <c r="Q39" s="35">
        <v>210620.64000000013</v>
      </c>
      <c r="R39" s="35">
        <v>146638.39029000004</v>
      </c>
      <c r="S39" s="35">
        <f>S34</f>
        <v>79619.410000000033</v>
      </c>
    </row>
    <row r="40" spans="1:19" x14ac:dyDescent="0.25">
      <c r="A40" s="4"/>
      <c r="B40" s="5"/>
    </row>
    <row r="41" spans="1:19" x14ac:dyDescent="0.25">
      <c r="A41" s="4"/>
      <c r="B41" s="5" t="s">
        <v>104</v>
      </c>
    </row>
    <row r="42" spans="1:19" x14ac:dyDescent="0.25">
      <c r="A42" s="4"/>
      <c r="B42" s="6" t="s">
        <v>103</v>
      </c>
      <c r="C42" s="34">
        <v>-4959</v>
      </c>
      <c r="D42" s="34">
        <v>-17603</v>
      </c>
      <c r="E42" s="34">
        <v>52258</v>
      </c>
      <c r="F42" s="34">
        <v>29991</v>
      </c>
      <c r="G42" s="34">
        <f t="shared" si="0"/>
        <v>59687</v>
      </c>
      <c r="H42" s="34">
        <v>-18083</v>
      </c>
      <c r="I42" s="34">
        <v>-4302</v>
      </c>
      <c r="J42" s="34">
        <v>22078</v>
      </c>
      <c r="K42" s="34">
        <v>24786</v>
      </c>
      <c r="L42" s="34">
        <f t="shared" si="1"/>
        <v>24479</v>
      </c>
      <c r="M42" s="34">
        <v>59457</v>
      </c>
      <c r="N42" s="34">
        <v>57521</v>
      </c>
      <c r="O42" s="34">
        <v>60712</v>
      </c>
      <c r="P42" s="34">
        <v>35596</v>
      </c>
      <c r="Q42" s="34">
        <v>213286</v>
      </c>
      <c r="R42" s="34">
        <v>147874</v>
      </c>
      <c r="S42" s="34">
        <v>79635</v>
      </c>
    </row>
    <row r="43" spans="1:19" x14ac:dyDescent="0.25">
      <c r="A43" s="4"/>
      <c r="B43" s="6" t="s">
        <v>67</v>
      </c>
      <c r="C43" s="34">
        <v>2183</v>
      </c>
      <c r="D43" s="34">
        <v>-668.72999999998137</v>
      </c>
      <c r="E43" s="34">
        <v>561.64000000013039</v>
      </c>
      <c r="F43" s="34">
        <v>-3846.3700000001118</v>
      </c>
      <c r="G43" s="34">
        <f t="shared" si="0"/>
        <v>-1770.4599999999627</v>
      </c>
      <c r="H43" s="34">
        <v>1608.640000000014</v>
      </c>
      <c r="I43" s="34">
        <v>37.630000000004657</v>
      </c>
      <c r="J43" s="34">
        <v>-675.35999999986961</v>
      </c>
      <c r="K43" s="34">
        <v>-9946.440000000177</v>
      </c>
      <c r="L43" s="34">
        <f t="shared" si="1"/>
        <v>-8975.5300000000279</v>
      </c>
      <c r="M43" s="34">
        <v>182.4100000000326</v>
      </c>
      <c r="N43" s="34">
        <v>-2326.3417975197081</v>
      </c>
      <c r="O43" s="34">
        <v>288.70235452102497</v>
      </c>
      <c r="P43" s="34">
        <v>-810.13055700121913</v>
      </c>
      <c r="Q43" s="34">
        <v>-2665.3599999998696</v>
      </c>
      <c r="R43" s="34">
        <v>-1235.6097099999606</v>
      </c>
      <c r="S43" s="34">
        <v>-16</v>
      </c>
    </row>
    <row r="44" spans="1:19" x14ac:dyDescent="0.25">
      <c r="A44" s="4"/>
    </row>
    <row r="45" spans="1:19" x14ac:dyDescent="0.25">
      <c r="A45" s="4"/>
    </row>
    <row r="46" spans="1:19" x14ac:dyDescent="0.25">
      <c r="A46" s="4"/>
    </row>
    <row r="47" spans="1:19" x14ac:dyDescent="0.25">
      <c r="A47" s="4"/>
    </row>
    <row r="49" spans="1:1" x14ac:dyDescent="0.25">
      <c r="A49" s="4"/>
    </row>
    <row r="50" spans="1:1" x14ac:dyDescent="0.25">
      <c r="A50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3" spans="1:1" x14ac:dyDescent="0.25">
      <c r="A73" s="4"/>
    </row>
    <row r="74" spans="1:1" x14ac:dyDescent="0.25">
      <c r="A74" s="4"/>
    </row>
    <row r="76" spans="1:1" x14ac:dyDescent="0.25">
      <c r="A76" s="4"/>
    </row>
    <row r="77" spans="1:1" x14ac:dyDescent="0.25">
      <c r="A77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0"/>
  <sheetViews>
    <sheetView showGridLines="0" zoomScale="90" zoomScaleNormal="90" workbookViewId="0">
      <pane xSplit="2" topLeftCell="G1" activePane="topRight" state="frozen"/>
      <selection activeCell="A4" sqref="A4"/>
      <selection pane="topRight" activeCell="S1" sqref="S1:S1048576"/>
    </sheetView>
  </sheetViews>
  <sheetFormatPr defaultRowHeight="12.75" outlineLevelCol="1" x14ac:dyDescent="0.2"/>
  <cols>
    <col min="1" max="1" width="1.5703125" style="155" customWidth="1"/>
    <col min="2" max="2" width="22.85546875" style="157" bestFit="1" customWidth="1"/>
    <col min="3" max="7" width="13.5703125" style="157" customWidth="1" outlineLevel="1"/>
    <col min="8" max="11" width="13.5703125" style="157" customWidth="1"/>
    <col min="12" max="19" width="13.5703125" style="151" customWidth="1"/>
    <col min="20" max="16384" width="9.140625" style="151"/>
  </cols>
  <sheetData>
    <row r="1" spans="1:19" s="150" customFormat="1" ht="8.25" customHeight="1" x14ac:dyDescent="0.2"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9" x14ac:dyDescent="0.2">
      <c r="A2" s="150"/>
    </row>
    <row r="3" spans="1:19" x14ac:dyDescent="0.2">
      <c r="A3" s="150"/>
    </row>
    <row r="4" spans="1:19" x14ac:dyDescent="0.2">
      <c r="A4" s="150"/>
    </row>
    <row r="5" spans="1:19" x14ac:dyDescent="0.2">
      <c r="A5" s="150"/>
    </row>
    <row r="6" spans="1:19" ht="16.5" customHeight="1" x14ac:dyDescent="0.2">
      <c r="A6" s="150"/>
      <c r="B6" s="158" t="s">
        <v>332</v>
      </c>
      <c r="C6" s="152" t="s">
        <v>348</v>
      </c>
      <c r="D6" s="152" t="s">
        <v>349</v>
      </c>
      <c r="E6" s="152" t="s">
        <v>350</v>
      </c>
      <c r="F6" s="152" t="s">
        <v>351</v>
      </c>
      <c r="G6" s="152" t="s">
        <v>352</v>
      </c>
      <c r="H6" s="152" t="s">
        <v>353</v>
      </c>
      <c r="I6" s="152" t="s">
        <v>354</v>
      </c>
      <c r="J6" s="152" t="s">
        <v>355</v>
      </c>
      <c r="K6" s="152" t="s">
        <v>356</v>
      </c>
      <c r="L6" s="152" t="s">
        <v>357</v>
      </c>
      <c r="M6" s="152" t="s">
        <v>358</v>
      </c>
      <c r="N6" s="152" t="s">
        <v>359</v>
      </c>
      <c r="O6" s="152" t="s">
        <v>360</v>
      </c>
      <c r="P6" s="152" t="s">
        <v>361</v>
      </c>
      <c r="Q6" s="152" t="s">
        <v>362</v>
      </c>
      <c r="R6" s="152" t="s">
        <v>365</v>
      </c>
      <c r="S6" s="152" t="s">
        <v>372</v>
      </c>
    </row>
    <row r="7" spans="1:19" ht="16.5" customHeight="1" x14ac:dyDescent="0.2">
      <c r="A7" s="150"/>
      <c r="B7" s="159" t="s">
        <v>254</v>
      </c>
      <c r="C7" s="160">
        <v>365138</v>
      </c>
      <c r="D7" s="160">
        <v>392746</v>
      </c>
      <c r="E7" s="160">
        <v>421274</v>
      </c>
      <c r="F7" s="160">
        <v>437255</v>
      </c>
      <c r="G7" s="160">
        <v>1616413</v>
      </c>
      <c r="H7" s="160">
        <v>447543</v>
      </c>
      <c r="I7" s="160">
        <v>456843</v>
      </c>
      <c r="J7" s="160">
        <v>496301</v>
      </c>
      <c r="K7" s="160">
        <v>478750</v>
      </c>
      <c r="L7" s="160">
        <v>1879437</v>
      </c>
      <c r="M7" s="160">
        <v>529279</v>
      </c>
      <c r="N7" s="160">
        <v>534356</v>
      </c>
      <c r="O7" s="160">
        <v>558409</v>
      </c>
      <c r="P7" s="160">
        <v>633466</v>
      </c>
      <c r="Q7" s="160">
        <v>2255510</v>
      </c>
      <c r="R7" s="160">
        <v>484319</v>
      </c>
      <c r="S7" s="160">
        <f>'[1]DRE Op Continuada'!S9</f>
        <v>518153</v>
      </c>
    </row>
    <row r="8" spans="1:19" s="154" customFormat="1" x14ac:dyDescent="0.2">
      <c r="A8" s="153"/>
      <c r="B8" s="161" t="s">
        <v>333</v>
      </c>
      <c r="C8" s="154">
        <v>0.27184790408010123</v>
      </c>
      <c r="D8" s="154">
        <v>0.32768575618847812</v>
      </c>
      <c r="E8" s="154">
        <v>0.30546067405061766</v>
      </c>
      <c r="F8" s="154">
        <v>0.3081831654297838</v>
      </c>
      <c r="G8" s="154">
        <v>0.30400432315256065</v>
      </c>
      <c r="H8" s="154">
        <v>0.33685174385478045</v>
      </c>
      <c r="I8" s="154">
        <v>0.37086182780517596</v>
      </c>
      <c r="J8" s="154">
        <v>0.36342590484403642</v>
      </c>
      <c r="K8" s="154">
        <v>0.35316461618798917</v>
      </c>
      <c r="L8" s="154">
        <v>0.35629152240804024</v>
      </c>
      <c r="M8" s="154">
        <v>0.39208321131199242</v>
      </c>
      <c r="N8" s="154">
        <v>0.36178018025436232</v>
      </c>
      <c r="O8" s="154">
        <v>0.34999330240021187</v>
      </c>
      <c r="P8" s="154">
        <v>0.35764257276633654</v>
      </c>
      <c r="Q8" s="154">
        <v>0.36481090307735287</v>
      </c>
      <c r="R8" s="154">
        <v>0.36999871985199845</v>
      </c>
      <c r="S8" s="181">
        <f>'[1]DRE Op Continuada'!S11/'[1]DRE Op Continuada'!S9</f>
        <v>0.36560322916204291</v>
      </c>
    </row>
    <row r="9" spans="1:19" x14ac:dyDescent="0.2">
      <c r="A9" s="150"/>
      <c r="B9" s="162" t="s">
        <v>334</v>
      </c>
      <c r="C9" s="163">
        <v>9.4030202279686032E-2</v>
      </c>
      <c r="D9" s="163">
        <v>2.1434387619479304E-2</v>
      </c>
      <c r="E9" s="163">
        <v>0.14377493033037855</v>
      </c>
      <c r="F9" s="163">
        <v>0.14188661078775572</v>
      </c>
      <c r="G9" s="163">
        <v>0.10230154050975836</v>
      </c>
      <c r="H9" s="163">
        <v>0.15144833010459333</v>
      </c>
      <c r="I9" s="163">
        <v>0.19966734742570205</v>
      </c>
      <c r="J9" s="163">
        <v>0.1815040469392569</v>
      </c>
      <c r="K9" s="163">
        <v>0.11190508616187952</v>
      </c>
      <c r="L9" s="163">
        <v>0.16103304872682617</v>
      </c>
      <c r="M9" s="163">
        <v>0.1918107652107868</v>
      </c>
      <c r="N9" s="163">
        <v>0.19334565345949148</v>
      </c>
      <c r="O9" s="163">
        <v>0.20072457643053732</v>
      </c>
      <c r="P9" s="163">
        <v>0.11813800582825305</v>
      </c>
      <c r="Q9" s="163">
        <v>0.17369004792707643</v>
      </c>
      <c r="R9" s="163">
        <v>0.41330484719781807</v>
      </c>
      <c r="S9" s="163">
        <f>'[1]DRE Op Continuada'!S20/'[1]DRE Op Continuada'!S9</f>
        <v>0.20110548428745956</v>
      </c>
    </row>
    <row r="10" spans="1:19" x14ac:dyDescent="0.2">
      <c r="A10" s="150"/>
      <c r="B10" s="164" t="s">
        <v>335</v>
      </c>
      <c r="C10" s="165">
        <v>-1.358116657263829E-2</v>
      </c>
      <c r="D10" s="165">
        <v>-4.4820316438614269E-2</v>
      </c>
      <c r="E10" s="165">
        <v>0.12404753201004572</v>
      </c>
      <c r="F10" s="165">
        <v>6.8589267132451309E-2</v>
      </c>
      <c r="G10" s="165">
        <v>3.6925587705617317E-2</v>
      </c>
      <c r="H10" s="165">
        <v>-4.0405056050480066E-2</v>
      </c>
      <c r="I10" s="165">
        <v>-9.4168018334526305E-3</v>
      </c>
      <c r="J10" s="165">
        <v>4.4485100775537426E-2</v>
      </c>
      <c r="K10" s="165">
        <v>5.1772323759791121E-2</v>
      </c>
      <c r="L10" s="165">
        <v>1.3024645146392243E-2</v>
      </c>
      <c r="M10" s="165">
        <v>0.11233583799848473</v>
      </c>
      <c r="N10" s="165">
        <v>0.10764546482120534</v>
      </c>
      <c r="O10" s="165">
        <v>0.10872317602330908</v>
      </c>
      <c r="P10" s="165">
        <v>5.6192439688949367E-2</v>
      </c>
      <c r="Q10" s="165">
        <v>9.4562205443558214E-2</v>
      </c>
      <c r="R10" s="165">
        <v>0.30532355740741124</v>
      </c>
      <c r="S10" s="182">
        <f>'[1]DRE Op Continuada'!S42/'[1]DRE Op Continuada'!S9</f>
        <v>0.15369012627544373</v>
      </c>
    </row>
    <row r="11" spans="1:19" x14ac:dyDescent="0.2">
      <c r="A11" s="150"/>
      <c r="B11" s="164" t="s">
        <v>336</v>
      </c>
      <c r="C11" s="166">
        <v>1.3050535758655406</v>
      </c>
      <c r="D11" s="166">
        <v>1.8298026037897275</v>
      </c>
      <c r="E11" s="166">
        <v>1.5702763109065165</v>
      </c>
      <c r="F11" s="166">
        <v>1.5529352411542441</v>
      </c>
      <c r="G11" s="166">
        <v>1.5529352411542441</v>
      </c>
      <c r="H11" s="166">
        <v>1.4841054551483999</v>
      </c>
      <c r="I11" s="166">
        <v>1.7157483971297074</v>
      </c>
      <c r="J11" s="166">
        <v>1.8290790316411469</v>
      </c>
      <c r="K11" s="166">
        <v>1.8679708237921095</v>
      </c>
      <c r="L11" s="166">
        <v>1.8679708237921095</v>
      </c>
      <c r="M11" s="166">
        <v>1.8921835519089327</v>
      </c>
      <c r="N11" s="166">
        <v>2.0268925446362878</v>
      </c>
      <c r="O11" s="166">
        <v>1.9998650292189493</v>
      </c>
      <c r="P11" s="166">
        <v>2.2995355335014604</v>
      </c>
      <c r="Q11" s="167">
        <v>2.2995355335014604</v>
      </c>
      <c r="R11" s="166">
        <v>2.823667328606668</v>
      </c>
      <c r="S11" s="183">
        <f>SUM([1]Balanço!BK22,[1]Balanço!BK25)/[1]Balanço!BK59</f>
        <v>3.1197054621386964</v>
      </c>
    </row>
    <row r="12" spans="1:19" x14ac:dyDescent="0.2">
      <c r="A12" s="150"/>
      <c r="B12" s="164" t="s">
        <v>337</v>
      </c>
      <c r="C12" s="160">
        <v>1454976</v>
      </c>
      <c r="D12" s="160">
        <v>1246511</v>
      </c>
      <c r="E12" s="160">
        <v>1293205</v>
      </c>
      <c r="F12" s="160">
        <v>1266622</v>
      </c>
      <c r="G12" s="160">
        <v>1266622</v>
      </c>
      <c r="H12" s="160">
        <v>1247316</v>
      </c>
      <c r="I12" s="160">
        <v>1075687</v>
      </c>
      <c r="J12" s="160">
        <v>1106080</v>
      </c>
      <c r="K12" s="160">
        <v>867155</v>
      </c>
      <c r="L12" s="160">
        <v>867155</v>
      </c>
      <c r="M12" s="160">
        <v>902382</v>
      </c>
      <c r="N12" s="160">
        <v>762254</v>
      </c>
      <c r="O12" s="160">
        <v>736416</v>
      </c>
      <c r="P12" s="160">
        <v>709954</v>
      </c>
      <c r="Q12" s="160">
        <v>709954</v>
      </c>
      <c r="R12" s="160">
        <v>700895</v>
      </c>
      <c r="S12" s="160">
        <f>[1]Balanço!BK50+[1]Balanço!BK63</f>
        <v>597670</v>
      </c>
    </row>
    <row r="13" spans="1:19" x14ac:dyDescent="0.2">
      <c r="A13" s="150"/>
      <c r="B13" s="164" t="s">
        <v>338</v>
      </c>
      <c r="C13" s="169">
        <v>582000</v>
      </c>
      <c r="D13" s="169">
        <v>536584</v>
      </c>
      <c r="E13" s="169">
        <v>643846.38352633337</v>
      </c>
      <c r="F13" s="169">
        <v>706895</v>
      </c>
      <c r="G13" s="169">
        <v>590480</v>
      </c>
      <c r="H13" s="169">
        <v>581774</v>
      </c>
      <c r="I13" s="169">
        <v>537900</v>
      </c>
      <c r="J13" s="169">
        <v>511340</v>
      </c>
      <c r="K13" s="169">
        <v>326898</v>
      </c>
      <c r="L13" s="169">
        <v>326898</v>
      </c>
      <c r="M13" s="169">
        <v>321905</v>
      </c>
      <c r="N13" s="169">
        <v>301000</v>
      </c>
      <c r="O13" s="169">
        <v>125706</v>
      </c>
      <c r="P13" s="169">
        <v>72666</v>
      </c>
      <c r="Q13" s="169">
        <v>72666</v>
      </c>
      <c r="R13" s="169">
        <v>-68806</v>
      </c>
      <c r="S13" s="169">
        <v>-131214</v>
      </c>
    </row>
    <row r="14" spans="1:19" x14ac:dyDescent="0.2">
      <c r="A14" s="150"/>
      <c r="B14" s="162" t="s">
        <v>346</v>
      </c>
      <c r="C14" s="160">
        <v>7.0152902716952816</v>
      </c>
      <c r="D14" s="160">
        <v>4.9482592010052748</v>
      </c>
      <c r="E14" s="160">
        <v>4.8354151812495791</v>
      </c>
      <c r="F14" s="160">
        <v>3.9779724053374292</v>
      </c>
      <c r="G14" s="160">
        <v>3.9779724053374292</v>
      </c>
      <c r="H14" s="160">
        <v>3.5375264524522674</v>
      </c>
      <c r="I14" s="160">
        <v>2.6224649520720114</v>
      </c>
      <c r="J14" s="160">
        <v>2.4879874593262059</v>
      </c>
      <c r="K14" s="160">
        <v>1.8132013866882366</v>
      </c>
      <c r="L14" s="160">
        <v>1.8132013866882366</v>
      </c>
      <c r="M14" s="160">
        <v>1.7261445053218367</v>
      </c>
      <c r="N14" s="160">
        <v>1.4167417574581764</v>
      </c>
      <c r="O14" s="160">
        <v>1.3274445587224428</v>
      </c>
      <c r="P14" s="160">
        <v>1.2527690500691917</v>
      </c>
      <c r="Q14" s="160">
        <v>1.2527690500691917</v>
      </c>
      <c r="R14" s="160">
        <v>1.2994754607704098</v>
      </c>
      <c r="S14" s="160">
        <f>S12/(S15+R15+P15+O15)</f>
        <v>1.1198152101212688</v>
      </c>
    </row>
    <row r="15" spans="1:19" x14ac:dyDescent="0.2">
      <c r="A15" s="150"/>
      <c r="B15" s="164" t="s">
        <v>267</v>
      </c>
      <c r="C15" s="160">
        <v>64895.723210316202</v>
      </c>
      <c r="D15" s="160">
        <v>62040.114857286899</v>
      </c>
      <c r="E15" s="160">
        <v>90006.148845614705</v>
      </c>
      <c r="F15" s="160">
        <v>101466.95888553</v>
      </c>
      <c r="G15" s="160">
        <v>318408.94579874782</v>
      </c>
      <c r="H15" s="160">
        <v>99082.303343350897</v>
      </c>
      <c r="I15" s="160">
        <v>119626.238502975</v>
      </c>
      <c r="J15" s="160">
        <v>124392.656496536</v>
      </c>
      <c r="K15" s="160">
        <v>135144.078969569</v>
      </c>
      <c r="L15" s="160">
        <v>478245.2773124309</v>
      </c>
      <c r="M15" s="160">
        <v>143610.17579786401</v>
      </c>
      <c r="N15" s="160">
        <v>134886.21720651901</v>
      </c>
      <c r="O15" s="160">
        <v>141121.679982692</v>
      </c>
      <c r="P15" s="160">
        <v>147089.73318102001</v>
      </c>
      <c r="Q15" s="160">
        <v>566707.80616809498</v>
      </c>
      <c r="R15" s="160">
        <v>116270</v>
      </c>
      <c r="S15" s="160">
        <v>129240.57471255213</v>
      </c>
    </row>
    <row r="16" spans="1:19" x14ac:dyDescent="0.2">
      <c r="B16" s="164" t="s">
        <v>339</v>
      </c>
      <c r="C16" s="160">
        <v>2.8061623958928905</v>
      </c>
      <c r="D16" s="160">
        <v>2.1300708257786849</v>
      </c>
      <c r="E16" s="160">
        <v>2.4074022117884417</v>
      </c>
      <c r="F16" s="160">
        <v>2.2200852373249496</v>
      </c>
      <c r="G16" s="160">
        <v>1.8544705096734821</v>
      </c>
      <c r="H16" s="160">
        <v>1.649975558999456</v>
      </c>
      <c r="I16" s="160">
        <v>1.3113702198869512</v>
      </c>
      <c r="J16" s="160">
        <v>1.1501948389373844</v>
      </c>
      <c r="K16" s="160">
        <v>0.68353628463839933</v>
      </c>
      <c r="L16" s="160">
        <v>0.68353628463839933</v>
      </c>
      <c r="M16" s="160">
        <v>0.61576421846360618</v>
      </c>
      <c r="N16" s="160">
        <v>0.55944510490585964</v>
      </c>
      <c r="O16" s="160">
        <v>0.22659440547022799</v>
      </c>
      <c r="P16" s="160">
        <v>0.12822480863876798</v>
      </c>
      <c r="Q16" s="160">
        <v>0.12822480863876798</v>
      </c>
      <c r="R16" s="160">
        <v>0.12756790753788916</v>
      </c>
      <c r="S16" s="160">
        <f>S13/(S15+R15+P15+O15)</f>
        <v>-0.24584709451846698</v>
      </c>
    </row>
    <row r="17" spans="1:19" x14ac:dyDescent="0.2">
      <c r="A17" s="150"/>
      <c r="B17" s="164" t="s">
        <v>345</v>
      </c>
      <c r="C17" s="173"/>
      <c r="D17" s="173"/>
      <c r="E17" s="173"/>
      <c r="F17" s="173"/>
      <c r="G17" s="174">
        <v>0.11048190875426361</v>
      </c>
      <c r="H17" s="174"/>
      <c r="I17" s="174"/>
      <c r="J17" s="174"/>
      <c r="K17" s="174"/>
      <c r="L17" s="174">
        <v>0.17746520187452422</v>
      </c>
      <c r="M17" s="174"/>
      <c r="N17" s="174"/>
      <c r="O17" s="174"/>
      <c r="P17" s="174"/>
      <c r="Q17" s="174">
        <v>0.2393938027919213</v>
      </c>
      <c r="R17" s="174">
        <v>0.21</v>
      </c>
      <c r="S17" s="184">
        <v>0.22500000000000001</v>
      </c>
    </row>
    <row r="18" spans="1:19" x14ac:dyDescent="0.2">
      <c r="A18" s="150"/>
      <c r="B18" s="162" t="s">
        <v>347</v>
      </c>
      <c r="C18" s="170">
        <v>-204659</v>
      </c>
      <c r="D18" s="170">
        <v>-168262</v>
      </c>
      <c r="E18" s="170">
        <v>-24304</v>
      </c>
      <c r="F18" s="170">
        <v>59687</v>
      </c>
      <c r="G18" s="170">
        <v>59687</v>
      </c>
      <c r="H18" s="170">
        <v>46563</v>
      </c>
      <c r="I18" s="170">
        <v>59864</v>
      </c>
      <c r="J18" s="170">
        <v>29684</v>
      </c>
      <c r="K18" s="170">
        <v>24479</v>
      </c>
      <c r="L18" s="170">
        <v>24479</v>
      </c>
      <c r="M18" s="170">
        <v>102019</v>
      </c>
      <c r="N18" s="170">
        <v>163842</v>
      </c>
      <c r="O18" s="170">
        <v>202476</v>
      </c>
      <c r="P18" s="170">
        <v>213286</v>
      </c>
      <c r="Q18" s="170">
        <v>213286</v>
      </c>
      <c r="R18" s="170">
        <v>301703</v>
      </c>
      <c r="S18" s="185">
        <f>SUM('[1]DRE Op Continuada'!R42:S42)</f>
        <v>227509</v>
      </c>
    </row>
    <row r="19" spans="1:19" x14ac:dyDescent="0.2">
      <c r="A19" s="150"/>
      <c r="B19" s="162" t="s">
        <v>340</v>
      </c>
      <c r="C19" s="171">
        <v>-0.16235999892108532</v>
      </c>
      <c r="D19" s="171">
        <v>-0.14359447885535415</v>
      </c>
      <c r="E19" s="171">
        <v>-1.8923544333759496E-2</v>
      </c>
      <c r="F19" s="171">
        <v>4.5683744525558616E-2</v>
      </c>
      <c r="G19" s="171">
        <v>4.5683744525558616E-2</v>
      </c>
      <c r="H19" s="171">
        <v>3.9076097811510259E-2</v>
      </c>
      <c r="I19" s="171">
        <v>4.7771084385421297E-2</v>
      </c>
      <c r="J19" s="171">
        <v>2.2458835430242859E-2</v>
      </c>
      <c r="K19" s="171">
        <v>1.9234289979767026E-2</v>
      </c>
      <c r="L19" s="171">
        <v>1.9234289979767026E-2</v>
      </c>
      <c r="M19" s="171">
        <v>7.7516676278464022E-2</v>
      </c>
      <c r="N19" s="171">
        <v>0.12360545716260135</v>
      </c>
      <c r="O19" s="171">
        <v>0.14533839146959915</v>
      </c>
      <c r="P19" s="171">
        <v>0.16021254907911173</v>
      </c>
      <c r="Q19" s="171">
        <v>0.16021254907911173</v>
      </c>
      <c r="R19" s="171">
        <v>0.19270475714779356</v>
      </c>
      <c r="S19" s="186">
        <f>S18/[1]Balanço!BK84</f>
        <v>0.13539953781485098</v>
      </c>
    </row>
    <row r="20" spans="1:19" x14ac:dyDescent="0.2">
      <c r="A20" s="150"/>
      <c r="B20" s="162" t="s">
        <v>341</v>
      </c>
      <c r="C20" s="168">
        <v>-3.1374935211629995</v>
      </c>
      <c r="D20" s="168">
        <v>-4.6379832627138944</v>
      </c>
      <c r="E20" s="168">
        <v>-24.227540677711765</v>
      </c>
      <c r="F20" s="168">
        <v>10.144982485855438</v>
      </c>
      <c r="G20" s="168">
        <v>10.144982485855438</v>
      </c>
      <c r="H20" s="168">
        <v>15.111546980297289</v>
      </c>
      <c r="I20" s="168">
        <v>11.308976744012561</v>
      </c>
      <c r="J20" s="168">
        <v>24.492630202439663</v>
      </c>
      <c r="K20" s="168">
        <v>27.432419592989859</v>
      </c>
      <c r="L20" s="168">
        <v>27.432419592989859</v>
      </c>
      <c r="M20" s="168">
        <v>7.0930413971348507</v>
      </c>
      <c r="N20" s="168">
        <v>6.8399014727667584</v>
      </c>
      <c r="O20" s="168">
        <v>6.5751357560185744</v>
      </c>
      <c r="P20" s="168">
        <v>7.701537895126731</v>
      </c>
      <c r="Q20" s="168">
        <v>7.5682271362200897</v>
      </c>
      <c r="R20" s="168">
        <v>4.8283149317043588</v>
      </c>
      <c r="S20" s="187">
        <f>S30</f>
        <v>5.37054734687419</v>
      </c>
    </row>
    <row r="21" spans="1:19" x14ac:dyDescent="0.2">
      <c r="A21" s="150"/>
      <c r="B21" s="164" t="s">
        <v>342</v>
      </c>
      <c r="C21" s="168">
        <v>5.9021805696051493</v>
      </c>
      <c r="D21" s="168">
        <v>5.2280004618609679</v>
      </c>
      <c r="E21" s="168">
        <v>4.6090785880842144</v>
      </c>
      <c r="F21" s="168">
        <v>3.7561870839809708</v>
      </c>
      <c r="G21" s="168">
        <v>3.7561870839809708</v>
      </c>
      <c r="H21" s="168">
        <v>3.4455927385721212</v>
      </c>
      <c r="I21" s="168">
        <v>2.9618599102496193</v>
      </c>
      <c r="J21" s="168">
        <v>2.7855779024969967</v>
      </c>
      <c r="K21" s="168">
        <v>2.0876655694909196</v>
      </c>
      <c r="L21" s="168">
        <v>2.0876655694909196</v>
      </c>
      <c r="M21" s="168">
        <v>2.719464719515222</v>
      </c>
      <c r="N21" s="168">
        <v>2.6423338301537913</v>
      </c>
      <c r="O21" s="168">
        <v>2.6263745322148182</v>
      </c>
      <c r="P21" s="168">
        <v>2.9766007713602702</v>
      </c>
      <c r="Q21" s="168">
        <v>2.9766007713602702</v>
      </c>
      <c r="R21" s="168">
        <v>2.8283549363035658</v>
      </c>
      <c r="S21" s="187">
        <f>S23/SUM(O15:P15,R15,S15)</f>
        <v>2.0434493633656476</v>
      </c>
    </row>
    <row r="22" spans="1:19" x14ac:dyDescent="0.2">
      <c r="A22" s="150"/>
      <c r="B22" s="164" t="s">
        <v>343</v>
      </c>
      <c r="C22" s="168">
        <v>0.66485628934856944</v>
      </c>
      <c r="D22" s="168">
        <v>0.72389581045161278</v>
      </c>
      <c r="E22" s="168">
        <v>0.71729136375479563</v>
      </c>
      <c r="F22" s="168">
        <v>0.81193269890384057</v>
      </c>
      <c r="G22" s="168">
        <v>0.7399121200047597</v>
      </c>
      <c r="H22" s="168">
        <v>0.75665136703495173</v>
      </c>
      <c r="I22" s="168">
        <v>0.68914302947309869</v>
      </c>
      <c r="J22" s="168">
        <v>0.67378580767468121</v>
      </c>
      <c r="K22" s="168">
        <v>0.53123153328193429</v>
      </c>
      <c r="L22" s="168">
        <v>0.53123153328193429</v>
      </c>
      <c r="M22" s="168">
        <v>0.533114615739815</v>
      </c>
      <c r="N22" s="168">
        <v>0.69734286550309921</v>
      </c>
      <c r="O22" s="168">
        <v>0.69355357418938601</v>
      </c>
      <c r="P22" s="168">
        <v>0.76049151256256897</v>
      </c>
      <c r="Q22" s="168">
        <v>0.74788535319100247</v>
      </c>
      <c r="R22" s="168">
        <v>0.69011019874691826</v>
      </c>
      <c r="S22" s="187">
        <f>S23/SUM(O7:P7,R7:S7)</f>
        <v>0.49701977688123161</v>
      </c>
    </row>
    <row r="23" spans="1:19" x14ac:dyDescent="0.2">
      <c r="A23" s="150"/>
      <c r="B23" s="164" t="s">
        <v>344</v>
      </c>
      <c r="C23" s="172">
        <v>1224116.2865476983</v>
      </c>
      <c r="D23" s="172">
        <v>1316980.3397507654</v>
      </c>
      <c r="E23" s="172">
        <v>1232672.5321574402</v>
      </c>
      <c r="F23" s="172">
        <v>1312418.5696332536</v>
      </c>
      <c r="G23" s="172">
        <v>1196003.5696332536</v>
      </c>
      <c r="H23" s="172">
        <v>1285412.9620435827</v>
      </c>
      <c r="I23" s="172">
        <v>1214900.5838035678</v>
      </c>
      <c r="J23" s="172">
        <v>1238379.2349292189</v>
      </c>
      <c r="K23" s="172">
        <v>998416.19921679876</v>
      </c>
      <c r="L23" s="172">
        <v>998416.19921679876</v>
      </c>
      <c r="M23" s="172">
        <v>1045529.9902943003</v>
      </c>
      <c r="N23" s="172">
        <v>1421663.1371010514</v>
      </c>
      <c r="O23" s="172">
        <v>1457013.1873356169</v>
      </c>
      <c r="P23" s="172">
        <v>1715296.2115</v>
      </c>
      <c r="Q23" s="172">
        <v>1686862.8929758379</v>
      </c>
      <c r="R23" s="172">
        <v>1525523.09984</v>
      </c>
      <c r="S23" s="188">
        <f>S28</f>
        <v>1090633.8563399999</v>
      </c>
    </row>
    <row r="24" spans="1:19" x14ac:dyDescent="0.2">
      <c r="A24" s="150"/>
      <c r="S24" s="189">
        <v>15.22</v>
      </c>
    </row>
    <row r="25" spans="1:19" x14ac:dyDescent="0.2">
      <c r="A25" s="150"/>
      <c r="S25" s="190">
        <v>80279097</v>
      </c>
    </row>
    <row r="26" spans="1:19" x14ac:dyDescent="0.2">
      <c r="A26" s="150"/>
      <c r="B26" s="166"/>
      <c r="C26" s="166"/>
      <c r="S26" s="191">
        <v>45471</v>
      </c>
    </row>
    <row r="27" spans="1:19" x14ac:dyDescent="0.2">
      <c r="A27" s="150"/>
      <c r="S27" s="192">
        <f>S25/1000*S24</f>
        <v>1221847.8563399999</v>
      </c>
    </row>
    <row r="28" spans="1:19" x14ac:dyDescent="0.2">
      <c r="A28" s="150"/>
      <c r="S28" s="192">
        <f>S27+S13</f>
        <v>1090633.8563399999</v>
      </c>
    </row>
    <row r="29" spans="1:19" x14ac:dyDescent="0.2">
      <c r="A29" s="150"/>
      <c r="S29" s="193">
        <f>S18*1000/S25</f>
        <v>2.8339755739903252</v>
      </c>
    </row>
    <row r="30" spans="1:19" x14ac:dyDescent="0.2">
      <c r="A30" s="150"/>
      <c r="S30" s="194">
        <f>S24/S29</f>
        <v>5.37054734687419</v>
      </c>
    </row>
    <row r="31" spans="1:19" x14ac:dyDescent="0.2">
      <c r="A31" s="150"/>
    </row>
    <row r="35" spans="1:1" x14ac:dyDescent="0.2">
      <c r="A35" s="150"/>
    </row>
    <row r="36" spans="1:1" x14ac:dyDescent="0.2">
      <c r="A36" s="150"/>
    </row>
    <row r="37" spans="1:1" x14ac:dyDescent="0.2">
      <c r="A37" s="150"/>
    </row>
    <row r="38" spans="1:1" x14ac:dyDescent="0.2">
      <c r="A38" s="150"/>
    </row>
    <row r="39" spans="1:1" x14ac:dyDescent="0.2">
      <c r="A39" s="150"/>
    </row>
    <row r="40" spans="1:1" x14ac:dyDescent="0.2">
      <c r="A40" s="150"/>
    </row>
  </sheetData>
  <pageMargins left="0.511811024" right="0.511811024" top="0.78740157499999996" bottom="0.78740157499999996" header="0.31496062000000002" footer="0.31496062000000002"/>
  <pageSetup paperSize="9" orientation="portrait" horizontalDpi="4294967292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7"/>
  <dimension ref="A1:AB107"/>
  <sheetViews>
    <sheetView showGridLines="0" zoomScale="60" zoomScaleNormal="60" workbookViewId="0">
      <pane xSplit="2" ySplit="7" topLeftCell="G8" activePane="bottomRight" state="frozen"/>
      <selection activeCell="R26" sqref="R26"/>
      <selection pane="topRight" activeCell="R26" sqref="R26"/>
      <selection pane="bottomLeft" activeCell="R26" sqref="R26"/>
      <selection pane="bottomRight"/>
    </sheetView>
  </sheetViews>
  <sheetFormatPr defaultRowHeight="15" outlineLevelCol="1" x14ac:dyDescent="0.25"/>
  <cols>
    <col min="1" max="1" width="1.5703125" style="1" customWidth="1"/>
    <col min="2" max="2" width="60.140625" style="6" customWidth="1"/>
    <col min="3" max="6" width="9.85546875" style="6" hidden="1" customWidth="1" outlineLevel="1"/>
    <col min="7" max="7" width="9.85546875" style="6" customWidth="1" collapsed="1"/>
    <col min="8" max="11" width="9.85546875" style="6" hidden="1" customWidth="1" outlineLevel="1"/>
    <col min="12" max="12" width="9.85546875" style="6" customWidth="1" collapsed="1"/>
    <col min="13" max="16" width="9.85546875" style="6" hidden="1" customWidth="1" outlineLevel="1"/>
    <col min="17" max="17" width="9.85546875" style="6" customWidth="1" collapsed="1"/>
    <col min="18" max="18" width="9.85546875" style="6" hidden="1" customWidth="1" outlineLevel="1"/>
    <col min="19" max="21" width="9.140625" style="6" hidden="1" customWidth="1" outlineLevel="1"/>
    <col min="22" max="22" width="10" style="6" bestFit="1" customWidth="1" collapsed="1"/>
    <col min="23" max="26" width="9.140625" style="6" hidden="1" customWidth="1" outlineLevel="1"/>
    <col min="27" max="27" width="10" style="6" bestFit="1" customWidth="1" collapsed="1"/>
  </cols>
  <sheetData>
    <row r="1" spans="1:28" s="22" customFormat="1" ht="8.25" customHeight="1" x14ac:dyDescent="0.25">
      <c r="A1" s="22" t="s">
        <v>325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8" x14ac:dyDescent="0.25">
      <c r="A2" s="22"/>
    </row>
    <row r="3" spans="1:28" x14ac:dyDescent="0.25">
      <c r="A3" s="22"/>
    </row>
    <row r="4" spans="1:28" x14ac:dyDescent="0.25">
      <c r="A4" s="22"/>
    </row>
    <row r="5" spans="1:28" x14ac:dyDescent="0.25">
      <c r="A5" s="22"/>
    </row>
    <row r="6" spans="1:28" x14ac:dyDescent="0.25">
      <c r="A6" s="22"/>
    </row>
    <row r="7" spans="1:28" ht="16.5" customHeight="1" x14ac:dyDescent="0.25">
      <c r="A7" s="22"/>
      <c r="B7" s="130"/>
      <c r="C7" s="131" t="s">
        <v>22</v>
      </c>
      <c r="D7" s="131" t="s">
        <v>21</v>
      </c>
      <c r="E7" s="131" t="s">
        <v>20</v>
      </c>
      <c r="F7" s="131" t="s">
        <v>17</v>
      </c>
      <c r="G7" s="131">
        <v>2010</v>
      </c>
      <c r="H7" s="131" t="s">
        <v>19</v>
      </c>
      <c r="I7" s="131" t="s">
        <v>18</v>
      </c>
      <c r="J7" s="131" t="s">
        <v>16</v>
      </c>
      <c r="K7" s="131" t="s">
        <v>15</v>
      </c>
      <c r="L7" s="131">
        <v>2011</v>
      </c>
      <c r="M7" s="131" t="s">
        <v>14</v>
      </c>
      <c r="N7" s="131" t="s">
        <v>12</v>
      </c>
      <c r="O7" s="131" t="s">
        <v>10</v>
      </c>
      <c r="P7" s="131" t="s">
        <v>9</v>
      </c>
      <c r="Q7" s="131">
        <v>2012</v>
      </c>
      <c r="R7" s="131" t="s">
        <v>13</v>
      </c>
      <c r="S7" s="131" t="s">
        <v>11</v>
      </c>
      <c r="T7" s="131" t="s">
        <v>8</v>
      </c>
      <c r="U7" s="131" t="s">
        <v>25</v>
      </c>
      <c r="V7" s="131">
        <v>2013</v>
      </c>
      <c r="W7" s="131" t="s">
        <v>26</v>
      </c>
      <c r="X7" s="131" t="s">
        <v>55</v>
      </c>
      <c r="Y7" s="131" t="s">
        <v>56</v>
      </c>
      <c r="Z7" s="131" t="s">
        <v>57</v>
      </c>
      <c r="AA7" s="131">
        <v>2014</v>
      </c>
    </row>
    <row r="8" spans="1:28" x14ac:dyDescent="0.25">
      <c r="A8" s="22"/>
      <c r="B8" s="77"/>
    </row>
    <row r="9" spans="1:28" x14ac:dyDescent="0.25">
      <c r="A9" s="22"/>
      <c r="B9" s="78" t="s">
        <v>242</v>
      </c>
      <c r="C9" s="79">
        <v>17042</v>
      </c>
      <c r="D9" s="79">
        <v>21075</v>
      </c>
      <c r="E9" s="79">
        <v>23397</v>
      </c>
      <c r="F9" s="79">
        <v>32406</v>
      </c>
      <c r="G9" s="79">
        <v>93920</v>
      </c>
      <c r="H9" s="79">
        <v>21243</v>
      </c>
      <c r="I9" s="79">
        <v>30511</v>
      </c>
      <c r="J9" s="79">
        <v>30822</v>
      </c>
      <c r="K9" s="79">
        <v>29244</v>
      </c>
      <c r="L9" s="79">
        <v>111820</v>
      </c>
      <c r="M9" s="79">
        <v>23289</v>
      </c>
      <c r="N9" s="79">
        <v>40288</v>
      </c>
      <c r="O9" s="79">
        <v>27437</v>
      </c>
      <c r="P9" s="79">
        <v>11815</v>
      </c>
      <c r="Q9" s="79">
        <v>102829</v>
      </c>
      <c r="R9" s="79">
        <v>26366</v>
      </c>
      <c r="S9" s="79">
        <v>20352</v>
      </c>
      <c r="T9" s="79">
        <v>20957</v>
      </c>
      <c r="U9" s="79">
        <v>24052</v>
      </c>
      <c r="V9" s="79">
        <v>91727</v>
      </c>
      <c r="W9" s="79">
        <v>23428</v>
      </c>
      <c r="X9" s="79">
        <v>23478</v>
      </c>
      <c r="Y9" s="79">
        <v>36192</v>
      </c>
      <c r="Z9" s="79">
        <v>27044</v>
      </c>
      <c r="AA9" s="79">
        <v>110142</v>
      </c>
    </row>
    <row r="10" spans="1:28" ht="30" x14ac:dyDescent="0.25">
      <c r="A10" s="22"/>
      <c r="B10" s="17" t="s">
        <v>146</v>
      </c>
      <c r="F10" s="18"/>
      <c r="N10" s="18"/>
    </row>
    <row r="11" spans="1:28" x14ac:dyDescent="0.25">
      <c r="A11" s="22"/>
      <c r="B11" s="17" t="s">
        <v>147</v>
      </c>
      <c r="C11" s="3">
        <v>6951</v>
      </c>
      <c r="D11" s="3">
        <v>8667</v>
      </c>
      <c r="E11" s="3">
        <v>8261</v>
      </c>
      <c r="F11" s="3">
        <v>3560</v>
      </c>
      <c r="G11" s="3">
        <v>27439</v>
      </c>
      <c r="H11" s="3">
        <v>5800</v>
      </c>
      <c r="I11" s="3">
        <v>5898</v>
      </c>
      <c r="J11" s="3">
        <v>6128</v>
      </c>
      <c r="K11" s="3">
        <v>6017</v>
      </c>
      <c r="L11" s="3">
        <v>23843</v>
      </c>
      <c r="M11" s="3">
        <v>6206</v>
      </c>
      <c r="N11" s="3">
        <v>7739</v>
      </c>
      <c r="O11" s="3">
        <v>7970</v>
      </c>
      <c r="P11" s="3">
        <v>7597</v>
      </c>
      <c r="Q11" s="3">
        <v>29512</v>
      </c>
      <c r="R11" s="3">
        <v>8215</v>
      </c>
      <c r="S11" s="3">
        <v>13922</v>
      </c>
      <c r="T11" s="3">
        <v>13357</v>
      </c>
      <c r="U11" s="3">
        <v>11422</v>
      </c>
      <c r="V11" s="3">
        <v>46916</v>
      </c>
      <c r="W11" s="3">
        <v>12702</v>
      </c>
      <c r="X11" s="3">
        <v>14593</v>
      </c>
      <c r="Y11" s="3">
        <v>14431</v>
      </c>
      <c r="Z11" s="3">
        <v>17119</v>
      </c>
      <c r="AA11" s="3">
        <v>58845</v>
      </c>
    </row>
    <row r="12" spans="1:28" x14ac:dyDescent="0.25">
      <c r="A12" s="22"/>
      <c r="B12" s="17" t="s">
        <v>148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8212</v>
      </c>
      <c r="V12" s="3">
        <v>8212</v>
      </c>
      <c r="W12" s="3">
        <v>2449</v>
      </c>
      <c r="X12" s="3">
        <v>167</v>
      </c>
      <c r="Y12" s="3">
        <v>325</v>
      </c>
      <c r="Z12" s="3">
        <v>7712</v>
      </c>
      <c r="AA12" s="3">
        <v>10653</v>
      </c>
    </row>
    <row r="13" spans="1:28" x14ac:dyDescent="0.25">
      <c r="A13" s="22"/>
      <c r="B13" s="17" t="s">
        <v>149</v>
      </c>
      <c r="C13" s="3">
        <v>773</v>
      </c>
      <c r="D13" s="3">
        <v>776</v>
      </c>
      <c r="E13" s="3">
        <v>792</v>
      </c>
      <c r="F13" s="3">
        <v>798</v>
      </c>
      <c r="G13" s="3">
        <v>3139</v>
      </c>
      <c r="H13" s="3">
        <v>808</v>
      </c>
      <c r="I13" s="3">
        <v>806</v>
      </c>
      <c r="J13" s="3">
        <v>852</v>
      </c>
      <c r="K13" s="3">
        <v>894</v>
      </c>
      <c r="L13" s="3">
        <v>3360</v>
      </c>
      <c r="M13" s="3">
        <v>657</v>
      </c>
      <c r="N13" s="3">
        <v>745</v>
      </c>
      <c r="O13" s="3">
        <v>806</v>
      </c>
      <c r="P13" s="3">
        <v>843</v>
      </c>
      <c r="Q13" s="3">
        <v>3051</v>
      </c>
      <c r="R13" s="3">
        <v>886</v>
      </c>
      <c r="S13" s="3">
        <v>737</v>
      </c>
      <c r="T13" s="3">
        <v>696</v>
      </c>
      <c r="U13" s="3">
        <v>1781</v>
      </c>
      <c r="V13" s="3">
        <v>4100</v>
      </c>
      <c r="W13" s="3">
        <v>959</v>
      </c>
      <c r="X13" s="3">
        <v>996</v>
      </c>
      <c r="Y13" s="3">
        <v>1035</v>
      </c>
      <c r="Z13" s="3">
        <v>2132</v>
      </c>
      <c r="AA13" s="3">
        <v>5122</v>
      </c>
    </row>
    <row r="14" spans="1:28" x14ac:dyDescent="0.25">
      <c r="A14" s="22"/>
      <c r="B14" s="80" t="s">
        <v>214</v>
      </c>
      <c r="C14" s="3">
        <v>-378</v>
      </c>
      <c r="D14" s="3">
        <v>-389</v>
      </c>
      <c r="E14" s="3">
        <v>-106</v>
      </c>
      <c r="F14" s="3">
        <v>-675</v>
      </c>
      <c r="G14" s="3">
        <v>-1548</v>
      </c>
      <c r="H14" s="3">
        <v>-2157</v>
      </c>
      <c r="I14" s="3">
        <v>-556</v>
      </c>
      <c r="J14" s="3">
        <v>51</v>
      </c>
      <c r="K14" s="3">
        <v>-1320</v>
      </c>
      <c r="L14" s="3">
        <v>-3982</v>
      </c>
      <c r="M14" s="3">
        <v>-1392</v>
      </c>
      <c r="N14" s="3">
        <v>686</v>
      </c>
      <c r="O14" s="3">
        <v>-1272</v>
      </c>
      <c r="P14" s="3">
        <v>-7687</v>
      </c>
      <c r="Q14" s="3">
        <v>-9665</v>
      </c>
      <c r="R14" s="3">
        <v>-537</v>
      </c>
      <c r="S14" s="3">
        <v>2209</v>
      </c>
      <c r="T14" s="3">
        <v>408</v>
      </c>
      <c r="U14" s="3">
        <v>-2026</v>
      </c>
      <c r="V14" s="3">
        <v>54</v>
      </c>
      <c r="W14" s="3">
        <v>143</v>
      </c>
      <c r="X14" s="3">
        <v>-552</v>
      </c>
      <c r="Y14" s="3">
        <v>429</v>
      </c>
      <c r="Z14" s="3">
        <v>6570</v>
      </c>
      <c r="AA14" s="3">
        <v>6590</v>
      </c>
      <c r="AB14" s="64"/>
    </row>
    <row r="15" spans="1:28" x14ac:dyDescent="0.25">
      <c r="A15" s="22"/>
      <c r="B15" s="17" t="s">
        <v>151</v>
      </c>
      <c r="C15" s="3">
        <v>-3</v>
      </c>
      <c r="D15" s="3">
        <v>744</v>
      </c>
      <c r="E15" s="3">
        <v>-977</v>
      </c>
      <c r="F15" s="3">
        <v>605</v>
      </c>
      <c r="G15" s="3">
        <v>369</v>
      </c>
      <c r="H15" s="3">
        <v>3</v>
      </c>
      <c r="I15" s="3">
        <v>3</v>
      </c>
      <c r="J15" s="3">
        <v>0</v>
      </c>
      <c r="K15" s="3">
        <v>-60</v>
      </c>
      <c r="L15" s="3">
        <v>-54</v>
      </c>
      <c r="M15" s="3">
        <v>185</v>
      </c>
      <c r="N15" s="3">
        <v>-377</v>
      </c>
      <c r="O15" s="3">
        <v>325</v>
      </c>
      <c r="P15" s="3">
        <v>-62</v>
      </c>
      <c r="Q15" s="3">
        <v>71</v>
      </c>
      <c r="R15" s="3">
        <v>-48</v>
      </c>
      <c r="S15" s="3">
        <v>-61</v>
      </c>
      <c r="T15" s="3">
        <v>-65</v>
      </c>
      <c r="U15" s="3">
        <v>418</v>
      </c>
      <c r="V15" s="3">
        <v>244</v>
      </c>
      <c r="W15" s="3">
        <v>198</v>
      </c>
      <c r="X15" s="3">
        <v>-1</v>
      </c>
      <c r="Y15" s="3">
        <v>382</v>
      </c>
      <c r="Z15" s="3">
        <v>1927</v>
      </c>
      <c r="AA15" s="3">
        <v>2506</v>
      </c>
    </row>
    <row r="16" spans="1:28" x14ac:dyDescent="0.25">
      <c r="B16" s="17" t="s">
        <v>215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4174</v>
      </c>
      <c r="P16" s="3">
        <v>0</v>
      </c>
      <c r="Q16" s="3">
        <v>4174</v>
      </c>
      <c r="R16" s="3"/>
      <c r="S16" s="3">
        <v>0</v>
      </c>
      <c r="T16" s="3">
        <v>0</v>
      </c>
      <c r="U16" s="3">
        <v>2167</v>
      </c>
      <c r="V16" s="3">
        <v>2167</v>
      </c>
      <c r="W16" s="3"/>
      <c r="X16" s="3">
        <v>0</v>
      </c>
      <c r="Y16" s="3">
        <v>0</v>
      </c>
      <c r="Z16" s="3">
        <v>6849</v>
      </c>
      <c r="AA16" s="3">
        <v>6849</v>
      </c>
    </row>
    <row r="17" spans="1:27" x14ac:dyDescent="0.25">
      <c r="A17" s="22"/>
      <c r="B17" s="17" t="s">
        <v>2</v>
      </c>
      <c r="C17" s="3">
        <v>2436</v>
      </c>
      <c r="D17" s="3">
        <v>2315</v>
      </c>
      <c r="E17" s="3">
        <v>1529</v>
      </c>
      <c r="F17" s="3">
        <v>5660</v>
      </c>
      <c r="G17" s="3">
        <v>11940</v>
      </c>
      <c r="H17" s="3">
        <v>1919</v>
      </c>
      <c r="I17" s="3">
        <v>-895</v>
      </c>
      <c r="J17" s="3">
        <v>1499</v>
      </c>
      <c r="K17" s="3">
        <v>1925</v>
      </c>
      <c r="L17" s="3">
        <v>4448</v>
      </c>
      <c r="M17" s="3">
        <v>4984</v>
      </c>
      <c r="N17" s="3">
        <v>-2476</v>
      </c>
      <c r="O17" s="3">
        <v>2682</v>
      </c>
      <c r="P17" s="3">
        <v>3166</v>
      </c>
      <c r="Q17" s="3">
        <v>8356</v>
      </c>
      <c r="R17" s="3">
        <v>-1880</v>
      </c>
      <c r="S17" s="3">
        <v>298</v>
      </c>
      <c r="T17" s="3">
        <v>-9788</v>
      </c>
      <c r="U17" s="3">
        <v>-3482</v>
      </c>
      <c r="V17" s="3">
        <v>-14852</v>
      </c>
      <c r="W17" s="3">
        <v>407</v>
      </c>
      <c r="X17" s="3">
        <v>-3862</v>
      </c>
      <c r="Y17" s="3">
        <v>5641</v>
      </c>
      <c r="Z17" s="3">
        <v>-2472</v>
      </c>
      <c r="AA17" s="3">
        <v>-286</v>
      </c>
    </row>
    <row r="18" spans="1:27" x14ac:dyDescent="0.25">
      <c r="A18" s="22"/>
      <c r="B18" s="17" t="s">
        <v>216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-965</v>
      </c>
      <c r="Q18" s="3">
        <v>-965</v>
      </c>
      <c r="R18" s="3"/>
      <c r="S18" s="3">
        <v>0</v>
      </c>
      <c r="T18" s="3">
        <v>0</v>
      </c>
      <c r="U18" s="3">
        <v>0</v>
      </c>
      <c r="V18" s="3">
        <v>0</v>
      </c>
      <c r="W18" s="3"/>
      <c r="X18" s="3">
        <v>0</v>
      </c>
      <c r="Y18" s="3">
        <v>0</v>
      </c>
      <c r="Z18" s="3">
        <v>0</v>
      </c>
      <c r="AA18" s="3">
        <v>0</v>
      </c>
    </row>
    <row r="19" spans="1:27" x14ac:dyDescent="0.25">
      <c r="A19" s="22"/>
      <c r="B19" s="17" t="s">
        <v>155</v>
      </c>
      <c r="C19" s="3">
        <v>0</v>
      </c>
      <c r="D19" s="3">
        <v>0</v>
      </c>
      <c r="E19" s="3">
        <v>-499</v>
      </c>
      <c r="F19" s="3">
        <v>-406</v>
      </c>
      <c r="G19" s="3">
        <v>-905</v>
      </c>
      <c r="H19" s="3">
        <v>-719</v>
      </c>
      <c r="I19" s="3">
        <v>-843</v>
      </c>
      <c r="J19" s="3">
        <v>-812</v>
      </c>
      <c r="K19" s="3">
        <v>-1473</v>
      </c>
      <c r="L19" s="3">
        <v>-3847</v>
      </c>
      <c r="M19" s="3">
        <v>-1795</v>
      </c>
      <c r="N19" s="3">
        <v>-1027</v>
      </c>
      <c r="O19" s="3">
        <v>-1468</v>
      </c>
      <c r="P19" s="3">
        <v>1150</v>
      </c>
      <c r="Q19" s="3">
        <v>-3140</v>
      </c>
      <c r="R19" s="3">
        <v>-854</v>
      </c>
      <c r="S19" s="3">
        <v>-182</v>
      </c>
      <c r="T19" s="3">
        <v>-2279</v>
      </c>
      <c r="U19" s="3">
        <v>972</v>
      </c>
      <c r="V19" s="3">
        <v>-2343</v>
      </c>
      <c r="W19" s="3">
        <v>-1333</v>
      </c>
      <c r="X19" s="3">
        <v>711</v>
      </c>
      <c r="Y19" s="3">
        <v>6117</v>
      </c>
      <c r="Z19" s="3">
        <v>6398</v>
      </c>
      <c r="AA19" s="3">
        <v>11893</v>
      </c>
    </row>
    <row r="20" spans="1:27" x14ac:dyDescent="0.25">
      <c r="A20" s="22"/>
      <c r="B20" s="17" t="s">
        <v>218</v>
      </c>
      <c r="C20" s="3">
        <v>4455</v>
      </c>
      <c r="D20" s="3">
        <v>4684</v>
      </c>
      <c r="E20" s="3">
        <v>5522</v>
      </c>
      <c r="F20" s="3">
        <v>5327</v>
      </c>
      <c r="G20" s="3">
        <v>19988</v>
      </c>
      <c r="H20" s="3">
        <v>5558</v>
      </c>
      <c r="I20" s="3">
        <v>4162</v>
      </c>
      <c r="J20" s="3">
        <v>5735</v>
      </c>
      <c r="K20" s="3">
        <v>5977</v>
      </c>
      <c r="L20" s="3">
        <v>21432</v>
      </c>
      <c r="M20" s="3">
        <v>5905</v>
      </c>
      <c r="N20" s="3">
        <v>4310</v>
      </c>
      <c r="O20" s="3">
        <v>3882</v>
      </c>
      <c r="P20" s="3">
        <v>3416</v>
      </c>
      <c r="Q20" s="3">
        <v>17513</v>
      </c>
      <c r="R20" s="3">
        <v>5968</v>
      </c>
      <c r="S20" s="3">
        <v>7706</v>
      </c>
      <c r="T20" s="3">
        <v>9399</v>
      </c>
      <c r="U20" s="3">
        <v>9021</v>
      </c>
      <c r="V20" s="3">
        <v>32094</v>
      </c>
      <c r="W20" s="3">
        <v>7669</v>
      </c>
      <c r="X20" s="3">
        <v>8506</v>
      </c>
      <c r="Y20" s="3">
        <v>9453</v>
      </c>
      <c r="Z20" s="3">
        <v>9730</v>
      </c>
      <c r="AA20" s="3">
        <v>35358</v>
      </c>
    </row>
    <row r="21" spans="1:27" x14ac:dyDescent="0.25">
      <c r="A21" s="22"/>
      <c r="B21" s="17" t="s">
        <v>161</v>
      </c>
      <c r="C21" s="3">
        <v>71</v>
      </c>
      <c r="D21" s="3">
        <v>22</v>
      </c>
      <c r="E21" s="3">
        <v>0</v>
      </c>
      <c r="F21" s="3">
        <v>0</v>
      </c>
      <c r="G21" s="3">
        <v>93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</row>
    <row r="22" spans="1:27" x14ac:dyDescent="0.25">
      <c r="A22" s="22"/>
      <c r="B22" s="17" t="s">
        <v>50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596</v>
      </c>
      <c r="Q22" s="3">
        <v>596</v>
      </c>
      <c r="R22" s="3">
        <v>3317</v>
      </c>
      <c r="S22" s="3">
        <v>-8819</v>
      </c>
      <c r="T22" s="3">
        <v>4906</v>
      </c>
      <c r="U22" s="3">
        <v>-5320</v>
      </c>
      <c r="V22" s="3">
        <v>-5916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</row>
    <row r="23" spans="1:27" x14ac:dyDescent="0.25">
      <c r="A23" s="22"/>
      <c r="B23" s="17" t="s">
        <v>219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-234</v>
      </c>
      <c r="S23" s="3">
        <v>-515</v>
      </c>
      <c r="T23" s="3">
        <v>783</v>
      </c>
      <c r="U23" s="3">
        <v>71</v>
      </c>
      <c r="V23" s="3">
        <v>105</v>
      </c>
      <c r="W23" s="3">
        <v>1321</v>
      </c>
      <c r="X23" s="3">
        <v>1024</v>
      </c>
      <c r="Y23" s="3">
        <v>1103</v>
      </c>
      <c r="Z23" s="3">
        <v>811</v>
      </c>
      <c r="AA23" s="3">
        <v>4259</v>
      </c>
    </row>
    <row r="24" spans="1:27" x14ac:dyDescent="0.25">
      <c r="A24" s="22"/>
      <c r="B24" s="17" t="s">
        <v>160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</row>
    <row r="25" spans="1:27" ht="15.75" thickBot="1" x14ac:dyDescent="0.3">
      <c r="A25" s="22"/>
      <c r="B25" s="17" t="s">
        <v>220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-1662</v>
      </c>
      <c r="S25" s="3">
        <v>-1859</v>
      </c>
      <c r="T25" s="3">
        <v>3521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</row>
    <row r="26" spans="1:27" ht="15.75" thickBot="1" x14ac:dyDescent="0.3">
      <c r="A26" s="22"/>
      <c r="B26" s="132" t="s">
        <v>165</v>
      </c>
      <c r="C26" s="133">
        <f t="shared" ref="C26:AA26" si="0">SUM(C9:C25)</f>
        <v>31347</v>
      </c>
      <c r="D26" s="133">
        <f t="shared" si="0"/>
        <v>37894</v>
      </c>
      <c r="E26" s="133">
        <f t="shared" si="0"/>
        <v>37919</v>
      </c>
      <c r="F26" s="133">
        <f t="shared" si="0"/>
        <v>47275</v>
      </c>
      <c r="G26" s="134">
        <f t="shared" si="0"/>
        <v>154435</v>
      </c>
      <c r="H26" s="134">
        <f t="shared" si="0"/>
        <v>32455</v>
      </c>
      <c r="I26" s="134">
        <f t="shared" si="0"/>
        <v>39086</v>
      </c>
      <c r="J26" s="134">
        <f t="shared" si="0"/>
        <v>44275</v>
      </c>
      <c r="K26" s="134">
        <f t="shared" si="0"/>
        <v>41204</v>
      </c>
      <c r="L26" s="134">
        <f t="shared" si="0"/>
        <v>157020</v>
      </c>
      <c r="M26" s="134">
        <f t="shared" si="0"/>
        <v>38039</v>
      </c>
      <c r="N26" s="134">
        <f t="shared" si="0"/>
        <v>49888</v>
      </c>
      <c r="O26" s="134">
        <f t="shared" si="0"/>
        <v>44536</v>
      </c>
      <c r="P26" s="134">
        <f t="shared" si="0"/>
        <v>19869</v>
      </c>
      <c r="Q26" s="134">
        <f t="shared" si="0"/>
        <v>152332</v>
      </c>
      <c r="R26" s="134">
        <f t="shared" si="0"/>
        <v>39537</v>
      </c>
      <c r="S26" s="134">
        <f t="shared" si="0"/>
        <v>33788</v>
      </c>
      <c r="T26" s="134">
        <f t="shared" si="0"/>
        <v>41895</v>
      </c>
      <c r="U26" s="134">
        <f t="shared" si="0"/>
        <v>47288</v>
      </c>
      <c r="V26" s="134">
        <f t="shared" si="0"/>
        <v>162508</v>
      </c>
      <c r="W26" s="134">
        <f t="shared" si="0"/>
        <v>47943</v>
      </c>
      <c r="X26" s="134">
        <f t="shared" si="0"/>
        <v>45060</v>
      </c>
      <c r="Y26" s="134">
        <f t="shared" si="0"/>
        <v>75108</v>
      </c>
      <c r="Z26" s="134">
        <f t="shared" si="0"/>
        <v>83820</v>
      </c>
      <c r="AA26" s="134">
        <f t="shared" si="0"/>
        <v>251931</v>
      </c>
    </row>
    <row r="27" spans="1:27" x14ac:dyDescent="0.25">
      <c r="A27" s="22"/>
      <c r="B27" s="17"/>
    </row>
    <row r="28" spans="1:27" x14ac:dyDescent="0.25">
      <c r="A28" s="22"/>
      <c r="B28" s="17" t="s">
        <v>45</v>
      </c>
      <c r="C28" s="3">
        <v>-16446</v>
      </c>
      <c r="D28" s="3">
        <v>-29967</v>
      </c>
      <c r="E28" s="3">
        <v>16417</v>
      </c>
      <c r="F28" s="3">
        <v>-635</v>
      </c>
      <c r="G28" s="3">
        <v>-30631</v>
      </c>
      <c r="H28" s="3">
        <v>-21227</v>
      </c>
      <c r="I28" s="3">
        <v>8753</v>
      </c>
      <c r="J28" s="3">
        <v>-12029</v>
      </c>
      <c r="K28" s="3">
        <v>-3187</v>
      </c>
      <c r="L28" s="3">
        <v>-27690</v>
      </c>
      <c r="M28" s="3">
        <v>-7559</v>
      </c>
      <c r="N28" s="3">
        <v>-16590</v>
      </c>
      <c r="O28" s="3">
        <v>427</v>
      </c>
      <c r="P28" s="3">
        <v>25877</v>
      </c>
      <c r="Q28" s="3">
        <v>2155</v>
      </c>
      <c r="R28" s="3">
        <v>-34524</v>
      </c>
      <c r="S28" s="3">
        <v>-14728</v>
      </c>
      <c r="T28" s="3">
        <v>-7123</v>
      </c>
      <c r="U28" s="3">
        <v>4350</v>
      </c>
      <c r="V28" s="3">
        <v>-52025</v>
      </c>
      <c r="W28" s="3">
        <v>4351</v>
      </c>
      <c r="X28" s="3">
        <v>-14820</v>
      </c>
      <c r="Y28" s="3">
        <v>-19938</v>
      </c>
      <c r="Z28" s="3">
        <v>-1837</v>
      </c>
      <c r="AA28" s="3">
        <v>-32244</v>
      </c>
    </row>
    <row r="29" spans="1:27" x14ac:dyDescent="0.25">
      <c r="A29" s="22"/>
      <c r="B29" s="17" t="s">
        <v>28</v>
      </c>
      <c r="C29" s="3">
        <v>-3569</v>
      </c>
      <c r="D29" s="3">
        <v>1335</v>
      </c>
      <c r="E29" s="3">
        <v>3984</v>
      </c>
      <c r="F29" s="3">
        <v>3752</v>
      </c>
      <c r="G29" s="3">
        <v>5502</v>
      </c>
      <c r="H29" s="3">
        <v>-10710</v>
      </c>
      <c r="I29" s="3">
        <v>-10506</v>
      </c>
      <c r="J29" s="3">
        <v>17177</v>
      </c>
      <c r="K29" s="3">
        <v>-3253</v>
      </c>
      <c r="L29" s="3">
        <v>-7292</v>
      </c>
      <c r="M29" s="3">
        <v>-6180</v>
      </c>
      <c r="N29" s="3">
        <v>-5111</v>
      </c>
      <c r="O29" s="3">
        <v>23133</v>
      </c>
      <c r="P29" s="3">
        <v>3074</v>
      </c>
      <c r="Q29" s="3">
        <v>14916</v>
      </c>
      <c r="R29" s="3">
        <v>-2281</v>
      </c>
      <c r="S29" s="3">
        <v>-1570</v>
      </c>
      <c r="T29" s="3">
        <v>-5986</v>
      </c>
      <c r="U29" s="3">
        <v>-1786</v>
      </c>
      <c r="V29" s="3">
        <v>-11623</v>
      </c>
      <c r="W29" s="3">
        <v>-4892</v>
      </c>
      <c r="X29" s="3">
        <v>-1503</v>
      </c>
      <c r="Y29" s="3">
        <v>-2362</v>
      </c>
      <c r="Z29" s="3">
        <v>5128</v>
      </c>
      <c r="AA29" s="3">
        <v>-3629</v>
      </c>
    </row>
    <row r="30" spans="1:27" x14ac:dyDescent="0.25">
      <c r="A30" s="22"/>
      <c r="B30" s="17" t="s">
        <v>1</v>
      </c>
      <c r="C30" s="3">
        <v>-91</v>
      </c>
      <c r="D30" s="3">
        <v>703</v>
      </c>
      <c r="E30" s="3">
        <v>1845</v>
      </c>
      <c r="F30" s="3">
        <v>-6384</v>
      </c>
      <c r="G30" s="3">
        <v>-3927</v>
      </c>
      <c r="H30" s="3">
        <v>-5382</v>
      </c>
      <c r="I30" s="3">
        <v>-4736</v>
      </c>
      <c r="J30" s="3">
        <v>2918</v>
      </c>
      <c r="K30" s="3">
        <v>-8084</v>
      </c>
      <c r="L30" s="3">
        <v>-15284</v>
      </c>
      <c r="M30" s="3">
        <v>3459</v>
      </c>
      <c r="N30" s="3">
        <v>-1011</v>
      </c>
      <c r="O30" s="3">
        <v>6485</v>
      </c>
      <c r="P30" s="3">
        <v>-2973</v>
      </c>
      <c r="Q30" s="3">
        <v>5960</v>
      </c>
      <c r="R30" s="3">
        <v>662</v>
      </c>
      <c r="S30" s="3">
        <v>-21788</v>
      </c>
      <c r="T30" s="3">
        <v>613</v>
      </c>
      <c r="U30" s="3">
        <v>8212</v>
      </c>
      <c r="V30" s="3">
        <v>-12301</v>
      </c>
      <c r="W30" s="3">
        <v>-1770</v>
      </c>
      <c r="X30" s="3">
        <v>-4037</v>
      </c>
      <c r="Y30" s="3">
        <v>-1071</v>
      </c>
      <c r="Z30" s="3">
        <v>236</v>
      </c>
      <c r="AA30" s="3">
        <v>-6642</v>
      </c>
    </row>
    <row r="31" spans="1:27" x14ac:dyDescent="0.25">
      <c r="A31" s="22"/>
      <c r="B31" s="17" t="s">
        <v>3</v>
      </c>
      <c r="C31" s="3">
        <v>-268</v>
      </c>
      <c r="D31" s="3">
        <v>-250</v>
      </c>
      <c r="E31" s="3">
        <v>-403</v>
      </c>
      <c r="F31" s="3">
        <v>-633</v>
      </c>
      <c r="G31" s="3">
        <v>-1554</v>
      </c>
      <c r="H31" s="3">
        <v>-227</v>
      </c>
      <c r="I31" s="3">
        <v>-578</v>
      </c>
      <c r="J31" s="3">
        <v>-750</v>
      </c>
      <c r="K31" s="3">
        <v>-2897</v>
      </c>
      <c r="L31" s="3">
        <v>-4452</v>
      </c>
      <c r="M31" s="3">
        <v>-784</v>
      </c>
      <c r="N31" s="3">
        <v>-7954</v>
      </c>
      <c r="O31" s="3">
        <v>-487</v>
      </c>
      <c r="P31" s="3">
        <v>1658</v>
      </c>
      <c r="Q31" s="3">
        <v>-7567</v>
      </c>
      <c r="R31" s="3">
        <v>-7387</v>
      </c>
      <c r="S31" s="3">
        <v>-410</v>
      </c>
      <c r="T31" s="3">
        <v>-224</v>
      </c>
      <c r="U31" s="3">
        <v>-669</v>
      </c>
      <c r="V31" s="3">
        <v>-8690</v>
      </c>
      <c r="W31" s="3">
        <v>-277</v>
      </c>
      <c r="X31" s="3">
        <v>-980</v>
      </c>
      <c r="Y31" s="3">
        <v>-1034</v>
      </c>
      <c r="Z31" s="3">
        <v>1499</v>
      </c>
      <c r="AA31" s="3">
        <v>-792</v>
      </c>
    </row>
    <row r="32" spans="1:27" x14ac:dyDescent="0.25">
      <c r="A32" s="22"/>
      <c r="B32" s="17" t="s">
        <v>27</v>
      </c>
      <c r="C32" s="3">
        <v>-1653</v>
      </c>
      <c r="D32" s="3">
        <v>-6783</v>
      </c>
      <c r="E32" s="3">
        <v>322</v>
      </c>
      <c r="F32" s="3">
        <v>6626</v>
      </c>
      <c r="G32" s="3">
        <v>-1488</v>
      </c>
      <c r="H32" s="3">
        <v>-3103</v>
      </c>
      <c r="I32" s="3">
        <v>-3693</v>
      </c>
      <c r="J32" s="3">
        <v>120</v>
      </c>
      <c r="K32" s="3">
        <v>-440</v>
      </c>
      <c r="L32" s="3">
        <v>-7116</v>
      </c>
      <c r="M32" s="3">
        <v>1410</v>
      </c>
      <c r="N32" s="3">
        <v>-3288</v>
      </c>
      <c r="O32" s="3">
        <v>-13504</v>
      </c>
      <c r="P32" s="3">
        <v>-3111</v>
      </c>
      <c r="Q32" s="3">
        <v>-18493</v>
      </c>
      <c r="R32" s="3">
        <v>163</v>
      </c>
      <c r="S32" s="3">
        <v>-2574</v>
      </c>
      <c r="T32" s="3">
        <v>1829</v>
      </c>
      <c r="U32" s="3">
        <v>620</v>
      </c>
      <c r="V32" s="3">
        <v>38</v>
      </c>
      <c r="W32" s="3">
        <v>-2867</v>
      </c>
      <c r="X32" s="3">
        <v>-358</v>
      </c>
      <c r="Y32" s="3">
        <v>2884</v>
      </c>
      <c r="Z32" s="3">
        <v>11615</v>
      </c>
      <c r="AA32" s="3">
        <v>11274</v>
      </c>
    </row>
    <row r="33" spans="1:27" x14ac:dyDescent="0.25">
      <c r="A33" s="22"/>
      <c r="B33" s="17" t="s">
        <v>31</v>
      </c>
      <c r="C33" s="3">
        <v>5603</v>
      </c>
      <c r="D33" s="3">
        <v>6053</v>
      </c>
      <c r="E33" s="3">
        <v>-899</v>
      </c>
      <c r="F33" s="3">
        <v>-262</v>
      </c>
      <c r="G33" s="3">
        <v>10495</v>
      </c>
      <c r="H33" s="3">
        <v>4109</v>
      </c>
      <c r="I33" s="3">
        <v>-3176</v>
      </c>
      <c r="J33" s="3">
        <v>10059</v>
      </c>
      <c r="K33" s="3">
        <v>15116</v>
      </c>
      <c r="L33" s="3">
        <v>26108</v>
      </c>
      <c r="M33" s="3">
        <v>-5446</v>
      </c>
      <c r="N33" s="3">
        <v>3188</v>
      </c>
      <c r="O33" s="3">
        <v>-6624</v>
      </c>
      <c r="P33" s="3">
        <v>8223</v>
      </c>
      <c r="Q33" s="3">
        <v>-659</v>
      </c>
      <c r="R33" s="3">
        <v>-3800</v>
      </c>
      <c r="S33" s="3">
        <v>900</v>
      </c>
      <c r="T33" s="3">
        <v>4219</v>
      </c>
      <c r="U33" s="3">
        <v>4014</v>
      </c>
      <c r="V33" s="3">
        <v>5333</v>
      </c>
      <c r="W33" s="3">
        <v>7479</v>
      </c>
      <c r="X33" s="3">
        <v>-6524</v>
      </c>
      <c r="Y33" s="3">
        <v>11220</v>
      </c>
      <c r="Z33" s="3">
        <v>-18876</v>
      </c>
      <c r="AA33" s="3">
        <v>-6701</v>
      </c>
    </row>
    <row r="34" spans="1:27" x14ac:dyDescent="0.25">
      <c r="A34" s="22"/>
      <c r="B34" s="17" t="s">
        <v>32</v>
      </c>
      <c r="C34" s="3">
        <v>720</v>
      </c>
      <c r="D34" s="3">
        <v>4164</v>
      </c>
      <c r="E34" s="3">
        <v>6640</v>
      </c>
      <c r="F34" s="3">
        <v>-1817</v>
      </c>
      <c r="G34" s="3">
        <v>9707</v>
      </c>
      <c r="H34" s="3">
        <v>-5074</v>
      </c>
      <c r="I34" s="3">
        <v>6279</v>
      </c>
      <c r="J34" s="3">
        <v>8088</v>
      </c>
      <c r="K34" s="3">
        <v>-2420</v>
      </c>
      <c r="L34" s="3">
        <v>6873</v>
      </c>
      <c r="M34" s="3">
        <v>-5056</v>
      </c>
      <c r="N34" s="3">
        <v>9585</v>
      </c>
      <c r="O34" s="3">
        <v>8187</v>
      </c>
      <c r="P34" s="3">
        <v>-2110</v>
      </c>
      <c r="Q34" s="3">
        <v>10606</v>
      </c>
      <c r="R34" s="3">
        <v>263</v>
      </c>
      <c r="S34" s="3">
        <v>4552</v>
      </c>
      <c r="T34" s="3">
        <v>3024</v>
      </c>
      <c r="U34" s="3">
        <v>-6074</v>
      </c>
      <c r="V34" s="3">
        <v>1765</v>
      </c>
      <c r="W34" s="3">
        <v>-974</v>
      </c>
      <c r="X34" s="3">
        <v>8411</v>
      </c>
      <c r="Y34" s="3">
        <v>8827</v>
      </c>
      <c r="Z34" s="3">
        <v>-2231</v>
      </c>
      <c r="AA34" s="3">
        <v>14033</v>
      </c>
    </row>
    <row r="35" spans="1:27" x14ac:dyDescent="0.25">
      <c r="A35" s="22"/>
      <c r="B35" s="17" t="s">
        <v>41</v>
      </c>
      <c r="C35" s="3">
        <v>7668</v>
      </c>
      <c r="D35" s="3">
        <v>3558</v>
      </c>
      <c r="E35" s="3">
        <v>-1476</v>
      </c>
      <c r="F35" s="3">
        <v>-7195</v>
      </c>
      <c r="G35" s="3">
        <v>2555</v>
      </c>
      <c r="H35" s="3">
        <v>46</v>
      </c>
      <c r="I35" s="3">
        <v>31659</v>
      </c>
      <c r="J35" s="3">
        <v>-5620</v>
      </c>
      <c r="K35" s="3">
        <v>5774</v>
      </c>
      <c r="L35" s="3">
        <v>31859</v>
      </c>
      <c r="M35" s="3">
        <v>13998</v>
      </c>
      <c r="N35" s="3">
        <v>16198</v>
      </c>
      <c r="O35" s="3">
        <v>-9931</v>
      </c>
      <c r="P35" s="3">
        <v>5578</v>
      </c>
      <c r="Q35" s="3">
        <v>25843</v>
      </c>
      <c r="R35" s="3">
        <v>7922</v>
      </c>
      <c r="S35" s="3">
        <v>6924</v>
      </c>
      <c r="T35" s="3">
        <v>13800</v>
      </c>
      <c r="U35" s="3">
        <v>11643</v>
      </c>
      <c r="V35" s="3">
        <v>40289</v>
      </c>
      <c r="W35" s="3">
        <v>14177</v>
      </c>
      <c r="X35" s="3">
        <v>5539</v>
      </c>
      <c r="Y35" s="3">
        <v>14592</v>
      </c>
      <c r="Z35" s="3">
        <v>5096</v>
      </c>
      <c r="AA35" s="3">
        <v>39404</v>
      </c>
    </row>
    <row r="36" spans="1:27" x14ac:dyDescent="0.25">
      <c r="A36" s="22"/>
      <c r="B36" s="17" t="s">
        <v>166</v>
      </c>
      <c r="C36" s="3">
        <v>-315</v>
      </c>
      <c r="D36" s="3">
        <v>-321</v>
      </c>
      <c r="E36" s="3">
        <v>-330</v>
      </c>
      <c r="F36" s="3">
        <v>966</v>
      </c>
      <c r="G36" s="3">
        <v>0</v>
      </c>
      <c r="H36" s="3">
        <v>9623</v>
      </c>
      <c r="I36" s="3">
        <v>-24907</v>
      </c>
      <c r="J36" s="3">
        <v>-7921</v>
      </c>
      <c r="K36" s="3">
        <v>-8963</v>
      </c>
      <c r="L36" s="3">
        <v>-32168</v>
      </c>
      <c r="M36" s="3">
        <v>-4794</v>
      </c>
      <c r="N36" s="3">
        <v>-11469</v>
      </c>
      <c r="O36" s="3">
        <v>-11775</v>
      </c>
      <c r="P36" s="3">
        <v>-9632</v>
      </c>
      <c r="Q36" s="3">
        <v>-37670</v>
      </c>
      <c r="R36" s="3">
        <v>-5758</v>
      </c>
      <c r="S36" s="3">
        <v>-7244</v>
      </c>
      <c r="T36" s="3">
        <v>-11297</v>
      </c>
      <c r="U36" s="3">
        <v>-11448</v>
      </c>
      <c r="V36" s="3">
        <v>-35747</v>
      </c>
      <c r="W36" s="3">
        <v>-8866</v>
      </c>
      <c r="X36" s="3">
        <v>-8757</v>
      </c>
      <c r="Y36" s="3">
        <v>-10151</v>
      </c>
      <c r="Z36" s="3">
        <v>-7451</v>
      </c>
      <c r="AA36" s="3">
        <v>-35225</v>
      </c>
    </row>
    <row r="37" spans="1:27" ht="15.75" thickBot="1" x14ac:dyDescent="0.3">
      <c r="A37" s="22"/>
      <c r="B37" s="17" t="s">
        <v>34</v>
      </c>
      <c r="C37" s="3">
        <v>1554</v>
      </c>
      <c r="D37" s="3">
        <v>-397</v>
      </c>
      <c r="E37" s="3">
        <v>1470</v>
      </c>
      <c r="F37" s="3">
        <v>-5627</v>
      </c>
      <c r="G37" s="3">
        <v>-3000</v>
      </c>
      <c r="H37" s="3">
        <v>-558</v>
      </c>
      <c r="I37" s="3">
        <v>-2121</v>
      </c>
      <c r="J37" s="3">
        <v>596</v>
      </c>
      <c r="K37" s="3">
        <v>-1811</v>
      </c>
      <c r="L37" s="3">
        <v>-3894</v>
      </c>
      <c r="M37" s="3">
        <v>-51</v>
      </c>
      <c r="N37" s="3">
        <v>1871</v>
      </c>
      <c r="O37" s="3">
        <v>-2503</v>
      </c>
      <c r="P37" s="3">
        <v>8991</v>
      </c>
      <c r="Q37" s="3">
        <v>8308</v>
      </c>
      <c r="R37" s="3">
        <v>-1798</v>
      </c>
      <c r="S37" s="3">
        <v>2855</v>
      </c>
      <c r="T37" s="3">
        <v>1298</v>
      </c>
      <c r="U37" s="3">
        <v>1289</v>
      </c>
      <c r="V37" s="3">
        <v>3644</v>
      </c>
      <c r="W37" s="3">
        <v>-3147</v>
      </c>
      <c r="X37" s="3">
        <v>-94</v>
      </c>
      <c r="Y37" s="3">
        <v>-845</v>
      </c>
      <c r="Z37" s="3">
        <v>-3326</v>
      </c>
      <c r="AA37" s="3">
        <v>-7412</v>
      </c>
    </row>
    <row r="38" spans="1:27" ht="15.75" thickBot="1" x14ac:dyDescent="0.3">
      <c r="A38" s="22"/>
      <c r="B38" s="132" t="s">
        <v>171</v>
      </c>
      <c r="C38" s="133">
        <f>SUM(C28:C37)</f>
        <v>-6797</v>
      </c>
      <c r="D38" s="133">
        <f t="shared" ref="D38:AA38" si="1">SUM(D28:D37)</f>
        <v>-21905</v>
      </c>
      <c r="E38" s="133">
        <f t="shared" si="1"/>
        <v>27570</v>
      </c>
      <c r="F38" s="133">
        <f t="shared" si="1"/>
        <v>-11209</v>
      </c>
      <c r="G38" s="134">
        <f t="shared" si="1"/>
        <v>-12341</v>
      </c>
      <c r="H38" s="134">
        <f t="shared" si="1"/>
        <v>-32503</v>
      </c>
      <c r="I38" s="134">
        <f t="shared" si="1"/>
        <v>-3026</v>
      </c>
      <c r="J38" s="134">
        <f t="shared" si="1"/>
        <v>12638</v>
      </c>
      <c r="K38" s="134">
        <f t="shared" si="1"/>
        <v>-10165</v>
      </c>
      <c r="L38" s="134">
        <f t="shared" si="1"/>
        <v>-33056</v>
      </c>
      <c r="M38" s="134">
        <f t="shared" si="1"/>
        <v>-11003</v>
      </c>
      <c r="N38" s="134">
        <f t="shared" si="1"/>
        <v>-14581</v>
      </c>
      <c r="O38" s="134">
        <f t="shared" si="1"/>
        <v>-6592</v>
      </c>
      <c r="P38" s="134">
        <f t="shared" si="1"/>
        <v>35575</v>
      </c>
      <c r="Q38" s="134">
        <f t="shared" si="1"/>
        <v>3399</v>
      </c>
      <c r="R38" s="134">
        <f t="shared" si="1"/>
        <v>-46538</v>
      </c>
      <c r="S38" s="134">
        <f t="shared" si="1"/>
        <v>-33083</v>
      </c>
      <c r="T38" s="134">
        <f t="shared" si="1"/>
        <v>153</v>
      </c>
      <c r="U38" s="134">
        <f t="shared" si="1"/>
        <v>10151</v>
      </c>
      <c r="V38" s="134">
        <f t="shared" si="1"/>
        <v>-69317</v>
      </c>
      <c r="W38" s="134">
        <f t="shared" si="1"/>
        <v>3214</v>
      </c>
      <c r="X38" s="134">
        <f t="shared" si="1"/>
        <v>-23123</v>
      </c>
      <c r="Y38" s="134">
        <f t="shared" si="1"/>
        <v>2122</v>
      </c>
      <c r="Z38" s="134">
        <f t="shared" si="1"/>
        <v>-10147</v>
      </c>
      <c r="AA38" s="134">
        <f t="shared" si="1"/>
        <v>-27934</v>
      </c>
    </row>
    <row r="39" spans="1:27" ht="15.75" thickBot="1" x14ac:dyDescent="0.3">
      <c r="A39" s="22"/>
      <c r="B39" s="17"/>
    </row>
    <row r="40" spans="1:27" ht="15.75" thickBot="1" x14ac:dyDescent="0.3">
      <c r="A40" s="22"/>
      <c r="B40" s="132" t="s">
        <v>172</v>
      </c>
      <c r="C40" s="133">
        <f t="shared" ref="C40:AA40" si="2">C26+C38</f>
        <v>24550</v>
      </c>
      <c r="D40" s="133">
        <f t="shared" si="2"/>
        <v>15989</v>
      </c>
      <c r="E40" s="133">
        <f t="shared" si="2"/>
        <v>65489</v>
      </c>
      <c r="F40" s="133">
        <f t="shared" si="2"/>
        <v>36066</v>
      </c>
      <c r="G40" s="134">
        <f t="shared" si="2"/>
        <v>142094</v>
      </c>
      <c r="H40" s="134">
        <f t="shared" si="2"/>
        <v>-48</v>
      </c>
      <c r="I40" s="134">
        <f t="shared" si="2"/>
        <v>36060</v>
      </c>
      <c r="J40" s="134">
        <f t="shared" si="2"/>
        <v>56913</v>
      </c>
      <c r="K40" s="134">
        <f t="shared" si="2"/>
        <v>31039</v>
      </c>
      <c r="L40" s="134">
        <f t="shared" si="2"/>
        <v>123964</v>
      </c>
      <c r="M40" s="134">
        <f t="shared" si="2"/>
        <v>27036</v>
      </c>
      <c r="N40" s="134">
        <f t="shared" si="2"/>
        <v>35307</v>
      </c>
      <c r="O40" s="134">
        <f t="shared" si="2"/>
        <v>37944</v>
      </c>
      <c r="P40" s="134">
        <f t="shared" si="2"/>
        <v>55444</v>
      </c>
      <c r="Q40" s="134">
        <f>Q26+Q38</f>
        <v>155731</v>
      </c>
      <c r="R40" s="134">
        <f t="shared" si="2"/>
        <v>-7001</v>
      </c>
      <c r="S40" s="134">
        <f>S26+S38</f>
        <v>705</v>
      </c>
      <c r="T40" s="134">
        <f t="shared" si="2"/>
        <v>42048</v>
      </c>
      <c r="U40" s="134">
        <f t="shared" si="2"/>
        <v>57439</v>
      </c>
      <c r="V40" s="134">
        <f t="shared" si="2"/>
        <v>93191</v>
      </c>
      <c r="W40" s="134">
        <f t="shared" si="2"/>
        <v>51157</v>
      </c>
      <c r="X40" s="134">
        <f t="shared" si="2"/>
        <v>21937</v>
      </c>
      <c r="Y40" s="134">
        <f t="shared" si="2"/>
        <v>77230</v>
      </c>
      <c r="Z40" s="134">
        <f t="shared" si="2"/>
        <v>73673</v>
      </c>
      <c r="AA40" s="134">
        <f t="shared" si="2"/>
        <v>223997</v>
      </c>
    </row>
    <row r="41" spans="1:27" x14ac:dyDescent="0.25">
      <c r="A41" s="22"/>
      <c r="B41" s="17"/>
    </row>
    <row r="42" spans="1:27" x14ac:dyDescent="0.25">
      <c r="B42" s="77" t="s">
        <v>173</v>
      </c>
    </row>
    <row r="43" spans="1:27" x14ac:dyDescent="0.25">
      <c r="A43" s="22"/>
      <c r="B43" s="17" t="s">
        <v>174</v>
      </c>
      <c r="C43" s="3">
        <v>-10914</v>
      </c>
      <c r="D43" s="3">
        <v>-7079</v>
      </c>
      <c r="E43" s="3">
        <v>-207</v>
      </c>
      <c r="F43" s="3">
        <v>-2069</v>
      </c>
      <c r="G43" s="3">
        <v>-20269</v>
      </c>
      <c r="H43" s="3">
        <v>-5167</v>
      </c>
      <c r="I43" s="3">
        <v>-5209</v>
      </c>
      <c r="J43" s="3">
        <v>-14568</v>
      </c>
      <c r="K43" s="3">
        <v>-13620</v>
      </c>
      <c r="L43" s="3">
        <v>-38564</v>
      </c>
      <c r="M43" s="3">
        <v>-10872</v>
      </c>
      <c r="N43" s="3">
        <v>-10741</v>
      </c>
      <c r="O43" s="3">
        <v>-6596</v>
      </c>
      <c r="P43" s="3">
        <v>-6898</v>
      </c>
      <c r="Q43" s="3">
        <v>-35107</v>
      </c>
      <c r="R43" s="3">
        <v>-6811</v>
      </c>
      <c r="S43" s="3">
        <v>-8436</v>
      </c>
      <c r="T43" s="3">
        <v>-6916</v>
      </c>
      <c r="U43" s="3">
        <v>-29071</v>
      </c>
      <c r="V43" s="3">
        <v>-51234</v>
      </c>
      <c r="W43" s="3">
        <v>-34547</v>
      </c>
      <c r="X43" s="3">
        <v>-22006</v>
      </c>
      <c r="Y43" s="3">
        <v>-25301</v>
      </c>
      <c r="Z43" s="3">
        <v>3831</v>
      </c>
      <c r="AA43" s="3">
        <v>-78023</v>
      </c>
    </row>
    <row r="44" spans="1:27" x14ac:dyDescent="0.25">
      <c r="A44" s="22"/>
      <c r="B44" s="17" t="s">
        <v>175</v>
      </c>
      <c r="C44" s="3">
        <v>-31630</v>
      </c>
      <c r="D44" s="3">
        <v>-238</v>
      </c>
      <c r="E44" s="3">
        <v>-15617</v>
      </c>
      <c r="F44" s="3">
        <v>-356</v>
      </c>
      <c r="G44" s="3">
        <v>-47841</v>
      </c>
      <c r="H44" s="3">
        <v>-16</v>
      </c>
      <c r="I44" s="3">
        <v>-70</v>
      </c>
      <c r="J44" s="3">
        <v>-1962</v>
      </c>
      <c r="K44" s="3">
        <v>-322</v>
      </c>
      <c r="L44" s="3">
        <v>-2370</v>
      </c>
      <c r="M44" s="3">
        <v>-1478</v>
      </c>
      <c r="N44" s="3">
        <v>-2063</v>
      </c>
      <c r="O44" s="3">
        <v>-702</v>
      </c>
      <c r="P44" s="3">
        <v>-1444</v>
      </c>
      <c r="Q44" s="3">
        <v>-5687</v>
      </c>
      <c r="R44" s="3">
        <v>-1620</v>
      </c>
      <c r="S44" s="3">
        <v>-2608</v>
      </c>
      <c r="T44" s="3">
        <v>-2088</v>
      </c>
      <c r="U44" s="3">
        <v>-30</v>
      </c>
      <c r="V44" s="3">
        <v>-6346</v>
      </c>
      <c r="W44" s="3">
        <v>-1739</v>
      </c>
      <c r="X44" s="3">
        <v>-1356</v>
      </c>
      <c r="Y44" s="3">
        <v>-1090</v>
      </c>
      <c r="Z44" s="3">
        <v>-41398</v>
      </c>
      <c r="AA44" s="3">
        <v>-45583</v>
      </c>
    </row>
    <row r="45" spans="1:27" x14ac:dyDescent="0.25">
      <c r="A45" s="22"/>
      <c r="B45" s="17" t="s">
        <v>225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899</v>
      </c>
      <c r="J45" s="3">
        <v>0</v>
      </c>
      <c r="K45" s="3">
        <v>1801</v>
      </c>
      <c r="L45" s="3">
        <v>2700</v>
      </c>
      <c r="M45" s="3">
        <v>900</v>
      </c>
      <c r="N45" s="3">
        <v>900</v>
      </c>
      <c r="O45" s="3">
        <v>0</v>
      </c>
      <c r="P45" s="3">
        <v>0</v>
      </c>
      <c r="Q45" s="3">
        <v>1800</v>
      </c>
      <c r="R45" s="3">
        <v>1500</v>
      </c>
      <c r="S45" s="3">
        <v>900</v>
      </c>
      <c r="T45" s="3">
        <v>1</v>
      </c>
      <c r="U45" s="3">
        <v>-1</v>
      </c>
      <c r="V45" s="3">
        <v>2400</v>
      </c>
      <c r="W45" s="3">
        <v>0</v>
      </c>
      <c r="X45" s="3">
        <v>1913</v>
      </c>
      <c r="Y45" s="3">
        <v>1539</v>
      </c>
      <c r="Z45" s="3">
        <v>0</v>
      </c>
      <c r="AA45" s="3">
        <v>3452</v>
      </c>
    </row>
    <row r="46" spans="1:27" x14ac:dyDescent="0.25">
      <c r="A46" s="22"/>
      <c r="B46" s="17" t="s">
        <v>226</v>
      </c>
      <c r="C46" s="3">
        <v>3852</v>
      </c>
      <c r="D46" s="3">
        <v>-3731</v>
      </c>
      <c r="E46" s="3">
        <v>-1333</v>
      </c>
      <c r="F46" s="3">
        <v>1212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</row>
    <row r="47" spans="1:27" x14ac:dyDescent="0.25">
      <c r="A47" s="22"/>
      <c r="B47" s="17" t="s">
        <v>227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-102924</v>
      </c>
      <c r="Q47" s="3">
        <v>-102924</v>
      </c>
      <c r="R47" s="3">
        <v>0</v>
      </c>
      <c r="S47" s="3">
        <v>1319</v>
      </c>
      <c r="T47" s="3">
        <v>101605</v>
      </c>
      <c r="U47" s="3">
        <v>0</v>
      </c>
      <c r="V47" s="3">
        <v>102924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</row>
    <row r="48" spans="1:27" x14ac:dyDescent="0.25">
      <c r="A48" s="22"/>
      <c r="B48" s="17" t="s">
        <v>228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5320</v>
      </c>
      <c r="V48" s="3">
        <v>5320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</row>
    <row r="49" spans="1:27" x14ac:dyDescent="0.25">
      <c r="A49" s="22"/>
      <c r="B49" s="17" t="s">
        <v>232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-104216</v>
      </c>
      <c r="Q49" s="3">
        <v>-104216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</row>
    <row r="50" spans="1:27" x14ac:dyDescent="0.25">
      <c r="A50" s="22"/>
      <c r="B50" s="17" t="s">
        <v>233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-1546</v>
      </c>
      <c r="O50" s="3">
        <v>-493</v>
      </c>
      <c r="P50" s="3">
        <v>-67</v>
      </c>
      <c r="Q50" s="3">
        <v>-2106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</row>
    <row r="51" spans="1:27" x14ac:dyDescent="0.25">
      <c r="A51" s="22"/>
      <c r="B51" s="17" t="s">
        <v>234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</row>
    <row r="52" spans="1:27" x14ac:dyDescent="0.25">
      <c r="A52" s="22"/>
      <c r="B52" s="17" t="s">
        <v>235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-6394</v>
      </c>
      <c r="Z52" s="3">
        <v>0</v>
      </c>
      <c r="AA52" s="3">
        <v>-6394</v>
      </c>
    </row>
    <row r="53" spans="1:27" x14ac:dyDescent="0.25">
      <c r="A53" s="22"/>
      <c r="B53" s="17" t="s">
        <v>236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-10268</v>
      </c>
      <c r="U53" s="3">
        <v>0</v>
      </c>
      <c r="V53" s="3">
        <v>-10268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</row>
    <row r="54" spans="1:27" ht="15.75" thickBot="1" x14ac:dyDescent="0.3">
      <c r="A54" s="22"/>
      <c r="B54" s="30" t="s">
        <v>237</v>
      </c>
      <c r="C54" s="3"/>
      <c r="D54" s="3"/>
      <c r="E54" s="3"/>
      <c r="F54" s="3"/>
      <c r="G54" s="3">
        <v>0</v>
      </c>
      <c r="H54" s="3"/>
      <c r="I54" s="3"/>
      <c r="J54" s="3"/>
      <c r="K54" s="3"/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</row>
    <row r="55" spans="1:27" ht="15.75" thickBot="1" x14ac:dyDescent="0.3">
      <c r="A55" s="22"/>
      <c r="B55" s="132" t="s">
        <v>189</v>
      </c>
      <c r="C55" s="133">
        <f t="shared" ref="C55:AA55" si="3">SUM(C43:C54)</f>
        <v>-38692</v>
      </c>
      <c r="D55" s="133">
        <f t="shared" si="3"/>
        <v>-11048</v>
      </c>
      <c r="E55" s="133">
        <f t="shared" si="3"/>
        <v>-17157</v>
      </c>
      <c r="F55" s="133">
        <f t="shared" si="3"/>
        <v>-1213</v>
      </c>
      <c r="G55" s="134">
        <f t="shared" si="3"/>
        <v>-68110</v>
      </c>
      <c r="H55" s="134">
        <f t="shared" si="3"/>
        <v>-5183</v>
      </c>
      <c r="I55" s="134">
        <f t="shared" si="3"/>
        <v>-4380</v>
      </c>
      <c r="J55" s="134">
        <f t="shared" si="3"/>
        <v>-16530</v>
      </c>
      <c r="K55" s="134">
        <f t="shared" si="3"/>
        <v>-12141</v>
      </c>
      <c r="L55" s="134">
        <f t="shared" si="3"/>
        <v>-38234</v>
      </c>
      <c r="M55" s="134">
        <f t="shared" si="3"/>
        <v>-11450</v>
      </c>
      <c r="N55" s="134">
        <f t="shared" si="3"/>
        <v>-13450</v>
      </c>
      <c r="O55" s="134">
        <f t="shared" si="3"/>
        <v>-7791</v>
      </c>
      <c r="P55" s="134">
        <f t="shared" si="3"/>
        <v>-215549</v>
      </c>
      <c r="Q55" s="134">
        <f t="shared" si="3"/>
        <v>-248240</v>
      </c>
      <c r="R55" s="134">
        <f t="shared" si="3"/>
        <v>-6931</v>
      </c>
      <c r="S55" s="134">
        <f t="shared" si="3"/>
        <v>-8825</v>
      </c>
      <c r="T55" s="134">
        <f t="shared" si="3"/>
        <v>82334</v>
      </c>
      <c r="U55" s="134">
        <f t="shared" si="3"/>
        <v>-23782</v>
      </c>
      <c r="V55" s="134">
        <f t="shared" si="3"/>
        <v>42796</v>
      </c>
      <c r="W55" s="134">
        <f t="shared" si="3"/>
        <v>-36286</v>
      </c>
      <c r="X55" s="134">
        <f t="shared" si="3"/>
        <v>-21449</v>
      </c>
      <c r="Y55" s="134">
        <f t="shared" si="3"/>
        <v>-31246</v>
      </c>
      <c r="Z55" s="134">
        <f t="shared" si="3"/>
        <v>-37567</v>
      </c>
      <c r="AA55" s="134">
        <f t="shared" si="3"/>
        <v>-126548</v>
      </c>
    </row>
    <row r="56" spans="1:27" x14ac:dyDescent="0.25">
      <c r="A56" s="22"/>
      <c r="B56" s="17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</row>
    <row r="57" spans="1:27" x14ac:dyDescent="0.25">
      <c r="B57" s="77" t="s">
        <v>190</v>
      </c>
      <c r="K57" s="18"/>
    </row>
    <row r="58" spans="1:27" x14ac:dyDescent="0.25">
      <c r="A58" s="22"/>
      <c r="B58" s="17" t="s">
        <v>191</v>
      </c>
      <c r="C58" s="3">
        <v>-5614</v>
      </c>
      <c r="D58" s="3">
        <v>-1648</v>
      </c>
      <c r="E58" s="3">
        <v>0</v>
      </c>
      <c r="F58" s="3">
        <v>0</v>
      </c>
      <c r="G58" s="3">
        <v>-7262</v>
      </c>
      <c r="H58" s="3">
        <v>-6969</v>
      </c>
      <c r="I58" s="3">
        <v>-2260</v>
      </c>
      <c r="J58" s="3">
        <v>0</v>
      </c>
      <c r="K58" s="3">
        <v>-2781</v>
      </c>
      <c r="L58" s="3">
        <v>-12010</v>
      </c>
      <c r="M58" s="3">
        <v>-3061</v>
      </c>
      <c r="N58" s="3">
        <v>-65911</v>
      </c>
      <c r="O58" s="3">
        <v>-4692</v>
      </c>
      <c r="P58" s="3">
        <v>-15547</v>
      </c>
      <c r="Q58" s="3">
        <v>-89211</v>
      </c>
      <c r="R58" s="3">
        <v>0</v>
      </c>
      <c r="S58" s="3">
        <v>-18486</v>
      </c>
      <c r="T58" s="3">
        <v>-5559</v>
      </c>
      <c r="U58" s="3">
        <v>-10369</v>
      </c>
      <c r="V58" s="3">
        <v>-34414</v>
      </c>
      <c r="W58" s="3">
        <v>-10563</v>
      </c>
      <c r="X58" s="3">
        <v>-7952</v>
      </c>
      <c r="Y58" s="3">
        <v>-6516</v>
      </c>
      <c r="Z58" s="3">
        <v>-8482</v>
      </c>
      <c r="AA58" s="3">
        <v>-33513</v>
      </c>
    </row>
    <row r="59" spans="1:27" x14ac:dyDescent="0.25">
      <c r="A59" s="22"/>
      <c r="B59" s="17" t="s">
        <v>193</v>
      </c>
      <c r="C59" s="3">
        <v>0</v>
      </c>
      <c r="D59" s="3">
        <v>-5878</v>
      </c>
      <c r="E59" s="3">
        <v>-7050</v>
      </c>
      <c r="F59" s="3">
        <v>-7082</v>
      </c>
      <c r="G59" s="3">
        <v>-20010</v>
      </c>
      <c r="H59" s="3">
        <v>0</v>
      </c>
      <c r="I59" s="3">
        <v>-8469</v>
      </c>
      <c r="J59" s="3">
        <v>-11873</v>
      </c>
      <c r="K59" s="3">
        <v>-8392</v>
      </c>
      <c r="L59" s="3">
        <v>-28734</v>
      </c>
      <c r="M59" s="3">
        <v>-7740</v>
      </c>
      <c r="N59" s="3">
        <v>0</v>
      </c>
      <c r="O59" s="3">
        <v>-12770</v>
      </c>
      <c r="P59" s="3">
        <v>0</v>
      </c>
      <c r="Q59" s="3">
        <v>-20510</v>
      </c>
      <c r="R59" s="3">
        <v>-12438</v>
      </c>
      <c r="S59" s="3">
        <v>0</v>
      </c>
      <c r="T59" s="3">
        <v>-11773</v>
      </c>
      <c r="U59" s="3">
        <v>-6116</v>
      </c>
      <c r="V59" s="3">
        <v>-30327</v>
      </c>
      <c r="W59" s="3">
        <v>-5887</v>
      </c>
      <c r="X59" s="3">
        <v>-1188</v>
      </c>
      <c r="Y59" s="3">
        <v>-9465</v>
      </c>
      <c r="Z59" s="3">
        <v>-9007</v>
      </c>
      <c r="AA59" s="3">
        <v>-25547</v>
      </c>
    </row>
    <row r="60" spans="1:27" x14ac:dyDescent="0.25">
      <c r="A60" s="22"/>
      <c r="B60" s="17" t="s">
        <v>194</v>
      </c>
      <c r="C60" s="3">
        <v>0</v>
      </c>
      <c r="D60" s="3">
        <v>0</v>
      </c>
      <c r="E60" s="3">
        <v>0</v>
      </c>
      <c r="F60" s="3">
        <v>5954</v>
      </c>
      <c r="G60" s="3">
        <v>5954</v>
      </c>
      <c r="H60" s="3">
        <v>-3344</v>
      </c>
      <c r="I60" s="3">
        <v>-3493</v>
      </c>
      <c r="J60" s="3">
        <v>-17056</v>
      </c>
      <c r="K60" s="3">
        <v>817</v>
      </c>
      <c r="L60" s="3">
        <v>-23076</v>
      </c>
      <c r="M60" s="3">
        <v>1163</v>
      </c>
      <c r="N60" s="3">
        <v>181</v>
      </c>
      <c r="O60" s="3">
        <v>0</v>
      </c>
      <c r="P60" s="3">
        <v>0</v>
      </c>
      <c r="Q60" s="3">
        <v>1344</v>
      </c>
      <c r="R60" s="3"/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</row>
    <row r="61" spans="1:27" x14ac:dyDescent="0.25">
      <c r="A61" s="22"/>
      <c r="B61" s="17" t="s">
        <v>240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-5281</v>
      </c>
      <c r="Q61" s="3">
        <v>-5281</v>
      </c>
      <c r="R61" s="3">
        <v>-84</v>
      </c>
      <c r="S61" s="3">
        <v>-338</v>
      </c>
      <c r="T61" s="3">
        <v>-1027</v>
      </c>
      <c r="U61" s="3">
        <v>-734</v>
      </c>
      <c r="V61" s="3">
        <v>-2183</v>
      </c>
      <c r="W61" s="3">
        <v>-948</v>
      </c>
      <c r="X61" s="3">
        <v>-2204</v>
      </c>
      <c r="Y61" s="3">
        <v>-1760</v>
      </c>
      <c r="Z61" s="3">
        <v>-2480</v>
      </c>
      <c r="AA61" s="3">
        <v>-7392</v>
      </c>
    </row>
    <row r="62" spans="1:27" x14ac:dyDescent="0.25">
      <c r="A62" s="22"/>
      <c r="B62" s="17" t="s">
        <v>197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100000</v>
      </c>
      <c r="L62" s="3">
        <v>100000</v>
      </c>
      <c r="M62" s="3">
        <v>0</v>
      </c>
      <c r="N62" s="3">
        <v>0</v>
      </c>
      <c r="O62" s="3">
        <v>0</v>
      </c>
      <c r="P62" s="3">
        <v>130000</v>
      </c>
      <c r="Q62" s="3">
        <v>130000</v>
      </c>
      <c r="R62" s="3">
        <v>0</v>
      </c>
      <c r="S62" s="3">
        <v>250000</v>
      </c>
      <c r="T62" s="3">
        <v>0</v>
      </c>
      <c r="U62" s="3">
        <v>0</v>
      </c>
      <c r="V62" s="3">
        <v>250000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</row>
    <row r="63" spans="1:27" x14ac:dyDescent="0.25">
      <c r="A63" s="22"/>
      <c r="B63" s="17" t="s">
        <v>198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-36000</v>
      </c>
      <c r="J63" s="3">
        <v>0</v>
      </c>
      <c r="K63" s="3">
        <v>-36000</v>
      </c>
      <c r="L63" s="3">
        <v>-72000</v>
      </c>
      <c r="M63" s="3">
        <v>0</v>
      </c>
      <c r="N63" s="3">
        <v>-36000</v>
      </c>
      <c r="O63" s="3">
        <v>0</v>
      </c>
      <c r="P63" s="3">
        <v>-36000</v>
      </c>
      <c r="Q63" s="3">
        <v>-72000</v>
      </c>
      <c r="R63" s="3">
        <v>0</v>
      </c>
      <c r="S63" s="3">
        <v>-166000</v>
      </c>
      <c r="T63" s="3">
        <v>0</v>
      </c>
      <c r="U63" s="3">
        <v>-100000</v>
      </c>
      <c r="V63" s="3">
        <v>-266000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</row>
    <row r="64" spans="1:27" x14ac:dyDescent="0.25">
      <c r="A64" s="22"/>
      <c r="B64" s="17" t="s">
        <v>199</v>
      </c>
      <c r="C64" s="3">
        <v>0</v>
      </c>
      <c r="D64" s="3">
        <v>-8852</v>
      </c>
      <c r="E64" s="3">
        <v>0</v>
      </c>
      <c r="F64" s="3">
        <v>-10394</v>
      </c>
      <c r="G64" s="3">
        <v>-19246</v>
      </c>
      <c r="H64" s="3">
        <v>0</v>
      </c>
      <c r="I64" s="3">
        <v>-11074</v>
      </c>
      <c r="J64" s="3">
        <v>0</v>
      </c>
      <c r="K64" s="3">
        <v>-9575</v>
      </c>
      <c r="L64" s="3">
        <v>-20649</v>
      </c>
      <c r="M64" s="3">
        <v>0</v>
      </c>
      <c r="N64" s="3">
        <v>-12004</v>
      </c>
      <c r="O64" s="3">
        <v>0</v>
      </c>
      <c r="P64" s="3">
        <v>-7879</v>
      </c>
      <c r="Q64" s="3">
        <v>-19883</v>
      </c>
      <c r="R64" s="3">
        <v>0</v>
      </c>
      <c r="S64" s="3">
        <v>-9009</v>
      </c>
      <c r="T64" s="3">
        <v>0</v>
      </c>
      <c r="U64" s="3">
        <v>-15747</v>
      </c>
      <c r="V64" s="3">
        <v>-24756</v>
      </c>
      <c r="W64" s="3">
        <v>0</v>
      </c>
      <c r="X64" s="3">
        <v>-12938</v>
      </c>
      <c r="Y64" s="3">
        <v>0</v>
      </c>
      <c r="Z64" s="3">
        <v>-14444</v>
      </c>
      <c r="AA64" s="3">
        <v>-27382</v>
      </c>
    </row>
    <row r="65" spans="1:27" x14ac:dyDescent="0.25">
      <c r="A65" s="22"/>
      <c r="B65" s="17" t="s">
        <v>241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12000</v>
      </c>
      <c r="Q65" s="3">
        <v>12000</v>
      </c>
      <c r="R65" s="3">
        <v>9500</v>
      </c>
      <c r="S65" s="3">
        <v>0</v>
      </c>
      <c r="T65" s="3">
        <v>0</v>
      </c>
      <c r="U65" s="3">
        <v>0</v>
      </c>
      <c r="V65" s="3">
        <v>9500</v>
      </c>
      <c r="W65" s="3">
        <v>5000</v>
      </c>
      <c r="X65" s="3">
        <v>0</v>
      </c>
      <c r="Y65" s="3">
        <v>0</v>
      </c>
      <c r="Z65" s="3">
        <v>0</v>
      </c>
      <c r="AA65" s="3">
        <v>5000</v>
      </c>
    </row>
    <row r="66" spans="1:27" x14ac:dyDescent="0.25">
      <c r="A66" s="22"/>
      <c r="B66" s="17" t="s">
        <v>201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-143</v>
      </c>
      <c r="Q66" s="3">
        <v>-143</v>
      </c>
      <c r="R66" s="3">
        <v>-229</v>
      </c>
      <c r="S66" s="3">
        <v>-356</v>
      </c>
      <c r="T66" s="3">
        <v>-345</v>
      </c>
      <c r="U66" s="3">
        <v>-345</v>
      </c>
      <c r="V66" s="3">
        <v>-1275</v>
      </c>
      <c r="W66" s="3">
        <v>-393</v>
      </c>
      <c r="X66" s="3">
        <v>-425</v>
      </c>
      <c r="Y66" s="3">
        <v>-425</v>
      </c>
      <c r="Z66" s="3">
        <v>-413</v>
      </c>
      <c r="AA66" s="3">
        <v>-1656</v>
      </c>
    </row>
    <row r="67" spans="1:27" x14ac:dyDescent="0.25">
      <c r="A67" s="22"/>
      <c r="B67" s="17" t="s">
        <v>202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-1656</v>
      </c>
      <c r="AA67" s="3">
        <v>-1656</v>
      </c>
    </row>
    <row r="68" spans="1:27" x14ac:dyDescent="0.25">
      <c r="A68" s="22"/>
      <c r="B68" s="17" t="s">
        <v>203</v>
      </c>
      <c r="C68" s="3">
        <v>0</v>
      </c>
      <c r="D68" s="3">
        <v>0</v>
      </c>
      <c r="E68" s="3">
        <v>0</v>
      </c>
      <c r="F68" s="3">
        <v>202</v>
      </c>
      <c r="G68" s="3">
        <v>202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100132</v>
      </c>
      <c r="Q68" s="3">
        <v>100132</v>
      </c>
      <c r="R68" s="3">
        <v>0</v>
      </c>
      <c r="S68" s="3">
        <v>0</v>
      </c>
      <c r="T68" s="3">
        <v>243</v>
      </c>
      <c r="U68" s="3">
        <v>-243</v>
      </c>
      <c r="V68" s="3">
        <v>0</v>
      </c>
      <c r="W68" s="3">
        <v>0</v>
      </c>
      <c r="X68" s="3">
        <v>22360</v>
      </c>
      <c r="Y68" s="3">
        <v>0</v>
      </c>
      <c r="Z68" s="3">
        <v>24442</v>
      </c>
      <c r="AA68" s="3">
        <v>46802</v>
      </c>
    </row>
    <row r="69" spans="1:27" x14ac:dyDescent="0.25">
      <c r="A69" s="22"/>
      <c r="B69" s="17" t="s">
        <v>204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-16851</v>
      </c>
      <c r="AA69" s="3">
        <v>-16851</v>
      </c>
    </row>
    <row r="70" spans="1:27" ht="15.75" thickBot="1" x14ac:dyDescent="0.3">
      <c r="A70" s="22"/>
      <c r="B70" s="17" t="s">
        <v>205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-1394</v>
      </c>
      <c r="T70" s="3">
        <v>0</v>
      </c>
      <c r="U70" s="3">
        <v>-1617</v>
      </c>
      <c r="V70" s="3">
        <v>-3011</v>
      </c>
      <c r="W70" s="3">
        <v>-634</v>
      </c>
      <c r="X70" s="3">
        <v>-905</v>
      </c>
      <c r="Y70" s="3">
        <v>0</v>
      </c>
      <c r="Z70" s="3">
        <v>-2330</v>
      </c>
      <c r="AA70" s="3">
        <v>-3869</v>
      </c>
    </row>
    <row r="71" spans="1:27" ht="15.75" thickBot="1" x14ac:dyDescent="0.3">
      <c r="A71" s="22"/>
      <c r="B71" s="132" t="s">
        <v>206</v>
      </c>
      <c r="C71" s="133">
        <f t="shared" ref="C71:AA71" si="4">SUM(C58:C70)</f>
        <v>-5614</v>
      </c>
      <c r="D71" s="133">
        <f t="shared" si="4"/>
        <v>-16378</v>
      </c>
      <c r="E71" s="133">
        <f t="shared" si="4"/>
        <v>-7050</v>
      </c>
      <c r="F71" s="133">
        <f t="shared" si="4"/>
        <v>-11320</v>
      </c>
      <c r="G71" s="134">
        <f t="shared" si="4"/>
        <v>-40362</v>
      </c>
      <c r="H71" s="134">
        <f t="shared" si="4"/>
        <v>-10313</v>
      </c>
      <c r="I71" s="134">
        <f t="shared" si="4"/>
        <v>-61296</v>
      </c>
      <c r="J71" s="134">
        <f t="shared" si="4"/>
        <v>-28929</v>
      </c>
      <c r="K71" s="134">
        <f t="shared" si="4"/>
        <v>44069</v>
      </c>
      <c r="L71" s="134">
        <f t="shared" si="4"/>
        <v>-56469</v>
      </c>
      <c r="M71" s="134">
        <f t="shared" si="4"/>
        <v>-9638</v>
      </c>
      <c r="N71" s="134">
        <f t="shared" si="4"/>
        <v>-113734</v>
      </c>
      <c r="O71" s="134">
        <f t="shared" si="4"/>
        <v>-17462</v>
      </c>
      <c r="P71" s="134">
        <f t="shared" si="4"/>
        <v>177282</v>
      </c>
      <c r="Q71" s="134">
        <f t="shared" si="4"/>
        <v>36448</v>
      </c>
      <c r="R71" s="134">
        <f t="shared" si="4"/>
        <v>-3251</v>
      </c>
      <c r="S71" s="134">
        <f t="shared" si="4"/>
        <v>54417</v>
      </c>
      <c r="T71" s="134">
        <f t="shared" si="4"/>
        <v>-18461</v>
      </c>
      <c r="U71" s="134">
        <f t="shared" si="4"/>
        <v>-135171</v>
      </c>
      <c r="V71" s="134">
        <f t="shared" si="4"/>
        <v>-102466</v>
      </c>
      <c r="W71" s="134">
        <f t="shared" si="4"/>
        <v>-13425</v>
      </c>
      <c r="X71" s="134">
        <f t="shared" si="4"/>
        <v>-3252</v>
      </c>
      <c r="Y71" s="134">
        <f t="shared" si="4"/>
        <v>-18166</v>
      </c>
      <c r="Z71" s="134">
        <f t="shared" si="4"/>
        <v>-31221</v>
      </c>
      <c r="AA71" s="134">
        <f t="shared" si="4"/>
        <v>-66064</v>
      </c>
    </row>
    <row r="72" spans="1:27" x14ac:dyDescent="0.25">
      <c r="A72" s="22"/>
      <c r="B72" s="17"/>
    </row>
    <row r="73" spans="1:27" x14ac:dyDescent="0.25">
      <c r="A73" s="22"/>
      <c r="B73" s="17" t="s">
        <v>210</v>
      </c>
      <c r="C73" s="3">
        <v>-296</v>
      </c>
      <c r="D73" s="3">
        <v>-940</v>
      </c>
      <c r="E73" s="3">
        <v>202</v>
      </c>
      <c r="F73" s="3">
        <v>-934</v>
      </c>
      <c r="G73" s="3">
        <v>-1968</v>
      </c>
      <c r="H73" s="3">
        <v>566</v>
      </c>
      <c r="I73" s="3">
        <v>-902</v>
      </c>
      <c r="J73" s="3">
        <v>4145</v>
      </c>
      <c r="K73" s="3">
        <v>-1034</v>
      </c>
      <c r="L73" s="3">
        <v>2775</v>
      </c>
      <c r="M73" s="3">
        <v>-213</v>
      </c>
      <c r="N73" s="3">
        <v>835</v>
      </c>
      <c r="O73" s="3">
        <v>1075</v>
      </c>
      <c r="P73" s="3">
        <v>2594</v>
      </c>
      <c r="Q73" s="3">
        <v>4291</v>
      </c>
      <c r="R73" s="3">
        <v>1006</v>
      </c>
      <c r="S73" s="3">
        <v>7100</v>
      </c>
      <c r="T73" s="3">
        <v>-5528</v>
      </c>
      <c r="U73" s="3">
        <v>325</v>
      </c>
      <c r="V73" s="3">
        <v>2903</v>
      </c>
      <c r="W73" s="3">
        <v>1657</v>
      </c>
      <c r="X73" s="3">
        <v>-1421</v>
      </c>
      <c r="Y73" s="3">
        <v>-415</v>
      </c>
      <c r="Z73" s="3">
        <v>-2343</v>
      </c>
      <c r="AA73" s="3">
        <v>-2522</v>
      </c>
    </row>
    <row r="74" spans="1:27" ht="15.75" thickBot="1" x14ac:dyDescent="0.3">
      <c r="A74" s="2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</row>
    <row r="75" spans="1:27" ht="15.75" thickBot="1" x14ac:dyDescent="0.3">
      <c r="A75" s="22"/>
      <c r="B75" s="132" t="s">
        <v>207</v>
      </c>
      <c r="C75" s="135">
        <f t="shared" ref="C75:AA75" si="5">C40+C55+C71+C73</f>
        <v>-20052</v>
      </c>
      <c r="D75" s="135">
        <f t="shared" si="5"/>
        <v>-12377</v>
      </c>
      <c r="E75" s="135">
        <f t="shared" si="5"/>
        <v>41484</v>
      </c>
      <c r="F75" s="135">
        <f t="shared" si="5"/>
        <v>22599</v>
      </c>
      <c r="G75" s="134">
        <f t="shared" si="5"/>
        <v>31654</v>
      </c>
      <c r="H75" s="134">
        <f t="shared" si="5"/>
        <v>-14978</v>
      </c>
      <c r="I75" s="134">
        <f t="shared" si="5"/>
        <v>-30518</v>
      </c>
      <c r="J75" s="134">
        <f t="shared" si="5"/>
        <v>15599</v>
      </c>
      <c r="K75" s="134">
        <f t="shared" si="5"/>
        <v>61933</v>
      </c>
      <c r="L75" s="134">
        <f t="shared" si="5"/>
        <v>32036</v>
      </c>
      <c r="M75" s="134">
        <f t="shared" si="5"/>
        <v>5735</v>
      </c>
      <c r="N75" s="134">
        <f t="shared" si="5"/>
        <v>-91042</v>
      </c>
      <c r="O75" s="134">
        <f t="shared" si="5"/>
        <v>13766</v>
      </c>
      <c r="P75" s="134">
        <f t="shared" si="5"/>
        <v>19771</v>
      </c>
      <c r="Q75" s="134">
        <f t="shared" si="5"/>
        <v>-51770</v>
      </c>
      <c r="R75" s="134">
        <f t="shared" si="5"/>
        <v>-16177</v>
      </c>
      <c r="S75" s="134">
        <f t="shared" si="5"/>
        <v>53397</v>
      </c>
      <c r="T75" s="134">
        <f t="shared" si="5"/>
        <v>100393</v>
      </c>
      <c r="U75" s="134">
        <f t="shared" si="5"/>
        <v>-101189</v>
      </c>
      <c r="V75" s="134">
        <f t="shared" si="5"/>
        <v>36424</v>
      </c>
      <c r="W75" s="134">
        <f t="shared" si="5"/>
        <v>3103</v>
      </c>
      <c r="X75" s="134">
        <f t="shared" si="5"/>
        <v>-4185</v>
      </c>
      <c r="Y75" s="134">
        <f t="shared" si="5"/>
        <v>27403</v>
      </c>
      <c r="Z75" s="134">
        <f t="shared" si="5"/>
        <v>2542</v>
      </c>
      <c r="AA75" s="134">
        <f t="shared" si="5"/>
        <v>28863</v>
      </c>
    </row>
    <row r="76" spans="1:27" ht="15.75" thickTop="1" x14ac:dyDescent="0.25">
      <c r="A76" s="22"/>
      <c r="B76" s="77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</row>
    <row r="77" spans="1:27" x14ac:dyDescent="0.25">
      <c r="A77" s="22"/>
      <c r="B77" s="77" t="s">
        <v>208</v>
      </c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</row>
    <row r="78" spans="1:27" x14ac:dyDescent="0.25">
      <c r="A78" s="22"/>
      <c r="B78" s="17" t="s">
        <v>209</v>
      </c>
      <c r="C78" s="3">
        <v>108090</v>
      </c>
      <c r="D78" s="3">
        <v>88038</v>
      </c>
      <c r="E78" s="3">
        <v>75661</v>
      </c>
      <c r="F78" s="3">
        <v>117145</v>
      </c>
      <c r="G78" s="3">
        <v>108090</v>
      </c>
      <c r="H78" s="3">
        <v>139744</v>
      </c>
      <c r="I78" s="3">
        <v>124766</v>
      </c>
      <c r="J78" s="3">
        <v>94248</v>
      </c>
      <c r="K78" s="3">
        <v>109847</v>
      </c>
      <c r="L78" s="3">
        <v>139744</v>
      </c>
      <c r="M78" s="3">
        <v>167549</v>
      </c>
      <c r="N78" s="3">
        <v>173284</v>
      </c>
      <c r="O78" s="3">
        <v>82242</v>
      </c>
      <c r="P78" s="3">
        <v>96008</v>
      </c>
      <c r="Q78" s="3">
        <v>167549</v>
      </c>
      <c r="R78" s="3">
        <v>115779</v>
      </c>
      <c r="S78" s="3">
        <v>99602</v>
      </c>
      <c r="T78" s="3">
        <v>152999</v>
      </c>
      <c r="U78" s="3">
        <v>253392</v>
      </c>
      <c r="V78" s="3">
        <v>115779</v>
      </c>
      <c r="W78" s="3">
        <v>152203</v>
      </c>
      <c r="X78" s="3">
        <v>155306</v>
      </c>
      <c r="Y78" s="3">
        <v>151121</v>
      </c>
      <c r="Z78" s="3">
        <v>178524</v>
      </c>
      <c r="AA78" s="3">
        <v>152203</v>
      </c>
    </row>
    <row r="79" spans="1:27" ht="15.75" thickBot="1" x14ac:dyDescent="0.3">
      <c r="A79" s="22"/>
      <c r="B79" s="17" t="s">
        <v>211</v>
      </c>
      <c r="C79" s="82">
        <v>88038</v>
      </c>
      <c r="D79" s="82">
        <v>75661</v>
      </c>
      <c r="E79" s="82">
        <v>117145</v>
      </c>
      <c r="F79" s="82">
        <v>139744</v>
      </c>
      <c r="G79" s="3">
        <v>139744</v>
      </c>
      <c r="H79" s="3">
        <v>124766</v>
      </c>
      <c r="I79" s="3">
        <v>94248</v>
      </c>
      <c r="J79" s="3">
        <v>109847</v>
      </c>
      <c r="K79" s="3">
        <v>171780</v>
      </c>
      <c r="L79" s="3">
        <v>171780</v>
      </c>
      <c r="M79" s="3">
        <v>173284</v>
      </c>
      <c r="N79" s="3">
        <v>82242</v>
      </c>
      <c r="O79" s="3">
        <v>96008</v>
      </c>
      <c r="P79" s="3">
        <v>115779</v>
      </c>
      <c r="Q79" s="3">
        <f>V78</f>
        <v>115779</v>
      </c>
      <c r="R79" s="3">
        <v>99602</v>
      </c>
      <c r="S79" s="3">
        <v>152999</v>
      </c>
      <c r="T79" s="3">
        <v>253392</v>
      </c>
      <c r="U79" s="3">
        <v>152203</v>
      </c>
      <c r="V79" s="3">
        <f>W78</f>
        <v>152203</v>
      </c>
      <c r="W79" s="3">
        <v>155306</v>
      </c>
      <c r="X79" s="3">
        <v>151121</v>
      </c>
      <c r="Y79" s="3">
        <v>178524</v>
      </c>
      <c r="Z79" s="3">
        <v>181066</v>
      </c>
      <c r="AA79" s="3">
        <v>181066</v>
      </c>
    </row>
    <row r="80" spans="1:27" ht="15.75" thickBot="1" x14ac:dyDescent="0.3">
      <c r="A80" s="22"/>
      <c r="B80" s="17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</row>
    <row r="81" spans="1:27" ht="15.75" thickBot="1" x14ac:dyDescent="0.3">
      <c r="B81" s="132" t="s">
        <v>207</v>
      </c>
      <c r="C81" s="135">
        <f t="shared" ref="C81:AA81" si="6">C79-C78</f>
        <v>-20052</v>
      </c>
      <c r="D81" s="135">
        <f t="shared" si="6"/>
        <v>-12377</v>
      </c>
      <c r="E81" s="135">
        <f t="shared" si="6"/>
        <v>41484</v>
      </c>
      <c r="F81" s="135">
        <f t="shared" si="6"/>
        <v>22599</v>
      </c>
      <c r="G81" s="134">
        <f t="shared" si="6"/>
        <v>31654</v>
      </c>
      <c r="H81" s="134">
        <f t="shared" si="6"/>
        <v>-14978</v>
      </c>
      <c r="I81" s="134">
        <f t="shared" si="6"/>
        <v>-30518</v>
      </c>
      <c r="J81" s="134">
        <f t="shared" si="6"/>
        <v>15599</v>
      </c>
      <c r="K81" s="134">
        <f t="shared" si="6"/>
        <v>61933</v>
      </c>
      <c r="L81" s="134">
        <f t="shared" si="6"/>
        <v>32036</v>
      </c>
      <c r="M81" s="134">
        <f t="shared" si="6"/>
        <v>5735</v>
      </c>
      <c r="N81" s="134">
        <f t="shared" si="6"/>
        <v>-91042</v>
      </c>
      <c r="O81" s="134">
        <f t="shared" si="6"/>
        <v>13766</v>
      </c>
      <c r="P81" s="134">
        <f t="shared" si="6"/>
        <v>19771</v>
      </c>
      <c r="Q81" s="134">
        <f>Q79-Q78</f>
        <v>-51770</v>
      </c>
      <c r="R81" s="134">
        <f t="shared" si="6"/>
        <v>-16177</v>
      </c>
      <c r="S81" s="134">
        <f t="shared" si="6"/>
        <v>53397</v>
      </c>
      <c r="T81" s="134">
        <f t="shared" si="6"/>
        <v>100393</v>
      </c>
      <c r="U81" s="134">
        <f t="shared" si="6"/>
        <v>-101189</v>
      </c>
      <c r="V81" s="134">
        <f t="shared" si="6"/>
        <v>36424</v>
      </c>
      <c r="W81" s="134">
        <f t="shared" si="6"/>
        <v>3103</v>
      </c>
      <c r="X81" s="134">
        <f t="shared" si="6"/>
        <v>-4185</v>
      </c>
      <c r="Y81" s="134">
        <f t="shared" si="6"/>
        <v>27403</v>
      </c>
      <c r="Z81" s="134">
        <f t="shared" si="6"/>
        <v>2542</v>
      </c>
      <c r="AA81" s="134">
        <f t="shared" si="6"/>
        <v>28863</v>
      </c>
    </row>
    <row r="82" spans="1:27" ht="15.75" thickTop="1" x14ac:dyDescent="0.25">
      <c r="A82" s="22"/>
      <c r="B82" s="17"/>
    </row>
    <row r="83" spans="1:27" x14ac:dyDescent="0.25">
      <c r="A83" s="22"/>
      <c r="B83" s="74"/>
      <c r="M83" s="83"/>
    </row>
    <row r="84" spans="1:27" x14ac:dyDescent="0.25">
      <c r="A84" s="22"/>
      <c r="N84" s="18"/>
      <c r="O84" s="18"/>
      <c r="P84" s="18"/>
    </row>
    <row r="85" spans="1:27" x14ac:dyDescent="0.25">
      <c r="A85" s="22"/>
    </row>
    <row r="86" spans="1:27" x14ac:dyDescent="0.25">
      <c r="A86" s="22"/>
      <c r="N86" s="3"/>
      <c r="P86" s="3"/>
    </row>
    <row r="87" spans="1:27" x14ac:dyDescent="0.25">
      <c r="A87" s="22"/>
    </row>
    <row r="88" spans="1:27" x14ac:dyDescent="0.25">
      <c r="A88" s="22"/>
    </row>
    <row r="89" spans="1:27" x14ac:dyDescent="0.25">
      <c r="A89" s="22"/>
    </row>
    <row r="90" spans="1:27" x14ac:dyDescent="0.25">
      <c r="A90" s="22"/>
    </row>
    <row r="91" spans="1:27" x14ac:dyDescent="0.25">
      <c r="A91" s="22"/>
    </row>
    <row r="92" spans="1:27" x14ac:dyDescent="0.25">
      <c r="A92" s="22"/>
    </row>
    <row r="93" spans="1:27" x14ac:dyDescent="0.25">
      <c r="A93" s="22"/>
    </row>
    <row r="94" spans="1:27" x14ac:dyDescent="0.25">
      <c r="A94" s="22"/>
    </row>
    <row r="95" spans="1:27" x14ac:dyDescent="0.25">
      <c r="A95" s="22"/>
    </row>
    <row r="96" spans="1:27" x14ac:dyDescent="0.25">
      <c r="A96" s="22"/>
    </row>
    <row r="97" spans="1:1" x14ac:dyDescent="0.25">
      <c r="A97" s="22"/>
    </row>
    <row r="98" spans="1:1" x14ac:dyDescent="0.25">
      <c r="A98" s="22"/>
    </row>
    <row r="102" spans="1:1" x14ac:dyDescent="0.25">
      <c r="A102" s="22"/>
    </row>
    <row r="103" spans="1:1" x14ac:dyDescent="0.25">
      <c r="A103" s="22"/>
    </row>
    <row r="104" spans="1:1" x14ac:dyDescent="0.25">
      <c r="A104" s="22"/>
    </row>
    <row r="105" spans="1:1" x14ac:dyDescent="0.25">
      <c r="A105" s="22"/>
    </row>
    <row r="106" spans="1:1" x14ac:dyDescent="0.25">
      <c r="A106" s="22"/>
    </row>
    <row r="107" spans="1:1" x14ac:dyDescent="0.25">
      <c r="A107" s="2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8"/>
  <dimension ref="A1:I104"/>
  <sheetViews>
    <sheetView showGridLines="0" zoomScale="60" zoomScaleNormal="60" workbookViewId="0">
      <pane xSplit="2" ySplit="7" topLeftCell="C8" activePane="bottomRight" state="frozen"/>
      <selection activeCell="R26" sqref="R26"/>
      <selection pane="topRight" activeCell="R26" sqref="R26"/>
      <selection pane="bottomLeft" activeCell="R26" sqref="R26"/>
      <selection pane="bottomRight"/>
    </sheetView>
  </sheetViews>
  <sheetFormatPr defaultRowHeight="15" x14ac:dyDescent="0.25"/>
  <cols>
    <col min="1" max="1" width="1.5703125" style="1" customWidth="1"/>
    <col min="2" max="2" width="60.140625" style="6" customWidth="1"/>
    <col min="3" max="3" width="9.28515625" style="6" bestFit="1" customWidth="1"/>
    <col min="4" max="5" width="10" style="6" bestFit="1" customWidth="1"/>
    <col min="6" max="6" width="9.28515625" style="6" bestFit="1" customWidth="1"/>
    <col min="7" max="7" width="10" style="6" bestFit="1" customWidth="1"/>
  </cols>
  <sheetData>
    <row r="1" spans="1:8" s="22" customFormat="1" ht="8.25" customHeight="1" x14ac:dyDescent="0.25">
      <c r="B1" s="9"/>
      <c r="C1" s="9"/>
      <c r="D1" s="9"/>
      <c r="E1" s="9"/>
      <c r="F1" s="9"/>
      <c r="G1" s="9"/>
      <c r="H1" s="9"/>
    </row>
    <row r="2" spans="1:8" x14ac:dyDescent="0.25">
      <c r="A2" s="22"/>
    </row>
    <row r="3" spans="1:8" x14ac:dyDescent="0.25">
      <c r="A3" s="22"/>
    </row>
    <row r="4" spans="1:8" x14ac:dyDescent="0.25">
      <c r="A4" s="22"/>
    </row>
    <row r="5" spans="1:8" x14ac:dyDescent="0.25">
      <c r="A5" s="22"/>
    </row>
    <row r="6" spans="1:8" x14ac:dyDescent="0.25">
      <c r="A6" s="22"/>
    </row>
    <row r="7" spans="1:8" ht="16.5" customHeight="1" x14ac:dyDescent="0.25">
      <c r="A7" s="22"/>
      <c r="B7" s="130"/>
      <c r="C7" s="131" t="s">
        <v>58</v>
      </c>
      <c r="D7" s="131" t="s">
        <v>59</v>
      </c>
      <c r="E7" s="131" t="s">
        <v>60</v>
      </c>
      <c r="F7" s="131" t="s">
        <v>62</v>
      </c>
      <c r="G7" s="131">
        <v>2015</v>
      </c>
    </row>
    <row r="8" spans="1:8" x14ac:dyDescent="0.25">
      <c r="A8" s="22"/>
      <c r="B8" s="77"/>
    </row>
    <row r="9" spans="1:8" x14ac:dyDescent="0.25">
      <c r="A9" s="22"/>
      <c r="B9" s="78" t="s">
        <v>145</v>
      </c>
      <c r="C9" s="79">
        <v>53366</v>
      </c>
      <c r="D9" s="79">
        <v>36385</v>
      </c>
      <c r="E9" s="79">
        <v>67880</v>
      </c>
      <c r="F9" s="79">
        <v>21828</v>
      </c>
      <c r="G9" s="79">
        <f>SUM(C9:F9)</f>
        <v>179459</v>
      </c>
    </row>
    <row r="10" spans="1:8" ht="30" x14ac:dyDescent="0.25">
      <c r="A10" s="22"/>
      <c r="B10" s="17" t="s">
        <v>146</v>
      </c>
      <c r="C10" s="3"/>
      <c r="D10" s="3"/>
      <c r="E10" s="3"/>
      <c r="F10" s="3"/>
    </row>
    <row r="11" spans="1:8" x14ac:dyDescent="0.25">
      <c r="A11" s="22"/>
      <c r="B11" s="17" t="s">
        <v>147</v>
      </c>
      <c r="C11" s="3">
        <v>14252</v>
      </c>
      <c r="D11" s="3">
        <v>17365</v>
      </c>
      <c r="E11" s="3">
        <v>16278</v>
      </c>
      <c r="F11" s="3">
        <v>17333</v>
      </c>
      <c r="G11" s="3">
        <f t="shared" ref="G11:G41" si="0">SUM(C11:F11)</f>
        <v>65228</v>
      </c>
    </row>
    <row r="12" spans="1:8" x14ac:dyDescent="0.25">
      <c r="A12" s="22"/>
      <c r="B12" s="17" t="s">
        <v>148</v>
      </c>
      <c r="C12" s="3">
        <v>433</v>
      </c>
      <c r="D12" s="3">
        <v>1804</v>
      </c>
      <c r="E12" s="3">
        <v>2200</v>
      </c>
      <c r="F12" s="3">
        <v>12160</v>
      </c>
      <c r="G12" s="3">
        <f t="shared" si="0"/>
        <v>16597</v>
      </c>
    </row>
    <row r="13" spans="1:8" x14ac:dyDescent="0.25">
      <c r="B13" s="17" t="s">
        <v>149</v>
      </c>
      <c r="C13" s="3">
        <v>3955</v>
      </c>
      <c r="D13" s="3">
        <v>3432</v>
      </c>
      <c r="E13" s="3">
        <v>5279</v>
      </c>
      <c r="F13" s="3">
        <v>9737</v>
      </c>
      <c r="G13" s="3">
        <f t="shared" si="0"/>
        <v>22403</v>
      </c>
    </row>
    <row r="14" spans="1:8" x14ac:dyDescent="0.25">
      <c r="A14" s="22"/>
      <c r="B14" s="80" t="s">
        <v>214</v>
      </c>
      <c r="C14" s="3">
        <v>1110</v>
      </c>
      <c r="D14" s="3">
        <v>-1800</v>
      </c>
      <c r="E14" s="3">
        <v>4844</v>
      </c>
      <c r="F14" s="3">
        <v>-471</v>
      </c>
      <c r="G14" s="3">
        <f>SUM(C14:F14)</f>
        <v>3683</v>
      </c>
    </row>
    <row r="15" spans="1:8" x14ac:dyDescent="0.25">
      <c r="A15" s="22"/>
      <c r="B15" s="17" t="s">
        <v>151</v>
      </c>
      <c r="C15" s="3">
        <v>-342</v>
      </c>
      <c r="D15" s="3">
        <v>201</v>
      </c>
      <c r="E15" s="3">
        <v>925</v>
      </c>
      <c r="F15" s="3">
        <v>1731</v>
      </c>
      <c r="G15" s="3">
        <f t="shared" si="0"/>
        <v>2515</v>
      </c>
    </row>
    <row r="16" spans="1:8" x14ac:dyDescent="0.25">
      <c r="A16" s="22"/>
      <c r="B16" s="17" t="s">
        <v>215</v>
      </c>
      <c r="C16" s="3">
        <v>0</v>
      </c>
      <c r="D16" s="3">
        <v>0</v>
      </c>
      <c r="E16" s="3">
        <v>0</v>
      </c>
      <c r="F16" s="3">
        <v>-9000</v>
      </c>
      <c r="G16" s="3">
        <f t="shared" si="0"/>
        <v>-9000</v>
      </c>
    </row>
    <row r="17" spans="1:7" x14ac:dyDescent="0.25">
      <c r="A17" s="22"/>
      <c r="B17" s="17" t="s">
        <v>2</v>
      </c>
      <c r="C17" s="3">
        <v>0</v>
      </c>
      <c r="D17" s="3"/>
      <c r="E17" s="3">
        <v>0</v>
      </c>
      <c r="F17" s="3">
        <v>0</v>
      </c>
      <c r="G17" s="3">
        <f t="shared" si="0"/>
        <v>0</v>
      </c>
    </row>
    <row r="18" spans="1:7" x14ac:dyDescent="0.25">
      <c r="A18" s="22"/>
      <c r="B18" s="17" t="s">
        <v>216</v>
      </c>
      <c r="C18" s="3">
        <v>0</v>
      </c>
      <c r="D18" s="3"/>
      <c r="E18" s="3">
        <v>0</v>
      </c>
      <c r="F18" s="3">
        <v>0</v>
      </c>
      <c r="G18" s="3">
        <f t="shared" si="0"/>
        <v>0</v>
      </c>
    </row>
    <row r="19" spans="1:7" x14ac:dyDescent="0.25">
      <c r="A19" s="22"/>
      <c r="B19" s="17" t="s">
        <v>155</v>
      </c>
      <c r="C19" s="3">
        <v>-911</v>
      </c>
      <c r="D19" s="3">
        <v>-731</v>
      </c>
      <c r="E19" s="3">
        <v>-585</v>
      </c>
      <c r="F19" s="3">
        <v>-3218</v>
      </c>
      <c r="G19" s="3">
        <f t="shared" si="0"/>
        <v>-5445</v>
      </c>
    </row>
    <row r="20" spans="1:7" x14ac:dyDescent="0.25">
      <c r="A20" s="22"/>
      <c r="B20" s="17" t="s">
        <v>218</v>
      </c>
      <c r="C20" s="3">
        <v>8930</v>
      </c>
      <c r="D20" s="3">
        <v>11345</v>
      </c>
      <c r="E20" s="3">
        <v>13118</v>
      </c>
      <c r="F20" s="3">
        <v>14129</v>
      </c>
      <c r="G20" s="3">
        <f t="shared" si="0"/>
        <v>47522</v>
      </c>
    </row>
    <row r="21" spans="1:7" x14ac:dyDescent="0.25">
      <c r="A21" s="22"/>
      <c r="B21" s="17" t="s">
        <v>161</v>
      </c>
      <c r="C21" s="3">
        <v>0</v>
      </c>
      <c r="D21" s="3" t="s">
        <v>86</v>
      </c>
      <c r="E21" s="3">
        <v>0</v>
      </c>
      <c r="F21" s="3">
        <v>0</v>
      </c>
      <c r="G21" s="3">
        <f t="shared" si="0"/>
        <v>0</v>
      </c>
    </row>
    <row r="22" spans="1:7" x14ac:dyDescent="0.25">
      <c r="A22" s="22"/>
      <c r="B22" s="17" t="s">
        <v>50</v>
      </c>
      <c r="C22" s="3">
        <v>0</v>
      </c>
      <c r="D22" s="3">
        <v>0</v>
      </c>
      <c r="E22" s="3">
        <v>0</v>
      </c>
      <c r="F22" s="3">
        <v>0</v>
      </c>
      <c r="G22" s="3">
        <f t="shared" si="0"/>
        <v>0</v>
      </c>
    </row>
    <row r="23" spans="1:7" x14ac:dyDescent="0.25">
      <c r="A23" s="22"/>
      <c r="B23" s="17" t="s">
        <v>219</v>
      </c>
      <c r="C23" s="3">
        <v>1154</v>
      </c>
      <c r="D23" s="3">
        <v>989</v>
      </c>
      <c r="E23" s="3">
        <v>680</v>
      </c>
      <c r="F23" s="3">
        <v>788</v>
      </c>
      <c r="G23" s="3">
        <f t="shared" si="0"/>
        <v>3611</v>
      </c>
    </row>
    <row r="24" spans="1:7" x14ac:dyDescent="0.25">
      <c r="A24" s="22"/>
      <c r="B24" s="17" t="s">
        <v>160</v>
      </c>
      <c r="C24" s="3">
        <v>0</v>
      </c>
      <c r="D24" s="3">
        <v>-6804</v>
      </c>
      <c r="E24" s="3">
        <v>-20540</v>
      </c>
      <c r="F24" s="3">
        <v>3204</v>
      </c>
      <c r="G24" s="3">
        <f t="shared" si="0"/>
        <v>-24140</v>
      </c>
    </row>
    <row r="25" spans="1:7" x14ac:dyDescent="0.25">
      <c r="A25" s="22"/>
      <c r="B25" s="17" t="s">
        <v>220</v>
      </c>
      <c r="C25" s="3">
        <v>0</v>
      </c>
      <c r="D25" s="3">
        <v>0</v>
      </c>
      <c r="E25" s="3">
        <v>0</v>
      </c>
      <c r="F25" s="3">
        <v>0</v>
      </c>
      <c r="G25" s="3">
        <f t="shared" si="0"/>
        <v>0</v>
      </c>
    </row>
    <row r="26" spans="1:7" x14ac:dyDescent="0.25">
      <c r="A26" s="22"/>
      <c r="B26" s="132" t="s">
        <v>165</v>
      </c>
      <c r="C26" s="134">
        <f>SUM(C9:C25)</f>
        <v>81947</v>
      </c>
      <c r="D26" s="134">
        <f>SUM(D9:D25)</f>
        <v>62186</v>
      </c>
      <c r="E26" s="134">
        <f>SUM(E9:E25)</f>
        <v>90079</v>
      </c>
      <c r="F26" s="134">
        <f>SUM(F9:F25)</f>
        <v>68221</v>
      </c>
      <c r="G26" s="134">
        <f t="shared" si="0"/>
        <v>302433</v>
      </c>
    </row>
    <row r="27" spans="1:7" x14ac:dyDescent="0.25">
      <c r="A27" s="22"/>
      <c r="B27" s="17"/>
    </row>
    <row r="28" spans="1:7" x14ac:dyDescent="0.25">
      <c r="A28" s="22"/>
      <c r="B28" s="17" t="s">
        <v>45</v>
      </c>
      <c r="C28" s="3">
        <v>-12689</v>
      </c>
      <c r="D28" s="3">
        <v>-5665</v>
      </c>
      <c r="E28" s="3">
        <v>-3491</v>
      </c>
      <c r="F28" s="3">
        <v>17682</v>
      </c>
      <c r="G28" s="3">
        <f t="shared" si="0"/>
        <v>-4163</v>
      </c>
    </row>
    <row r="29" spans="1:7" x14ac:dyDescent="0.25">
      <c r="A29" s="22"/>
      <c r="B29" s="17" t="s">
        <v>222</v>
      </c>
      <c r="C29" s="3">
        <v>0</v>
      </c>
      <c r="D29" s="3">
        <v>0</v>
      </c>
      <c r="E29" s="3">
        <v>0</v>
      </c>
      <c r="F29" s="3">
        <v>-9314</v>
      </c>
      <c r="G29" s="3">
        <f t="shared" si="0"/>
        <v>-9314</v>
      </c>
    </row>
    <row r="30" spans="1:7" x14ac:dyDescent="0.25">
      <c r="A30" s="22"/>
      <c r="B30" s="17" t="s">
        <v>28</v>
      </c>
      <c r="C30" s="3">
        <v>-1263</v>
      </c>
      <c r="D30" s="3">
        <v>-8393</v>
      </c>
      <c r="E30" s="3">
        <v>429</v>
      </c>
      <c r="F30" s="3">
        <v>-4603</v>
      </c>
      <c r="G30" s="3">
        <f t="shared" si="0"/>
        <v>-13830</v>
      </c>
    </row>
    <row r="31" spans="1:7" x14ac:dyDescent="0.25">
      <c r="A31" s="22"/>
      <c r="B31" s="17" t="s">
        <v>1</v>
      </c>
      <c r="C31" s="3">
        <v>-15293</v>
      </c>
      <c r="D31" s="3">
        <v>-23303</v>
      </c>
      <c r="E31" s="3">
        <v>19514</v>
      </c>
      <c r="F31" s="3">
        <v>7660</v>
      </c>
      <c r="G31" s="3">
        <f t="shared" si="0"/>
        <v>-11422</v>
      </c>
    </row>
    <row r="32" spans="1:7" x14ac:dyDescent="0.25">
      <c r="A32" s="22"/>
      <c r="B32" s="17" t="s">
        <v>3</v>
      </c>
      <c r="C32" s="3">
        <v>-328</v>
      </c>
      <c r="D32" s="3">
        <v>341</v>
      </c>
      <c r="E32" s="3">
        <v>-4720</v>
      </c>
      <c r="F32" s="3">
        <v>2787</v>
      </c>
      <c r="G32" s="3">
        <f t="shared" si="0"/>
        <v>-1920</v>
      </c>
    </row>
    <row r="33" spans="1:7" x14ac:dyDescent="0.25">
      <c r="A33" s="22"/>
      <c r="B33" s="17" t="s">
        <v>27</v>
      </c>
      <c r="C33" s="3">
        <v>3059</v>
      </c>
      <c r="D33" s="3">
        <v>1267</v>
      </c>
      <c r="E33" s="3">
        <v>9059</v>
      </c>
      <c r="F33" s="3">
        <v>-13481</v>
      </c>
      <c r="G33" s="3">
        <f t="shared" si="0"/>
        <v>-96</v>
      </c>
    </row>
    <row r="34" spans="1:7" x14ac:dyDescent="0.25">
      <c r="A34" s="22"/>
      <c r="B34" s="17" t="s">
        <v>31</v>
      </c>
      <c r="C34" s="3">
        <v>8452</v>
      </c>
      <c r="D34" s="3">
        <v>-1133</v>
      </c>
      <c r="E34" s="3">
        <v>-10207</v>
      </c>
      <c r="F34" s="3">
        <v>37187</v>
      </c>
      <c r="G34" s="3">
        <f t="shared" si="0"/>
        <v>34299</v>
      </c>
    </row>
    <row r="35" spans="1:7" x14ac:dyDescent="0.25">
      <c r="A35" s="22"/>
      <c r="B35" s="17" t="s">
        <v>32</v>
      </c>
      <c r="C35" s="3">
        <v>-176</v>
      </c>
      <c r="D35" s="3">
        <v>5585</v>
      </c>
      <c r="E35" s="3">
        <v>13994</v>
      </c>
      <c r="F35" s="3">
        <v>-11877</v>
      </c>
      <c r="G35" s="3">
        <f t="shared" si="0"/>
        <v>7526</v>
      </c>
    </row>
    <row r="36" spans="1:7" x14ac:dyDescent="0.25">
      <c r="A36" s="22"/>
      <c r="B36" s="17" t="s">
        <v>41</v>
      </c>
      <c r="C36" s="3">
        <v>-1726</v>
      </c>
      <c r="D36" s="3">
        <v>2156</v>
      </c>
      <c r="E36" s="3">
        <v>-9096</v>
      </c>
      <c r="F36" s="3">
        <v>444</v>
      </c>
      <c r="G36" s="3">
        <f t="shared" si="0"/>
        <v>-8222</v>
      </c>
    </row>
    <row r="37" spans="1:7" x14ac:dyDescent="0.25">
      <c r="A37" s="22"/>
      <c r="B37" s="17" t="s">
        <v>166</v>
      </c>
      <c r="C37" s="3">
        <v>-8591</v>
      </c>
      <c r="D37" s="3">
        <v>-13775</v>
      </c>
      <c r="E37" s="3">
        <v>-11704</v>
      </c>
      <c r="F37" s="3">
        <v>-10771</v>
      </c>
      <c r="G37" s="3">
        <f t="shared" si="0"/>
        <v>-44841</v>
      </c>
    </row>
    <row r="38" spans="1:7" x14ac:dyDescent="0.25">
      <c r="A38" s="22"/>
      <c r="B38" s="17" t="s">
        <v>34</v>
      </c>
      <c r="C38" s="3">
        <v>-8680</v>
      </c>
      <c r="D38" s="3">
        <v>15585</v>
      </c>
      <c r="E38" s="3">
        <v>-3783</v>
      </c>
      <c r="F38" s="3">
        <v>-22683</v>
      </c>
      <c r="G38" s="3">
        <f t="shared" si="0"/>
        <v>-19561</v>
      </c>
    </row>
    <row r="39" spans="1:7" x14ac:dyDescent="0.25">
      <c r="B39" s="132" t="s">
        <v>171</v>
      </c>
      <c r="C39" s="134">
        <f>SUM(C28:C38)</f>
        <v>-37235</v>
      </c>
      <c r="D39" s="134">
        <f>SUM(D28:D38)</f>
        <v>-27335</v>
      </c>
      <c r="E39" s="134">
        <f>SUM(E28:E38)</f>
        <v>-5</v>
      </c>
      <c r="F39" s="134">
        <f>SUM(F28:F38)</f>
        <v>-6969</v>
      </c>
      <c r="G39" s="134">
        <f t="shared" si="0"/>
        <v>-71544</v>
      </c>
    </row>
    <row r="40" spans="1:7" x14ac:dyDescent="0.25">
      <c r="A40" s="22"/>
      <c r="B40" s="17"/>
    </row>
    <row r="41" spans="1:7" x14ac:dyDescent="0.25">
      <c r="A41" s="22"/>
      <c r="B41" s="132" t="s">
        <v>172</v>
      </c>
      <c r="C41" s="134">
        <f>C26+C39</f>
        <v>44712</v>
      </c>
      <c r="D41" s="134">
        <f>D26+D39</f>
        <v>34851</v>
      </c>
      <c r="E41" s="134">
        <f>E26+E39</f>
        <v>90074</v>
      </c>
      <c r="F41" s="134">
        <f>F26+F39</f>
        <v>61252</v>
      </c>
      <c r="G41" s="134">
        <f t="shared" si="0"/>
        <v>230889</v>
      </c>
    </row>
    <row r="42" spans="1:7" x14ac:dyDescent="0.25">
      <c r="A42" s="22"/>
      <c r="B42" s="17"/>
    </row>
    <row r="43" spans="1:7" x14ac:dyDescent="0.25">
      <c r="A43" s="22"/>
      <c r="B43" s="77" t="s">
        <v>173</v>
      </c>
    </row>
    <row r="44" spans="1:7" x14ac:dyDescent="0.25">
      <c r="A44" s="22"/>
      <c r="B44" s="17" t="s">
        <v>174</v>
      </c>
      <c r="C44" s="3">
        <v>-14016</v>
      </c>
      <c r="D44" s="3">
        <v>-18979</v>
      </c>
      <c r="E44" s="3">
        <v>-15411</v>
      </c>
      <c r="F44" s="3">
        <v>-18141</v>
      </c>
      <c r="G44" s="3">
        <f t="shared" ref="G44:G60" si="1">SUM(C44:F44)</f>
        <v>-66547</v>
      </c>
    </row>
    <row r="45" spans="1:7" x14ac:dyDescent="0.25">
      <c r="A45" s="22"/>
      <c r="B45" s="17" t="s">
        <v>175</v>
      </c>
      <c r="C45" s="3">
        <v>-5926</v>
      </c>
      <c r="D45" s="3">
        <v>-3797</v>
      </c>
      <c r="E45" s="3">
        <v>-10064</v>
      </c>
      <c r="F45" s="3">
        <v>-17399</v>
      </c>
      <c r="G45" s="3">
        <f t="shared" si="1"/>
        <v>-37186</v>
      </c>
    </row>
    <row r="46" spans="1:7" x14ac:dyDescent="0.25">
      <c r="A46" s="22"/>
      <c r="B46" s="80" t="s">
        <v>224</v>
      </c>
      <c r="C46" s="3"/>
      <c r="D46" s="3"/>
      <c r="E46" s="3">
        <v>-394551</v>
      </c>
      <c r="F46" s="3">
        <v>394551</v>
      </c>
      <c r="G46" s="3">
        <f t="shared" si="1"/>
        <v>0</v>
      </c>
    </row>
    <row r="47" spans="1:7" x14ac:dyDescent="0.25">
      <c r="A47" s="22"/>
      <c r="B47" s="17" t="s">
        <v>225</v>
      </c>
      <c r="C47" s="3">
        <v>1780</v>
      </c>
      <c r="D47" s="3">
        <v>1293</v>
      </c>
      <c r="E47" s="3">
        <v>0</v>
      </c>
      <c r="F47" s="3">
        <v>1328</v>
      </c>
      <c r="G47" s="3">
        <f t="shared" si="1"/>
        <v>4401</v>
      </c>
    </row>
    <row r="48" spans="1:7" x14ac:dyDescent="0.25">
      <c r="A48" s="22"/>
      <c r="B48" s="17" t="s">
        <v>226</v>
      </c>
      <c r="C48" s="3">
        <v>0</v>
      </c>
      <c r="D48" s="3">
        <v>0</v>
      </c>
      <c r="E48" s="3">
        <v>0</v>
      </c>
      <c r="F48" s="3">
        <v>0</v>
      </c>
      <c r="G48" s="3">
        <f t="shared" si="1"/>
        <v>0</v>
      </c>
    </row>
    <row r="49" spans="1:7" x14ac:dyDescent="0.25">
      <c r="A49" s="22"/>
      <c r="B49" s="17" t="s">
        <v>227</v>
      </c>
      <c r="C49" s="3">
        <v>0</v>
      </c>
      <c r="D49" s="3">
        <v>0</v>
      </c>
      <c r="E49" s="3">
        <v>0</v>
      </c>
      <c r="F49" s="3">
        <v>0</v>
      </c>
      <c r="G49" s="3">
        <f t="shared" si="1"/>
        <v>0</v>
      </c>
    </row>
    <row r="50" spans="1:7" x14ac:dyDescent="0.25">
      <c r="A50" s="22"/>
      <c r="B50" s="17" t="s">
        <v>228</v>
      </c>
      <c r="C50" s="3">
        <v>0</v>
      </c>
      <c r="D50" s="3">
        <v>0</v>
      </c>
      <c r="E50" s="3">
        <v>0</v>
      </c>
      <c r="F50" s="3">
        <v>0</v>
      </c>
      <c r="G50" s="3">
        <f t="shared" si="1"/>
        <v>0</v>
      </c>
    </row>
    <row r="51" spans="1:7" x14ac:dyDescent="0.25">
      <c r="A51" s="22"/>
      <c r="B51" s="17" t="s">
        <v>229</v>
      </c>
      <c r="C51" s="3">
        <v>0</v>
      </c>
      <c r="D51" s="3">
        <v>0</v>
      </c>
      <c r="E51" s="3">
        <v>0</v>
      </c>
      <c r="F51" s="3">
        <v>-280</v>
      </c>
      <c r="G51" s="3">
        <f t="shared" si="1"/>
        <v>-280</v>
      </c>
    </row>
    <row r="52" spans="1:7" x14ac:dyDescent="0.25">
      <c r="A52" s="22"/>
      <c r="B52" s="17" t="s">
        <v>230</v>
      </c>
      <c r="C52" s="3">
        <v>0</v>
      </c>
      <c r="D52" s="3">
        <v>0</v>
      </c>
      <c r="E52" s="3">
        <v>0</v>
      </c>
      <c r="F52" s="3">
        <v>-1120</v>
      </c>
      <c r="G52" s="3">
        <f t="shared" si="1"/>
        <v>-1120</v>
      </c>
    </row>
    <row r="53" spans="1:7" x14ac:dyDescent="0.25">
      <c r="A53" s="22"/>
      <c r="B53" s="17" t="s">
        <v>231</v>
      </c>
      <c r="C53" s="3">
        <v>0</v>
      </c>
      <c r="D53" s="3">
        <v>0</v>
      </c>
      <c r="E53" s="3">
        <v>0</v>
      </c>
      <c r="F53" s="3">
        <v>-338506</v>
      </c>
      <c r="G53" s="3">
        <f t="shared" si="1"/>
        <v>-338506</v>
      </c>
    </row>
    <row r="54" spans="1:7" x14ac:dyDescent="0.25">
      <c r="B54" s="17" t="s">
        <v>232</v>
      </c>
      <c r="C54" s="3">
        <v>0</v>
      </c>
      <c r="D54" s="3">
        <v>0</v>
      </c>
      <c r="E54" s="3">
        <v>0</v>
      </c>
      <c r="F54" s="3">
        <v>0</v>
      </c>
      <c r="G54" s="3">
        <f t="shared" si="1"/>
        <v>0</v>
      </c>
    </row>
    <row r="55" spans="1:7" x14ac:dyDescent="0.25">
      <c r="A55" s="22"/>
      <c r="B55" s="17" t="s">
        <v>233</v>
      </c>
      <c r="C55" s="3">
        <v>0</v>
      </c>
      <c r="D55" s="3">
        <v>0</v>
      </c>
      <c r="E55" s="3">
        <v>0</v>
      </c>
      <c r="F55" s="3">
        <v>0</v>
      </c>
      <c r="G55" s="3">
        <f t="shared" si="1"/>
        <v>0</v>
      </c>
    </row>
    <row r="56" spans="1:7" x14ac:dyDescent="0.25">
      <c r="A56" s="22"/>
      <c r="B56" s="17" t="s">
        <v>234</v>
      </c>
      <c r="C56" s="3">
        <v>-22297</v>
      </c>
      <c r="D56" s="3">
        <v>0</v>
      </c>
      <c r="E56" s="3">
        <v>0</v>
      </c>
      <c r="F56" s="3">
        <v>0</v>
      </c>
      <c r="G56" s="3">
        <f t="shared" si="1"/>
        <v>-22297</v>
      </c>
    </row>
    <row r="57" spans="1:7" x14ac:dyDescent="0.25">
      <c r="A57" s="22"/>
      <c r="B57" s="17" t="s">
        <v>235</v>
      </c>
      <c r="C57" s="3">
        <v>0</v>
      </c>
      <c r="D57" s="3">
        <v>0</v>
      </c>
      <c r="E57" s="3">
        <v>0</v>
      </c>
      <c r="F57" s="3">
        <v>0</v>
      </c>
      <c r="G57" s="3">
        <f t="shared" si="1"/>
        <v>0</v>
      </c>
    </row>
    <row r="58" spans="1:7" x14ac:dyDescent="0.25">
      <c r="A58" s="22"/>
      <c r="B58" s="17" t="s">
        <v>236</v>
      </c>
      <c r="C58" s="3">
        <v>0</v>
      </c>
      <c r="D58" s="3">
        <v>0</v>
      </c>
      <c r="E58" s="3">
        <v>0</v>
      </c>
      <c r="F58" s="3">
        <v>0</v>
      </c>
      <c r="G58" s="3">
        <f t="shared" si="1"/>
        <v>0</v>
      </c>
    </row>
    <row r="59" spans="1:7" x14ac:dyDescent="0.25">
      <c r="A59" s="22"/>
      <c r="B59" s="30" t="s">
        <v>237</v>
      </c>
      <c r="C59" s="3">
        <v>0</v>
      </c>
      <c r="D59" s="3">
        <v>-123465</v>
      </c>
      <c r="E59" s="3">
        <v>0</v>
      </c>
      <c r="F59" s="3">
        <v>0</v>
      </c>
      <c r="G59" s="3">
        <f t="shared" si="1"/>
        <v>-123465</v>
      </c>
    </row>
    <row r="60" spans="1:7" x14ac:dyDescent="0.25">
      <c r="A60" s="22"/>
      <c r="B60" s="132" t="s">
        <v>189</v>
      </c>
      <c r="C60" s="134">
        <f>SUM(C44:C59)</f>
        <v>-40459</v>
      </c>
      <c r="D60" s="134">
        <f>SUM(D44:D59)</f>
        <v>-144948</v>
      </c>
      <c r="E60" s="134">
        <f>SUM(E44:E59)</f>
        <v>-420026</v>
      </c>
      <c r="F60" s="134">
        <f>SUM(F44:F59)</f>
        <v>20433</v>
      </c>
      <c r="G60" s="134">
        <f t="shared" si="1"/>
        <v>-585000</v>
      </c>
    </row>
    <row r="61" spans="1:7" x14ac:dyDescent="0.25">
      <c r="A61" s="22"/>
      <c r="B61" s="17"/>
    </row>
    <row r="62" spans="1:7" x14ac:dyDescent="0.25">
      <c r="A62" s="22"/>
      <c r="B62" s="77" t="s">
        <v>190</v>
      </c>
    </row>
    <row r="63" spans="1:7" x14ac:dyDescent="0.25">
      <c r="A63" s="22"/>
      <c r="B63" s="17" t="s">
        <v>191</v>
      </c>
      <c r="C63" s="3">
        <v>-4830</v>
      </c>
      <c r="D63" s="3">
        <v>-10238</v>
      </c>
      <c r="E63" s="3">
        <v>-8853</v>
      </c>
      <c r="F63" s="3">
        <v>-6541</v>
      </c>
      <c r="G63" s="3">
        <f t="shared" ref="G63:G82" si="2">SUM(C63:F63)</f>
        <v>-30462</v>
      </c>
    </row>
    <row r="64" spans="1:7" x14ac:dyDescent="0.25">
      <c r="A64" s="22"/>
      <c r="B64" s="17" t="s">
        <v>193</v>
      </c>
      <c r="C64" s="3">
        <v>-10900</v>
      </c>
      <c r="D64" s="3">
        <v>-2064</v>
      </c>
      <c r="E64" s="3">
        <v>-4862</v>
      </c>
      <c r="F64" s="3">
        <v>-11773</v>
      </c>
      <c r="G64" s="3">
        <f t="shared" si="2"/>
        <v>-29599</v>
      </c>
    </row>
    <row r="65" spans="1:7" x14ac:dyDescent="0.25">
      <c r="A65" s="22"/>
      <c r="B65" s="80" t="s">
        <v>238</v>
      </c>
      <c r="C65" s="3"/>
      <c r="D65" s="3"/>
      <c r="E65" s="3">
        <v>-2065</v>
      </c>
      <c r="F65" s="3">
        <v>-2575</v>
      </c>
      <c r="G65" s="3">
        <f t="shared" si="2"/>
        <v>-4640</v>
      </c>
    </row>
    <row r="66" spans="1:7" x14ac:dyDescent="0.25">
      <c r="A66" s="22"/>
      <c r="B66" s="80" t="s">
        <v>239</v>
      </c>
      <c r="C66" s="3"/>
      <c r="D66" s="3"/>
      <c r="E66" s="3">
        <v>386243</v>
      </c>
      <c r="F66" s="3">
        <v>-5423</v>
      </c>
      <c r="G66" s="3">
        <f t="shared" si="2"/>
        <v>380820</v>
      </c>
    </row>
    <row r="67" spans="1:7" x14ac:dyDescent="0.25">
      <c r="A67" s="22"/>
      <c r="B67" s="17" t="s">
        <v>194</v>
      </c>
      <c r="C67" s="3">
        <v>0</v>
      </c>
      <c r="D67" s="3">
        <v>0</v>
      </c>
      <c r="E67" s="3">
        <v>0</v>
      </c>
      <c r="F67" s="3">
        <v>0</v>
      </c>
      <c r="G67" s="3">
        <f t="shared" si="2"/>
        <v>0</v>
      </c>
    </row>
    <row r="68" spans="1:7" x14ac:dyDescent="0.25">
      <c r="A68" s="22"/>
      <c r="B68" s="17" t="s">
        <v>240</v>
      </c>
      <c r="C68" s="3">
        <v>-1766</v>
      </c>
      <c r="D68" s="3">
        <v>-1315</v>
      </c>
      <c r="E68" s="3">
        <v>-1480</v>
      </c>
      <c r="F68" s="3">
        <v>-3367</v>
      </c>
      <c r="G68" s="3">
        <f t="shared" si="2"/>
        <v>-7928</v>
      </c>
    </row>
    <row r="69" spans="1:7" x14ac:dyDescent="0.25">
      <c r="A69" s="22"/>
      <c r="B69" s="17" t="s">
        <v>197</v>
      </c>
      <c r="C69" s="3">
        <v>0</v>
      </c>
      <c r="D69" s="3">
        <v>62500</v>
      </c>
      <c r="E69" s="3">
        <v>0</v>
      </c>
      <c r="F69" s="3">
        <v>0</v>
      </c>
      <c r="G69" s="3">
        <f t="shared" si="2"/>
        <v>62500</v>
      </c>
    </row>
    <row r="70" spans="1:7" x14ac:dyDescent="0.25">
      <c r="A70" s="22"/>
      <c r="B70" s="17" t="s">
        <v>198</v>
      </c>
      <c r="C70" s="3">
        <v>0</v>
      </c>
      <c r="D70" s="3">
        <v>-62500</v>
      </c>
      <c r="E70" s="3">
        <v>0</v>
      </c>
      <c r="F70" s="3">
        <v>0</v>
      </c>
      <c r="G70" s="3">
        <f t="shared" si="2"/>
        <v>-62500</v>
      </c>
    </row>
    <row r="71" spans="1:7" x14ac:dyDescent="0.25">
      <c r="A71" s="22"/>
      <c r="B71" s="17" t="s">
        <v>199</v>
      </c>
      <c r="C71" s="3">
        <v>0</v>
      </c>
      <c r="D71" s="3">
        <v>-15149</v>
      </c>
      <c r="E71" s="3">
        <v>0</v>
      </c>
      <c r="F71" s="3">
        <v>-18042</v>
      </c>
      <c r="G71" s="3">
        <f t="shared" si="2"/>
        <v>-33191</v>
      </c>
    </row>
    <row r="72" spans="1:7" x14ac:dyDescent="0.25">
      <c r="A72" s="22"/>
      <c r="B72" s="17" t="s">
        <v>241</v>
      </c>
      <c r="C72" s="3">
        <v>0</v>
      </c>
      <c r="D72" s="3">
        <v>0</v>
      </c>
      <c r="E72" s="3">
        <v>0</v>
      </c>
      <c r="F72" s="3">
        <v>0</v>
      </c>
      <c r="G72" s="3">
        <f t="shared" si="2"/>
        <v>0</v>
      </c>
    </row>
    <row r="73" spans="1:7" x14ac:dyDescent="0.25">
      <c r="A73" s="22"/>
      <c r="B73" s="17" t="s">
        <v>201</v>
      </c>
      <c r="C73" s="3">
        <v>-409</v>
      </c>
      <c r="D73" s="3">
        <v>-412</v>
      </c>
      <c r="E73" s="3">
        <v>-390</v>
      </c>
      <c r="F73" s="3">
        <v>-355</v>
      </c>
      <c r="G73" s="3">
        <f t="shared" si="2"/>
        <v>-1566</v>
      </c>
    </row>
    <row r="74" spans="1:7" x14ac:dyDescent="0.25">
      <c r="A74" s="22"/>
      <c r="B74" s="17" t="s">
        <v>202</v>
      </c>
      <c r="C74" s="3">
        <v>-1656</v>
      </c>
      <c r="D74" s="3">
        <v>-1657</v>
      </c>
      <c r="E74" s="3">
        <v>-1631</v>
      </c>
      <c r="F74" s="3">
        <v>-1660</v>
      </c>
      <c r="G74" s="3">
        <f t="shared" si="2"/>
        <v>-6604</v>
      </c>
    </row>
    <row r="75" spans="1:7" x14ac:dyDescent="0.25">
      <c r="A75" s="22"/>
      <c r="B75" s="17" t="s">
        <v>203</v>
      </c>
      <c r="C75" s="3">
        <v>26812</v>
      </c>
      <c r="D75" s="3">
        <v>166144</v>
      </c>
      <c r="E75" s="3">
        <v>0</v>
      </c>
      <c r="F75" s="3">
        <v>0</v>
      </c>
      <c r="G75" s="3">
        <f t="shared" si="2"/>
        <v>192956</v>
      </c>
    </row>
    <row r="76" spans="1:7" x14ac:dyDescent="0.25">
      <c r="A76" s="22"/>
      <c r="B76" s="17" t="s">
        <v>204</v>
      </c>
      <c r="C76" s="3">
        <v>0</v>
      </c>
      <c r="D76" s="3">
        <v>-20922</v>
      </c>
      <c r="E76" s="3">
        <v>0</v>
      </c>
      <c r="F76" s="3">
        <v>-27054</v>
      </c>
      <c r="G76" s="3">
        <f t="shared" si="2"/>
        <v>-47976</v>
      </c>
    </row>
    <row r="77" spans="1:7" x14ac:dyDescent="0.25">
      <c r="A77" s="22"/>
      <c r="B77" s="17" t="s">
        <v>205</v>
      </c>
      <c r="C77" s="3">
        <v>-2</v>
      </c>
      <c r="D77" s="3">
        <v>-3068</v>
      </c>
      <c r="E77" s="3">
        <v>-1103</v>
      </c>
      <c r="F77" s="3">
        <v>-3013</v>
      </c>
      <c r="G77" s="3">
        <f t="shared" si="2"/>
        <v>-7186</v>
      </c>
    </row>
    <row r="78" spans="1:7" x14ac:dyDescent="0.25">
      <c r="B78" s="132" t="s">
        <v>206</v>
      </c>
      <c r="C78" s="134">
        <f>SUM(C63:C77)</f>
        <v>7249</v>
      </c>
      <c r="D78" s="134">
        <f>SUM(D63:D77)</f>
        <v>111319</v>
      </c>
      <c r="E78" s="134">
        <f>SUM(E63:E77)</f>
        <v>365859</v>
      </c>
      <c r="F78" s="134">
        <f>SUM(F63:F77)</f>
        <v>-79803</v>
      </c>
      <c r="G78" s="134">
        <f t="shared" si="2"/>
        <v>404624</v>
      </c>
    </row>
    <row r="79" spans="1:7" x14ac:dyDescent="0.25">
      <c r="A79" s="22"/>
      <c r="B79" s="17"/>
    </row>
    <row r="80" spans="1:7" x14ac:dyDescent="0.25">
      <c r="A80" s="22"/>
      <c r="B80" s="17" t="s">
        <v>210</v>
      </c>
      <c r="C80" s="3">
        <v>-4348</v>
      </c>
      <c r="D80" s="3">
        <v>3653</v>
      </c>
      <c r="E80" s="3">
        <v>16245</v>
      </c>
      <c r="F80" s="3">
        <v>-5846</v>
      </c>
      <c r="G80" s="3">
        <f t="shared" si="2"/>
        <v>9704</v>
      </c>
    </row>
    <row r="81" spans="1:9" x14ac:dyDescent="0.25">
      <c r="A81" s="22"/>
      <c r="B81" s="17"/>
    </row>
    <row r="82" spans="1:9" x14ac:dyDescent="0.25">
      <c r="A82" s="22"/>
      <c r="B82" s="132" t="s">
        <v>207</v>
      </c>
      <c r="C82" s="134">
        <f>C41+C60+C78+C80</f>
        <v>7154</v>
      </c>
      <c r="D82" s="134">
        <f>D41+D60+D78+D80</f>
        <v>4875</v>
      </c>
      <c r="E82" s="134">
        <f>E41+E60+E78+E80</f>
        <v>52152</v>
      </c>
      <c r="F82" s="134">
        <f>F41+F60+F78+F80</f>
        <v>-3964</v>
      </c>
      <c r="G82" s="134">
        <f t="shared" si="2"/>
        <v>60217</v>
      </c>
    </row>
    <row r="83" spans="1:9" x14ac:dyDescent="0.25">
      <c r="A83" s="22"/>
      <c r="B83" s="77"/>
    </row>
    <row r="84" spans="1:9" x14ac:dyDescent="0.25">
      <c r="A84" s="22"/>
      <c r="B84" s="77" t="s">
        <v>208</v>
      </c>
    </row>
    <row r="85" spans="1:9" x14ac:dyDescent="0.25">
      <c r="A85" s="22"/>
      <c r="B85" s="17" t="s">
        <v>209</v>
      </c>
      <c r="C85" s="3">
        <v>181066</v>
      </c>
      <c r="D85" s="3">
        <v>188220</v>
      </c>
      <c r="E85" s="3">
        <v>193095</v>
      </c>
      <c r="F85" s="3">
        <v>245247</v>
      </c>
      <c r="G85" s="3">
        <v>181066</v>
      </c>
      <c r="I85" s="64"/>
    </row>
    <row r="86" spans="1:9" x14ac:dyDescent="0.25">
      <c r="A86" s="22"/>
      <c r="B86" s="17" t="s">
        <v>211</v>
      </c>
      <c r="C86" s="3">
        <v>188220</v>
      </c>
      <c r="D86" s="3">
        <v>193095</v>
      </c>
      <c r="E86" s="3">
        <v>245247</v>
      </c>
      <c r="F86" s="3">
        <v>241283</v>
      </c>
      <c r="G86" s="3">
        <v>241283</v>
      </c>
    </row>
    <row r="87" spans="1:9" x14ac:dyDescent="0.25">
      <c r="A87" s="22"/>
      <c r="B87" s="17"/>
    </row>
    <row r="88" spans="1:9" x14ac:dyDescent="0.25">
      <c r="A88" s="22"/>
      <c r="B88" s="132" t="s">
        <v>207</v>
      </c>
      <c r="C88" s="134">
        <f>C86-C85</f>
        <v>7154</v>
      </c>
      <c r="D88" s="134">
        <f>D86-D85</f>
        <v>4875</v>
      </c>
      <c r="E88" s="134">
        <f>E86-E85</f>
        <v>52152</v>
      </c>
      <c r="F88" s="134">
        <f>F86-F85</f>
        <v>-3964</v>
      </c>
      <c r="G88" s="134">
        <f>SUM(C88:F88)</f>
        <v>60217</v>
      </c>
    </row>
    <row r="89" spans="1:9" x14ac:dyDescent="0.25">
      <c r="A89" s="22"/>
      <c r="B89" s="17"/>
    </row>
    <row r="90" spans="1:9" x14ac:dyDescent="0.25">
      <c r="A90" s="22"/>
      <c r="B90" s="74"/>
    </row>
    <row r="91" spans="1:9" x14ac:dyDescent="0.25">
      <c r="A91" s="22"/>
    </row>
    <row r="92" spans="1:9" x14ac:dyDescent="0.25">
      <c r="A92" s="22"/>
    </row>
    <row r="93" spans="1:9" x14ac:dyDescent="0.25">
      <c r="A93" s="22"/>
    </row>
    <row r="94" spans="1:9" x14ac:dyDescent="0.25">
      <c r="A94" s="22"/>
    </row>
    <row r="95" spans="1:9" x14ac:dyDescent="0.25">
      <c r="A95" s="22"/>
    </row>
    <row r="99" spans="1:1" x14ac:dyDescent="0.25">
      <c r="A99" s="22"/>
    </row>
    <row r="100" spans="1:1" x14ac:dyDescent="0.25">
      <c r="A100" s="22"/>
    </row>
    <row r="101" spans="1:1" x14ac:dyDescent="0.25">
      <c r="A101" s="22"/>
    </row>
    <row r="102" spans="1:1" x14ac:dyDescent="0.25">
      <c r="A102" s="22"/>
    </row>
    <row r="103" spans="1:1" x14ac:dyDescent="0.25">
      <c r="A103" s="22"/>
    </row>
    <row r="104" spans="1:1" x14ac:dyDescent="0.25">
      <c r="A104" s="2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9"/>
  <dimension ref="A1:I104"/>
  <sheetViews>
    <sheetView showGridLines="0" zoomScale="60" zoomScaleNormal="60" workbookViewId="0">
      <pane xSplit="2" ySplit="7" topLeftCell="C8" activePane="bottomRight" state="frozen"/>
      <selection activeCell="R26" sqref="R26"/>
      <selection pane="topRight" activeCell="R26" sqref="R26"/>
      <selection pane="bottomLeft" activeCell="R26" sqref="R26"/>
      <selection pane="bottomRight"/>
    </sheetView>
  </sheetViews>
  <sheetFormatPr defaultRowHeight="15" x14ac:dyDescent="0.25"/>
  <cols>
    <col min="1" max="1" width="1.5703125" style="1" customWidth="1"/>
    <col min="2" max="2" width="60.140625" style="6" customWidth="1"/>
    <col min="3" max="3" width="9.28515625" style="6" bestFit="1" customWidth="1"/>
    <col min="4" max="5" width="10" style="6" bestFit="1" customWidth="1"/>
    <col min="6" max="6" width="9.28515625" style="6" bestFit="1" customWidth="1"/>
    <col min="7" max="7" width="9.140625" style="6" hidden="1" customWidth="1"/>
    <col min="8" max="8" width="10" style="6" bestFit="1" customWidth="1"/>
  </cols>
  <sheetData>
    <row r="1" spans="1:9" s="22" customFormat="1" ht="8.25" customHeight="1" x14ac:dyDescent="0.25">
      <c r="B1" s="9"/>
      <c r="C1" s="9"/>
      <c r="D1" s="9"/>
      <c r="E1" s="9"/>
      <c r="F1" s="9"/>
      <c r="G1" s="9"/>
      <c r="H1" s="9"/>
    </row>
    <row r="2" spans="1:9" x14ac:dyDescent="0.25">
      <c r="A2" s="22"/>
    </row>
    <row r="3" spans="1:9" x14ac:dyDescent="0.25">
      <c r="A3" s="22"/>
    </row>
    <row r="4" spans="1:9" x14ac:dyDescent="0.25">
      <c r="A4" s="22"/>
    </row>
    <row r="5" spans="1:9" x14ac:dyDescent="0.25">
      <c r="A5" s="22"/>
    </row>
    <row r="6" spans="1:9" x14ac:dyDescent="0.25">
      <c r="A6" s="22"/>
    </row>
    <row r="7" spans="1:9" ht="18" customHeight="1" x14ac:dyDescent="0.25">
      <c r="A7" s="22"/>
      <c r="B7" s="130"/>
      <c r="C7" s="131" t="s">
        <v>69</v>
      </c>
      <c r="D7" s="131" t="s">
        <v>70</v>
      </c>
      <c r="E7" s="131" t="s">
        <v>72</v>
      </c>
      <c r="F7" s="131" t="s">
        <v>73</v>
      </c>
      <c r="G7" s="131" t="s">
        <v>212</v>
      </c>
      <c r="H7" s="131">
        <v>2016</v>
      </c>
      <c r="I7" s="76"/>
    </row>
    <row r="8" spans="1:9" x14ac:dyDescent="0.25">
      <c r="A8" s="22"/>
      <c r="B8" s="77"/>
    </row>
    <row r="9" spans="1:9" x14ac:dyDescent="0.25">
      <c r="A9" s="22"/>
      <c r="B9" s="78" t="s">
        <v>145</v>
      </c>
      <c r="C9" s="79">
        <v>19056</v>
      </c>
      <c r="D9" s="79">
        <v>-3681</v>
      </c>
      <c r="E9" s="79">
        <f>G9-D9-C9</f>
        <v>70899</v>
      </c>
      <c r="F9" s="79">
        <f>H9-C9-D9-E9</f>
        <v>23192</v>
      </c>
      <c r="G9" s="79">
        <v>86274</v>
      </c>
      <c r="H9" s="79">
        <v>109466</v>
      </c>
    </row>
    <row r="10" spans="1:9" ht="30" x14ac:dyDescent="0.25">
      <c r="A10" s="22"/>
      <c r="B10" s="17" t="s">
        <v>146</v>
      </c>
    </row>
    <row r="11" spans="1:9" x14ac:dyDescent="0.25">
      <c r="A11" s="22"/>
      <c r="B11" s="17" t="s">
        <v>147</v>
      </c>
      <c r="C11" s="3">
        <v>17309</v>
      </c>
      <c r="D11" s="3">
        <v>16779</v>
      </c>
      <c r="E11" s="3">
        <v>17409</v>
      </c>
      <c r="F11" s="3">
        <v>18967</v>
      </c>
      <c r="G11" s="3">
        <v>51497</v>
      </c>
      <c r="H11" s="3">
        <v>70464</v>
      </c>
    </row>
    <row r="12" spans="1:9" x14ac:dyDescent="0.25">
      <c r="A12" s="22"/>
      <c r="B12" s="17" t="s">
        <v>148</v>
      </c>
      <c r="C12" s="3">
        <v>1730</v>
      </c>
      <c r="D12" s="3">
        <v>813</v>
      </c>
      <c r="E12" s="3">
        <v>1124</v>
      </c>
      <c r="F12" s="3">
        <v>2814</v>
      </c>
      <c r="G12" s="3">
        <v>3667</v>
      </c>
      <c r="H12" s="3">
        <v>6481</v>
      </c>
    </row>
    <row r="13" spans="1:9" x14ac:dyDescent="0.25">
      <c r="B13" s="17" t="s">
        <v>149</v>
      </c>
      <c r="C13" s="3">
        <v>11576</v>
      </c>
      <c r="D13" s="3">
        <v>10261</v>
      </c>
      <c r="E13" s="3">
        <v>9618</v>
      </c>
      <c r="F13" s="3">
        <v>10228</v>
      </c>
      <c r="G13" s="3">
        <v>31455</v>
      </c>
      <c r="H13" s="3">
        <v>41683</v>
      </c>
    </row>
    <row r="14" spans="1:9" x14ac:dyDescent="0.25">
      <c r="A14" s="22"/>
      <c r="B14" s="17" t="s">
        <v>213</v>
      </c>
      <c r="C14" s="3">
        <v>785</v>
      </c>
      <c r="D14" s="3">
        <v>387</v>
      </c>
      <c r="E14" s="3">
        <v>358</v>
      </c>
      <c r="F14" s="3">
        <v>0</v>
      </c>
      <c r="G14" s="3">
        <v>1530</v>
      </c>
      <c r="H14" s="3">
        <v>1530</v>
      </c>
    </row>
    <row r="15" spans="1:9" x14ac:dyDescent="0.25">
      <c r="A15" s="22"/>
      <c r="B15" s="80" t="s">
        <v>214</v>
      </c>
      <c r="C15" s="13">
        <v>-4031</v>
      </c>
      <c r="D15" s="13">
        <v>1056</v>
      </c>
      <c r="E15" s="13">
        <v>1037</v>
      </c>
      <c r="F15" s="13">
        <v>-653</v>
      </c>
      <c r="G15" s="3">
        <v>-1938</v>
      </c>
      <c r="H15" s="3">
        <v>-2591</v>
      </c>
    </row>
    <row r="16" spans="1:9" x14ac:dyDescent="0.25">
      <c r="A16" s="22"/>
      <c r="B16" s="17" t="s">
        <v>151</v>
      </c>
      <c r="C16" s="13">
        <v>210</v>
      </c>
      <c r="D16" s="13">
        <v>174</v>
      </c>
      <c r="E16" s="13">
        <v>3006</v>
      </c>
      <c r="F16" s="13">
        <v>14032</v>
      </c>
      <c r="G16" s="3">
        <v>3390</v>
      </c>
      <c r="H16" s="3">
        <v>17422</v>
      </c>
    </row>
    <row r="17" spans="1:9" x14ac:dyDescent="0.25">
      <c r="A17" s="22"/>
      <c r="B17" s="17" t="s">
        <v>215</v>
      </c>
      <c r="C17" s="3">
        <v>0</v>
      </c>
      <c r="D17" s="3">
        <v>5400</v>
      </c>
      <c r="E17" s="3">
        <v>0</v>
      </c>
      <c r="F17" s="3">
        <v>6783</v>
      </c>
      <c r="G17" s="3">
        <v>5400</v>
      </c>
      <c r="H17" s="3">
        <v>12183</v>
      </c>
    </row>
    <row r="18" spans="1:9" x14ac:dyDescent="0.25">
      <c r="A18" s="22"/>
      <c r="B18" s="17" t="s">
        <v>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</row>
    <row r="19" spans="1:9" x14ac:dyDescent="0.25">
      <c r="A19" s="22"/>
      <c r="B19" s="17" t="s">
        <v>216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</row>
    <row r="20" spans="1:9" x14ac:dyDescent="0.25">
      <c r="A20" s="22"/>
      <c r="B20" s="17" t="s">
        <v>217</v>
      </c>
      <c r="C20" s="3">
        <v>0</v>
      </c>
      <c r="D20" s="3">
        <v>0</v>
      </c>
      <c r="E20" s="3">
        <v>-40081</v>
      </c>
      <c r="F20" s="3">
        <v>0</v>
      </c>
      <c r="G20" s="3">
        <v>-40081</v>
      </c>
      <c r="H20" s="3">
        <v>-40081</v>
      </c>
    </row>
    <row r="21" spans="1:9" x14ac:dyDescent="0.25">
      <c r="A21" s="22"/>
      <c r="B21" s="17" t="s">
        <v>155</v>
      </c>
      <c r="C21" s="3">
        <v>-1100</v>
      </c>
      <c r="D21" s="3">
        <v>-805</v>
      </c>
      <c r="E21" s="3">
        <v>-34</v>
      </c>
      <c r="F21" s="3">
        <v>0</v>
      </c>
      <c r="G21" s="3">
        <v>-1939</v>
      </c>
      <c r="H21" s="3">
        <v>-1939</v>
      </c>
    </row>
    <row r="22" spans="1:9" x14ac:dyDescent="0.25">
      <c r="A22" s="22"/>
      <c r="B22" s="17" t="s">
        <v>218</v>
      </c>
      <c r="C22" s="3">
        <v>12497</v>
      </c>
      <c r="D22" s="3">
        <v>12660</v>
      </c>
      <c r="E22" s="3">
        <v>19646</v>
      </c>
      <c r="F22" s="3">
        <v>18765</v>
      </c>
      <c r="G22" s="3">
        <v>44803</v>
      </c>
      <c r="H22" s="3">
        <v>63568</v>
      </c>
    </row>
    <row r="23" spans="1:9" x14ac:dyDescent="0.25">
      <c r="A23" s="22"/>
      <c r="B23" s="17" t="s">
        <v>161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</row>
    <row r="24" spans="1:9" x14ac:dyDescent="0.25">
      <c r="A24" s="22"/>
      <c r="B24" s="17" t="s">
        <v>50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</row>
    <row r="25" spans="1:9" x14ac:dyDescent="0.25">
      <c r="A25" s="22"/>
      <c r="B25" s="17" t="s">
        <v>219</v>
      </c>
      <c r="C25" s="3">
        <v>595</v>
      </c>
      <c r="D25" s="3">
        <v>424</v>
      </c>
      <c r="E25" s="3">
        <v>261</v>
      </c>
      <c r="F25" s="3">
        <v>154</v>
      </c>
      <c r="G25" s="3">
        <v>1280</v>
      </c>
      <c r="H25" s="3">
        <v>1434</v>
      </c>
    </row>
    <row r="26" spans="1:9" x14ac:dyDescent="0.25">
      <c r="A26" s="22"/>
      <c r="B26" s="17" t="s">
        <v>160</v>
      </c>
      <c r="C26" s="3">
        <v>4907</v>
      </c>
      <c r="D26" s="3">
        <v>-1223</v>
      </c>
      <c r="E26" s="3">
        <v>111</v>
      </c>
      <c r="F26" s="3">
        <v>-1010</v>
      </c>
      <c r="G26" s="3">
        <v>3795</v>
      </c>
      <c r="H26" s="3">
        <v>2785</v>
      </c>
    </row>
    <row r="27" spans="1:9" x14ac:dyDescent="0.25">
      <c r="A27" s="22"/>
      <c r="B27" s="17" t="s">
        <v>220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</row>
    <row r="28" spans="1:9" x14ac:dyDescent="0.25">
      <c r="A28" s="22"/>
      <c r="B28" s="17" t="s">
        <v>221</v>
      </c>
      <c r="C28" s="3">
        <v>0</v>
      </c>
      <c r="D28" s="3">
        <v>0</v>
      </c>
      <c r="E28" s="3">
        <v>0</v>
      </c>
      <c r="F28" s="3">
        <v>302</v>
      </c>
      <c r="G28" s="3"/>
      <c r="H28" s="3">
        <v>302</v>
      </c>
    </row>
    <row r="29" spans="1:9" x14ac:dyDescent="0.25">
      <c r="A29" s="22"/>
      <c r="B29" s="132" t="s">
        <v>165</v>
      </c>
      <c r="C29" s="134">
        <f t="shared" ref="C29:H29" si="0">SUM(C9:C28)</f>
        <v>63534</v>
      </c>
      <c r="D29" s="134">
        <f t="shared" si="0"/>
        <v>42245</v>
      </c>
      <c r="E29" s="134">
        <f t="shared" si="0"/>
        <v>83354</v>
      </c>
      <c r="F29" s="134">
        <f>SUM(F9:F28)</f>
        <v>93574</v>
      </c>
      <c r="G29" s="134">
        <f t="shared" si="0"/>
        <v>189133</v>
      </c>
      <c r="H29" s="134">
        <f t="shared" si="0"/>
        <v>282707</v>
      </c>
      <c r="I29" s="64"/>
    </row>
    <row r="30" spans="1:9" x14ac:dyDescent="0.25">
      <c r="A30" s="22"/>
      <c r="B30" s="17"/>
    </row>
    <row r="31" spans="1:9" x14ac:dyDescent="0.25">
      <c r="A31" s="22"/>
      <c r="B31" s="17" t="s">
        <v>45</v>
      </c>
      <c r="C31" s="3">
        <v>-17120</v>
      </c>
      <c r="D31" s="3">
        <v>-9530</v>
      </c>
      <c r="E31" s="3">
        <v>2842</v>
      </c>
      <c r="F31" s="3">
        <v>28020</v>
      </c>
      <c r="G31" s="3">
        <v>-23808</v>
      </c>
      <c r="H31" s="3">
        <v>4212</v>
      </c>
    </row>
    <row r="32" spans="1:9" x14ac:dyDescent="0.25">
      <c r="A32" s="22"/>
      <c r="B32" s="17" t="s">
        <v>222</v>
      </c>
      <c r="C32" s="3">
        <v>5140</v>
      </c>
      <c r="D32" s="3">
        <v>-264</v>
      </c>
      <c r="E32" s="3">
        <v>-5096</v>
      </c>
      <c r="F32" s="3">
        <v>1567</v>
      </c>
      <c r="G32" s="3">
        <v>-220</v>
      </c>
      <c r="H32" s="3">
        <v>1347</v>
      </c>
    </row>
    <row r="33" spans="1:8" x14ac:dyDescent="0.25">
      <c r="A33" s="22"/>
      <c r="B33" s="17" t="s">
        <v>28</v>
      </c>
      <c r="C33" s="3">
        <v>-6634</v>
      </c>
      <c r="D33" s="3">
        <v>-441</v>
      </c>
      <c r="E33" s="3">
        <v>1794</v>
      </c>
      <c r="F33" s="3">
        <v>-3947</v>
      </c>
      <c r="G33" s="3">
        <v>-5281</v>
      </c>
      <c r="H33" s="3">
        <v>-9228</v>
      </c>
    </row>
    <row r="34" spans="1:8" x14ac:dyDescent="0.25">
      <c r="A34" s="22"/>
      <c r="B34" s="17" t="s">
        <v>1</v>
      </c>
      <c r="C34" s="3">
        <v>-3729</v>
      </c>
      <c r="D34" s="3">
        <v>10765</v>
      </c>
      <c r="E34" s="3">
        <v>7326</v>
      </c>
      <c r="F34" s="3">
        <v>18451</v>
      </c>
      <c r="G34" s="3">
        <v>14362</v>
      </c>
      <c r="H34" s="3">
        <v>32813</v>
      </c>
    </row>
    <row r="35" spans="1:8" x14ac:dyDescent="0.25">
      <c r="A35" s="22"/>
      <c r="B35" s="17" t="s">
        <v>3</v>
      </c>
      <c r="C35" s="3">
        <v>-194</v>
      </c>
      <c r="D35" s="3">
        <v>145</v>
      </c>
      <c r="E35" s="3">
        <v>-3327</v>
      </c>
      <c r="F35" s="3">
        <v>-2445</v>
      </c>
      <c r="G35" s="3">
        <v>-3376</v>
      </c>
      <c r="H35" s="3">
        <v>-5821</v>
      </c>
    </row>
    <row r="36" spans="1:8" x14ac:dyDescent="0.25">
      <c r="A36" s="22"/>
      <c r="B36" s="17" t="s">
        <v>27</v>
      </c>
      <c r="C36" s="3">
        <v>-3779</v>
      </c>
      <c r="D36" s="3">
        <v>-12515</v>
      </c>
      <c r="E36" s="3">
        <v>7340</v>
      </c>
      <c r="F36" s="3">
        <v>4216</v>
      </c>
      <c r="G36" s="3">
        <v>-8954</v>
      </c>
      <c r="H36" s="3">
        <v>-4738</v>
      </c>
    </row>
    <row r="37" spans="1:8" x14ac:dyDescent="0.25">
      <c r="A37" s="22"/>
      <c r="B37" s="17" t="s">
        <v>31</v>
      </c>
      <c r="C37" s="3">
        <v>-19929</v>
      </c>
      <c r="D37" s="3">
        <v>31006</v>
      </c>
      <c r="E37" s="3">
        <v>-5309</v>
      </c>
      <c r="F37" s="3">
        <v>-19381</v>
      </c>
      <c r="G37" s="3">
        <v>5768</v>
      </c>
      <c r="H37" s="3">
        <v>-13613</v>
      </c>
    </row>
    <row r="38" spans="1:8" x14ac:dyDescent="0.25">
      <c r="A38" s="22"/>
      <c r="B38" s="17" t="s">
        <v>32</v>
      </c>
      <c r="C38" s="3">
        <v>12606</v>
      </c>
      <c r="D38" s="3">
        <v>-8139</v>
      </c>
      <c r="E38" s="3">
        <v>8312</v>
      </c>
      <c r="F38" s="3">
        <v>-15831</v>
      </c>
      <c r="G38" s="3">
        <v>12779</v>
      </c>
      <c r="H38" s="3">
        <v>-3052</v>
      </c>
    </row>
    <row r="39" spans="1:8" x14ac:dyDescent="0.25">
      <c r="B39" s="17" t="s">
        <v>41</v>
      </c>
      <c r="C39" s="3">
        <v>870</v>
      </c>
      <c r="D39" s="3">
        <v>-2048</v>
      </c>
      <c r="E39" s="3">
        <v>-7031</v>
      </c>
      <c r="F39" s="3">
        <v>-7811</v>
      </c>
      <c r="G39" s="3">
        <v>-8209</v>
      </c>
      <c r="H39" s="3">
        <v>-16020</v>
      </c>
    </row>
    <row r="40" spans="1:8" x14ac:dyDescent="0.25">
      <c r="A40" s="22"/>
      <c r="B40" s="17" t="s">
        <v>166</v>
      </c>
      <c r="C40" s="3">
        <v>-7403</v>
      </c>
      <c r="D40" s="3">
        <v>-5728</v>
      </c>
      <c r="E40" s="3">
        <v>-15770</v>
      </c>
      <c r="F40" s="3">
        <v>-8319</v>
      </c>
      <c r="G40" s="3">
        <v>-28901</v>
      </c>
      <c r="H40" s="3">
        <v>-37220</v>
      </c>
    </row>
    <row r="41" spans="1:8" x14ac:dyDescent="0.25">
      <c r="A41" s="22"/>
      <c r="B41" s="17" t="s">
        <v>34</v>
      </c>
      <c r="C41" s="3">
        <v>2029</v>
      </c>
      <c r="D41" s="3">
        <v>-10825</v>
      </c>
      <c r="E41" s="3">
        <v>-4792</v>
      </c>
      <c r="F41" s="3">
        <v>5305</v>
      </c>
      <c r="G41" s="3">
        <v>-13588</v>
      </c>
      <c r="H41" s="3">
        <v>-8283</v>
      </c>
    </row>
    <row r="42" spans="1:8" x14ac:dyDescent="0.25">
      <c r="A42" s="22"/>
      <c r="B42" s="132" t="s">
        <v>171</v>
      </c>
      <c r="C42" s="134">
        <f t="shared" ref="C42:H42" si="1">SUM(C31:C41)</f>
        <v>-38143</v>
      </c>
      <c r="D42" s="134">
        <f t="shared" si="1"/>
        <v>-7574</v>
      </c>
      <c r="E42" s="134">
        <f t="shared" si="1"/>
        <v>-13711</v>
      </c>
      <c r="F42" s="134">
        <f t="shared" si="1"/>
        <v>-175</v>
      </c>
      <c r="G42" s="134">
        <f t="shared" si="1"/>
        <v>-59428</v>
      </c>
      <c r="H42" s="134">
        <f t="shared" si="1"/>
        <v>-59603</v>
      </c>
    </row>
    <row r="43" spans="1:8" x14ac:dyDescent="0.25">
      <c r="A43" s="22"/>
      <c r="B43" s="17"/>
    </row>
    <row r="44" spans="1:8" x14ac:dyDescent="0.25">
      <c r="A44" s="22"/>
      <c r="B44" s="132" t="s">
        <v>172</v>
      </c>
      <c r="C44" s="134">
        <f>C29+C42</f>
        <v>25391</v>
      </c>
      <c r="D44" s="134">
        <f>D29+D42</f>
        <v>34671</v>
      </c>
      <c r="E44" s="134">
        <f>G44-D44-C44</f>
        <v>69643</v>
      </c>
      <c r="F44" s="134">
        <f>H44-C44-D44-E44</f>
        <v>93399</v>
      </c>
      <c r="G44" s="134">
        <f>G29+G42</f>
        <v>129705</v>
      </c>
      <c r="H44" s="134">
        <f>H29+H42</f>
        <v>223104</v>
      </c>
    </row>
    <row r="45" spans="1:8" x14ac:dyDescent="0.25">
      <c r="A45" s="22"/>
      <c r="B45" s="17"/>
    </row>
    <row r="46" spans="1:8" x14ac:dyDescent="0.25">
      <c r="A46" s="22"/>
      <c r="B46" s="77" t="s">
        <v>173</v>
      </c>
    </row>
    <row r="47" spans="1:8" x14ac:dyDescent="0.25">
      <c r="A47" s="22"/>
      <c r="B47" s="17" t="s">
        <v>174</v>
      </c>
      <c r="C47" s="3">
        <v>-26777</v>
      </c>
      <c r="D47" s="3">
        <v>-4255</v>
      </c>
      <c r="E47" s="3">
        <v>-18709</v>
      </c>
      <c r="F47" s="3">
        <v>-14353</v>
      </c>
      <c r="G47" s="3">
        <v>-49741</v>
      </c>
      <c r="H47" s="3">
        <v>-64094</v>
      </c>
    </row>
    <row r="48" spans="1:8" x14ac:dyDescent="0.25">
      <c r="A48" s="22"/>
      <c r="B48" s="17" t="s">
        <v>175</v>
      </c>
      <c r="C48" s="3">
        <v>-813</v>
      </c>
      <c r="D48" s="3">
        <v>-8715</v>
      </c>
      <c r="E48" s="3">
        <v>-9732</v>
      </c>
      <c r="F48" s="3">
        <v>-14070</v>
      </c>
      <c r="G48" s="3">
        <v>-19260</v>
      </c>
      <c r="H48" s="3">
        <v>-33330</v>
      </c>
    </row>
    <row r="49" spans="1:8" x14ac:dyDescent="0.25">
      <c r="A49" s="22"/>
      <c r="B49" s="17" t="s">
        <v>223</v>
      </c>
      <c r="C49" s="3">
        <v>0</v>
      </c>
      <c r="D49" s="3">
        <v>0</v>
      </c>
      <c r="E49" s="3">
        <v>66988</v>
      </c>
      <c r="F49" s="3">
        <v>0</v>
      </c>
      <c r="G49" s="3">
        <v>66988</v>
      </c>
      <c r="H49" s="3">
        <v>66988</v>
      </c>
    </row>
    <row r="50" spans="1:8" x14ac:dyDescent="0.25">
      <c r="A50" s="22"/>
      <c r="B50" s="80" t="s">
        <v>224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</row>
    <row r="51" spans="1:8" x14ac:dyDescent="0.25">
      <c r="A51" s="22"/>
      <c r="B51" s="17" t="s">
        <v>225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</row>
    <row r="52" spans="1:8" x14ac:dyDescent="0.25">
      <c r="A52" s="22"/>
      <c r="B52" s="17" t="s">
        <v>178</v>
      </c>
      <c r="C52" s="3">
        <v>-600</v>
      </c>
      <c r="D52" s="3">
        <v>600</v>
      </c>
      <c r="E52" s="3">
        <v>0</v>
      </c>
      <c r="F52" s="3">
        <v>0</v>
      </c>
      <c r="G52" s="3">
        <v>0</v>
      </c>
      <c r="H52" s="3">
        <v>0</v>
      </c>
    </row>
    <row r="53" spans="1:8" x14ac:dyDescent="0.25">
      <c r="A53" s="22"/>
      <c r="B53" s="17" t="s">
        <v>226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</row>
    <row r="54" spans="1:8" x14ac:dyDescent="0.25">
      <c r="B54" s="17" t="s">
        <v>227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</row>
    <row r="55" spans="1:8" x14ac:dyDescent="0.25">
      <c r="A55" s="22"/>
      <c r="B55" s="17" t="s">
        <v>228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</row>
    <row r="56" spans="1:8" x14ac:dyDescent="0.25">
      <c r="A56" s="22"/>
      <c r="B56" s="17" t="s">
        <v>229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</row>
    <row r="57" spans="1:8" x14ac:dyDescent="0.25">
      <c r="A57" s="22"/>
      <c r="B57" s="17" t="s">
        <v>230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</row>
    <row r="58" spans="1:8" x14ac:dyDescent="0.25">
      <c r="A58" s="22"/>
      <c r="B58" s="17" t="s">
        <v>231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</row>
    <row r="59" spans="1:8" x14ac:dyDescent="0.25">
      <c r="A59" s="22"/>
      <c r="B59" s="17" t="s">
        <v>232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</row>
    <row r="60" spans="1:8" x14ac:dyDescent="0.25">
      <c r="A60" s="22"/>
      <c r="B60" s="17" t="s">
        <v>233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</row>
    <row r="61" spans="1:8" x14ac:dyDescent="0.25">
      <c r="A61" s="22"/>
      <c r="B61" s="17" t="s">
        <v>234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</row>
    <row r="62" spans="1:8" x14ac:dyDescent="0.25">
      <c r="A62" s="22"/>
      <c r="B62" s="17" t="s">
        <v>235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</row>
    <row r="63" spans="1:8" x14ac:dyDescent="0.25">
      <c r="A63" s="22"/>
      <c r="B63" s="17" t="s">
        <v>236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</row>
    <row r="64" spans="1:8" x14ac:dyDescent="0.25">
      <c r="A64" s="22"/>
      <c r="B64" s="17" t="s">
        <v>237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</row>
    <row r="65" spans="1:8" x14ac:dyDescent="0.25">
      <c r="A65" s="22"/>
      <c r="B65" s="132" t="s">
        <v>189</v>
      </c>
      <c r="C65" s="134">
        <f t="shared" ref="C65:H65" si="2">SUM(C47:C64)</f>
        <v>-28190</v>
      </c>
      <c r="D65" s="134">
        <f t="shared" si="2"/>
        <v>-12370</v>
      </c>
      <c r="E65" s="134">
        <f t="shared" si="2"/>
        <v>38547</v>
      </c>
      <c r="F65" s="134">
        <f t="shared" si="2"/>
        <v>-28423</v>
      </c>
      <c r="G65" s="134">
        <f t="shared" si="2"/>
        <v>-2013</v>
      </c>
      <c r="H65" s="134">
        <f t="shared" si="2"/>
        <v>-30436</v>
      </c>
    </row>
    <row r="66" spans="1:8" x14ac:dyDescent="0.25">
      <c r="A66" s="22"/>
      <c r="B66" s="17"/>
    </row>
    <row r="67" spans="1:8" x14ac:dyDescent="0.25">
      <c r="A67" s="22"/>
      <c r="B67" s="77" t="s">
        <v>190</v>
      </c>
    </row>
    <row r="68" spans="1:8" x14ac:dyDescent="0.25">
      <c r="A68" s="22"/>
      <c r="B68" s="17" t="s">
        <v>191</v>
      </c>
      <c r="C68" s="3">
        <v>-8218</v>
      </c>
      <c r="D68" s="3">
        <v>-16092</v>
      </c>
      <c r="E68" s="3">
        <v>0</v>
      </c>
      <c r="F68" s="3">
        <v>0</v>
      </c>
      <c r="G68" s="3">
        <v>-24310</v>
      </c>
      <c r="H68" s="3">
        <v>-24310</v>
      </c>
    </row>
    <row r="69" spans="1:8" x14ac:dyDescent="0.25">
      <c r="A69" s="22"/>
      <c r="B69" s="17" t="s">
        <v>193</v>
      </c>
      <c r="C69" s="3">
        <v>-4797</v>
      </c>
      <c r="D69" s="3">
        <v>0</v>
      </c>
      <c r="E69" s="3">
        <v>-15217</v>
      </c>
      <c r="F69" s="3">
        <v>-17258</v>
      </c>
      <c r="G69" s="3">
        <v>-20014</v>
      </c>
      <c r="H69" s="3">
        <v>-37272</v>
      </c>
    </row>
    <row r="70" spans="1:8" x14ac:dyDescent="0.25">
      <c r="A70" s="22"/>
      <c r="B70" s="80" t="s">
        <v>238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</row>
    <row r="71" spans="1:8" x14ac:dyDescent="0.25">
      <c r="A71" s="22"/>
      <c r="B71" s="80" t="s">
        <v>239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</row>
    <row r="72" spans="1:8" x14ac:dyDescent="0.25">
      <c r="A72" s="22"/>
      <c r="B72" s="17" t="s">
        <v>194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</row>
    <row r="73" spans="1:8" x14ac:dyDescent="0.25">
      <c r="A73" s="22"/>
      <c r="B73" s="17" t="s">
        <v>240</v>
      </c>
      <c r="C73" s="3">
        <v>-1796</v>
      </c>
      <c r="D73" s="3">
        <v>-3191</v>
      </c>
      <c r="E73" s="3">
        <v>-2797</v>
      </c>
      <c r="F73" s="3">
        <v>-2714</v>
      </c>
      <c r="G73" s="3">
        <v>-7784</v>
      </c>
      <c r="H73" s="3">
        <v>-10498</v>
      </c>
    </row>
    <row r="74" spans="1:8" x14ac:dyDescent="0.25">
      <c r="A74" s="22"/>
      <c r="B74" s="17" t="s">
        <v>197</v>
      </c>
      <c r="C74" s="3">
        <v>0</v>
      </c>
      <c r="D74" s="3">
        <v>0</v>
      </c>
      <c r="E74" s="3">
        <v>199613</v>
      </c>
      <c r="F74" s="3">
        <v>0</v>
      </c>
      <c r="G74" s="3">
        <v>199613</v>
      </c>
      <c r="H74" s="3">
        <v>199613</v>
      </c>
    </row>
    <row r="75" spans="1:8" x14ac:dyDescent="0.25">
      <c r="A75" s="22"/>
      <c r="B75" s="17" t="s">
        <v>198</v>
      </c>
      <c r="C75" s="3">
        <v>0</v>
      </c>
      <c r="D75" s="3">
        <v>-62500</v>
      </c>
      <c r="E75" s="3">
        <v>0</v>
      </c>
      <c r="F75" s="3">
        <v>0</v>
      </c>
      <c r="G75" s="3">
        <v>-62500</v>
      </c>
      <c r="H75" s="3">
        <v>-62500</v>
      </c>
    </row>
    <row r="76" spans="1:8" x14ac:dyDescent="0.25">
      <c r="A76" s="22"/>
      <c r="B76" s="17" t="s">
        <v>199</v>
      </c>
      <c r="C76" s="3">
        <v>0</v>
      </c>
      <c r="D76" s="3">
        <v>-17893</v>
      </c>
      <c r="E76" s="3">
        <v>0</v>
      </c>
      <c r="F76" s="3">
        <v>-29479</v>
      </c>
      <c r="G76" s="3">
        <v>-17893</v>
      </c>
      <c r="H76" s="3">
        <v>-47372</v>
      </c>
    </row>
    <row r="77" spans="1:8" x14ac:dyDescent="0.25">
      <c r="A77" s="22"/>
      <c r="B77" s="17" t="s">
        <v>241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</row>
    <row r="78" spans="1:8" x14ac:dyDescent="0.25">
      <c r="B78" s="17" t="s">
        <v>201</v>
      </c>
      <c r="C78" s="3">
        <v>-326</v>
      </c>
      <c r="D78" s="3">
        <v>-299</v>
      </c>
      <c r="E78" s="3">
        <v>-269</v>
      </c>
      <c r="F78" s="3">
        <v>-237</v>
      </c>
      <c r="G78" s="3">
        <v>-894</v>
      </c>
      <c r="H78" s="3">
        <v>-1131</v>
      </c>
    </row>
    <row r="79" spans="1:8" x14ac:dyDescent="0.25">
      <c r="A79" s="22"/>
      <c r="B79" s="17" t="s">
        <v>202</v>
      </c>
      <c r="C79" s="3">
        <v>-1665</v>
      </c>
      <c r="D79" s="3">
        <v>-1671</v>
      </c>
      <c r="E79" s="3">
        <v>-1677</v>
      </c>
      <c r="F79" s="3">
        <v>-1683</v>
      </c>
      <c r="G79" s="3">
        <v>-5013</v>
      </c>
      <c r="H79" s="3">
        <v>-6696</v>
      </c>
    </row>
    <row r="80" spans="1:8" x14ac:dyDescent="0.25">
      <c r="A80" s="22"/>
      <c r="B80" s="17" t="s">
        <v>203</v>
      </c>
      <c r="C80" s="3">
        <v>0</v>
      </c>
      <c r="D80" s="3">
        <v>34772</v>
      </c>
      <c r="E80" s="3">
        <v>22723</v>
      </c>
      <c r="F80" s="3">
        <v>0</v>
      </c>
      <c r="G80" s="3">
        <v>57495</v>
      </c>
      <c r="H80" s="3">
        <v>57495</v>
      </c>
    </row>
    <row r="81" spans="1:8" x14ac:dyDescent="0.25">
      <c r="A81" s="22"/>
      <c r="B81" s="17" t="s">
        <v>204</v>
      </c>
      <c r="C81" s="3">
        <v>-1635</v>
      </c>
      <c r="D81" s="3">
        <v>-32631</v>
      </c>
      <c r="E81" s="3">
        <v>-4068</v>
      </c>
      <c r="F81" s="3">
        <v>-39133</v>
      </c>
      <c r="G81" s="3">
        <v>-38334</v>
      </c>
      <c r="H81" s="3">
        <v>-77467</v>
      </c>
    </row>
    <row r="82" spans="1:8" x14ac:dyDescent="0.25">
      <c r="A82" s="22"/>
      <c r="B82" s="17" t="s">
        <v>205</v>
      </c>
      <c r="C82" s="3">
        <v>-1183</v>
      </c>
      <c r="D82" s="3">
        <v>-8517</v>
      </c>
      <c r="E82" s="3">
        <v>-1887</v>
      </c>
      <c r="F82" s="3">
        <v>-2875</v>
      </c>
      <c r="G82" s="3">
        <v>-11587</v>
      </c>
      <c r="H82" s="3">
        <v>-14462</v>
      </c>
    </row>
    <row r="83" spans="1:8" x14ac:dyDescent="0.25">
      <c r="A83" s="22"/>
      <c r="B83" s="132" t="s">
        <v>206</v>
      </c>
      <c r="C83" s="134">
        <f t="shared" ref="C83:H83" si="3">SUM(C68:C82)</f>
        <v>-19620</v>
      </c>
      <c r="D83" s="134">
        <f t="shared" si="3"/>
        <v>-108022</v>
      </c>
      <c r="E83" s="134">
        <f t="shared" si="3"/>
        <v>196421</v>
      </c>
      <c r="F83" s="134">
        <f t="shared" si="3"/>
        <v>-93379</v>
      </c>
      <c r="G83" s="134">
        <f t="shared" si="3"/>
        <v>68779</v>
      </c>
      <c r="H83" s="134">
        <f t="shared" si="3"/>
        <v>-24600</v>
      </c>
    </row>
    <row r="84" spans="1:8" x14ac:dyDescent="0.25">
      <c r="A84" s="22"/>
      <c r="B84" s="17"/>
    </row>
    <row r="85" spans="1:8" x14ac:dyDescent="0.25">
      <c r="A85" s="22"/>
      <c r="B85" s="132" t="s">
        <v>207</v>
      </c>
      <c r="C85" s="134">
        <v>-22419</v>
      </c>
      <c r="D85" s="134">
        <v>-85721</v>
      </c>
      <c r="E85" s="134">
        <v>304611</v>
      </c>
      <c r="F85" s="134">
        <v>-28403</v>
      </c>
      <c r="G85" s="134">
        <v>196471</v>
      </c>
      <c r="H85" s="134">
        <v>168068</v>
      </c>
    </row>
    <row r="86" spans="1:8" x14ac:dyDescent="0.25">
      <c r="A86" s="22"/>
      <c r="B86" s="77"/>
    </row>
    <row r="87" spans="1:8" x14ac:dyDescent="0.25">
      <c r="A87" s="22"/>
      <c r="B87" s="77" t="s">
        <v>208</v>
      </c>
    </row>
    <row r="88" spans="1:8" x14ac:dyDescent="0.25">
      <c r="A88" s="22"/>
      <c r="B88" s="17" t="s">
        <v>209</v>
      </c>
      <c r="C88" s="3">
        <v>241283</v>
      </c>
      <c r="D88" s="3">
        <v>210805</v>
      </c>
      <c r="E88" s="3">
        <v>119816</v>
      </c>
      <c r="F88" s="3">
        <v>423028</v>
      </c>
      <c r="G88" s="3">
        <v>241284</v>
      </c>
      <c r="H88" s="3">
        <f>C88</f>
        <v>241283</v>
      </c>
    </row>
    <row r="89" spans="1:8" x14ac:dyDescent="0.25">
      <c r="A89" s="22"/>
      <c r="B89" s="17" t="s">
        <v>210</v>
      </c>
      <c r="C89" s="3">
        <v>-8059</v>
      </c>
      <c r="D89" s="3">
        <v>-5268</v>
      </c>
      <c r="E89" s="3">
        <v>-1399</v>
      </c>
      <c r="F89" s="3">
        <v>152</v>
      </c>
      <c r="G89" s="3">
        <v>-14726</v>
      </c>
      <c r="H89" s="3">
        <v>-14574</v>
      </c>
    </row>
    <row r="90" spans="1:8" x14ac:dyDescent="0.25">
      <c r="A90" s="22"/>
      <c r="B90" s="17" t="s">
        <v>211</v>
      </c>
      <c r="C90" s="3">
        <v>210805</v>
      </c>
      <c r="D90" s="3">
        <v>119816</v>
      </c>
      <c r="E90" s="3">
        <v>423028</v>
      </c>
      <c r="F90" s="3">
        <v>394777</v>
      </c>
      <c r="G90" s="3">
        <v>423028</v>
      </c>
      <c r="H90" s="3">
        <f>F90</f>
        <v>394777</v>
      </c>
    </row>
    <row r="91" spans="1:8" x14ac:dyDescent="0.25">
      <c r="A91" s="22"/>
      <c r="B91" s="17"/>
    </row>
    <row r="92" spans="1:8" x14ac:dyDescent="0.25">
      <c r="A92" s="22"/>
      <c r="B92" s="132" t="s">
        <v>207</v>
      </c>
      <c r="C92" s="134">
        <v>-22419</v>
      </c>
      <c r="D92" s="134">
        <v>-85721</v>
      </c>
      <c r="E92" s="134">
        <f>G92-D92-C92</f>
        <v>304611</v>
      </c>
      <c r="F92" s="134">
        <f>F85</f>
        <v>-28403</v>
      </c>
      <c r="G92" s="134">
        <v>196471</v>
      </c>
      <c r="H92" s="134">
        <f>H85</f>
        <v>168068</v>
      </c>
    </row>
    <row r="93" spans="1:8" x14ac:dyDescent="0.25">
      <c r="A93" s="22"/>
      <c r="B93" s="17"/>
    </row>
    <row r="94" spans="1:8" x14ac:dyDescent="0.25">
      <c r="A94" s="22"/>
      <c r="B94" s="74"/>
    </row>
    <row r="95" spans="1:8" x14ac:dyDescent="0.25">
      <c r="A95" s="22"/>
    </row>
    <row r="99" spans="1:1" x14ac:dyDescent="0.25">
      <c r="A99" s="22"/>
    </row>
    <row r="100" spans="1:1" x14ac:dyDescent="0.25">
      <c r="A100" s="22"/>
    </row>
    <row r="101" spans="1:1" x14ac:dyDescent="0.25">
      <c r="A101" s="22"/>
    </row>
    <row r="102" spans="1:1" x14ac:dyDescent="0.25">
      <c r="A102" s="22"/>
    </row>
    <row r="103" spans="1:1" x14ac:dyDescent="0.25">
      <c r="A103" s="22"/>
    </row>
    <row r="104" spans="1:1" x14ac:dyDescent="0.25">
      <c r="A104" s="2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10"/>
  <dimension ref="A1:AK108"/>
  <sheetViews>
    <sheetView showGridLines="0" topLeftCell="A7" zoomScaleNormal="100" workbookViewId="0">
      <pane xSplit="2" ySplit="6" topLeftCell="AF13" activePane="bottomRight" state="frozen"/>
      <selection activeCell="R26" sqref="R26"/>
      <selection pane="topRight" activeCell="R26" sqref="R26"/>
      <selection pane="bottomLeft" activeCell="R26" sqref="R26"/>
      <selection pane="bottomRight" activeCell="AM9" sqref="AM9"/>
    </sheetView>
  </sheetViews>
  <sheetFormatPr defaultRowHeight="15" outlineLevelCol="1" x14ac:dyDescent="0.25"/>
  <cols>
    <col min="1" max="1" width="1.5703125" style="1" customWidth="1"/>
    <col min="2" max="2" width="72.5703125" style="6" bestFit="1" customWidth="1"/>
    <col min="3" max="5" width="9.85546875" style="6" customWidth="1" outlineLevel="1"/>
    <col min="6" max="6" width="9.85546875" style="1" customWidth="1" outlineLevel="1"/>
    <col min="7" max="7" width="10" style="1" customWidth="1"/>
    <col min="8" max="10" width="10" style="1" customWidth="1" outlineLevel="1"/>
    <col min="11" max="11" width="9.85546875" customWidth="1" outlineLevel="1"/>
    <col min="12" max="12" width="9.85546875" customWidth="1"/>
    <col min="13" max="16" width="11.42578125" customWidth="1" outlineLevel="1"/>
    <col min="17" max="17" width="11.28515625" customWidth="1"/>
    <col min="18" max="18" width="14.140625" customWidth="1" outlineLevel="1"/>
    <col min="19" max="21" width="11.42578125" customWidth="1" outlineLevel="1"/>
    <col min="22" max="22" width="11.42578125" customWidth="1"/>
    <col min="23" max="24" width="11.42578125" customWidth="1" outlineLevel="1"/>
    <col min="25" max="25" width="12.85546875" customWidth="1" outlineLevel="1"/>
    <col min="26" max="26" width="12.85546875" bestFit="1" customWidth="1" outlineLevel="1"/>
    <col min="27" max="30" width="12.85546875" bestFit="1" customWidth="1"/>
    <col min="31" max="33" width="14.28515625" bestFit="1" customWidth="1"/>
    <col min="34" max="37" width="14.28515625" customWidth="1"/>
  </cols>
  <sheetData>
    <row r="1" spans="1:37" s="22" customFormat="1" ht="8.25" customHeight="1" x14ac:dyDescent="0.25">
      <c r="B1" s="9"/>
      <c r="C1" s="9"/>
      <c r="D1" s="9"/>
      <c r="E1" s="9"/>
      <c r="Y1"/>
      <c r="AB1"/>
      <c r="AC1"/>
      <c r="AD1"/>
      <c r="AE1"/>
      <c r="AF1"/>
      <c r="AG1"/>
    </row>
    <row r="2" spans="1:37" x14ac:dyDescent="0.25">
      <c r="A2" s="22"/>
    </row>
    <row r="3" spans="1:37" x14ac:dyDescent="0.25">
      <c r="A3" s="22"/>
    </row>
    <row r="4" spans="1:37" x14ac:dyDescent="0.25">
      <c r="A4" s="22"/>
    </row>
    <row r="5" spans="1:37" x14ac:dyDescent="0.25">
      <c r="A5" s="22"/>
    </row>
    <row r="6" spans="1:37" x14ac:dyDescent="0.25">
      <c r="A6" s="22"/>
    </row>
    <row r="7" spans="1:37" x14ac:dyDescent="0.25">
      <c r="A7" s="22"/>
    </row>
    <row r="8" spans="1:37" x14ac:dyDescent="0.25">
      <c r="A8" s="22"/>
    </row>
    <row r="9" spans="1:37" x14ac:dyDescent="0.25">
      <c r="A9" s="22"/>
    </row>
    <row r="10" spans="1:37" ht="21.75" customHeight="1" x14ac:dyDescent="0.25">
      <c r="A10" s="22"/>
    </row>
    <row r="11" spans="1:37" ht="16.5" customHeight="1" x14ac:dyDescent="0.25">
      <c r="A11" s="22"/>
      <c r="B11" s="45"/>
      <c r="C11" s="46" t="s">
        <v>74</v>
      </c>
      <c r="D11" s="46" t="s">
        <v>75</v>
      </c>
      <c r="E11" s="46" t="s">
        <v>77</v>
      </c>
      <c r="F11" s="46" t="s">
        <v>79</v>
      </c>
      <c r="G11" s="46">
        <v>2017</v>
      </c>
      <c r="H11" s="46" t="s">
        <v>80</v>
      </c>
      <c r="I11" s="46" t="s">
        <v>81</v>
      </c>
      <c r="J11" s="46" t="s">
        <v>82</v>
      </c>
      <c r="K11" s="46" t="s">
        <v>84</v>
      </c>
      <c r="L11" s="46">
        <v>2018</v>
      </c>
      <c r="M11" s="46" t="s">
        <v>128</v>
      </c>
      <c r="N11" s="46" t="s">
        <v>129</v>
      </c>
      <c r="O11" s="46" t="s">
        <v>130</v>
      </c>
      <c r="P11" s="46" t="s">
        <v>131</v>
      </c>
      <c r="Q11" s="46" t="s">
        <v>132</v>
      </c>
      <c r="R11" s="46" t="s">
        <v>133</v>
      </c>
      <c r="S11" s="46" t="s">
        <v>134</v>
      </c>
      <c r="T11" s="46" t="s">
        <v>135</v>
      </c>
      <c r="U11" s="46" t="s">
        <v>136</v>
      </c>
      <c r="V11" s="46" t="s">
        <v>137</v>
      </c>
      <c r="W11" s="46" t="s">
        <v>138</v>
      </c>
      <c r="X11" s="46" t="s">
        <v>139</v>
      </c>
      <c r="Y11" s="46" t="s">
        <v>140</v>
      </c>
      <c r="Z11" s="46" t="s">
        <v>141</v>
      </c>
      <c r="AA11" s="46" t="s">
        <v>142</v>
      </c>
      <c r="AB11" s="46" t="s">
        <v>143</v>
      </c>
      <c r="AC11" s="46" t="s">
        <v>144</v>
      </c>
      <c r="AD11" s="46" t="s">
        <v>306</v>
      </c>
      <c r="AE11" s="46" t="s">
        <v>310</v>
      </c>
      <c r="AF11" s="46" t="s">
        <v>315</v>
      </c>
      <c r="AG11" s="46" t="s">
        <v>321</v>
      </c>
      <c r="AH11" s="46" t="s">
        <v>326</v>
      </c>
      <c r="AI11" s="46" t="s">
        <v>330</v>
      </c>
      <c r="AJ11" s="46" t="s">
        <v>367</v>
      </c>
      <c r="AK11" s="46" t="s">
        <v>373</v>
      </c>
    </row>
    <row r="12" spans="1:37" ht="14.25" customHeight="1" x14ac:dyDescent="0.25">
      <c r="A12" s="22"/>
      <c r="B12" s="47"/>
      <c r="C12" s="47"/>
      <c r="D12" s="48"/>
      <c r="E12" s="48"/>
      <c r="F12" s="48"/>
      <c r="G12" s="48"/>
      <c r="H12" s="48"/>
      <c r="I12" s="48"/>
      <c r="J12" s="48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</row>
    <row r="13" spans="1:37" ht="14.25" customHeight="1" x14ac:dyDescent="0.25">
      <c r="A13" s="22"/>
      <c r="B13" s="49" t="s">
        <v>145</v>
      </c>
      <c r="C13" s="50">
        <v>7231</v>
      </c>
      <c r="D13" s="50">
        <v>7750</v>
      </c>
      <c r="E13" s="50">
        <v>25555</v>
      </c>
      <c r="F13" s="50">
        <v>23876</v>
      </c>
      <c r="G13" s="50">
        <v>64412</v>
      </c>
      <c r="H13" s="50">
        <f>H38-SUM(H14:H34)</f>
        <v>32212</v>
      </c>
      <c r="I13" s="50">
        <v>22867</v>
      </c>
      <c r="J13" s="50">
        <v>35462</v>
      </c>
      <c r="K13" s="50">
        <v>35892</v>
      </c>
      <c r="L13" s="50">
        <v>126433</v>
      </c>
      <c r="M13" s="50">
        <v>23007</v>
      </c>
      <c r="N13" s="50">
        <v>11896</v>
      </c>
      <c r="O13" s="50">
        <v>44492</v>
      </c>
      <c r="P13" s="50">
        <v>-9571</v>
      </c>
      <c r="Q13" s="50">
        <v>69824</v>
      </c>
      <c r="R13" s="50">
        <v>8452</v>
      </c>
      <c r="S13" s="50">
        <v>-159065</v>
      </c>
      <c r="T13" s="50">
        <v>-2899</v>
      </c>
      <c r="U13" s="50">
        <v>-40989.000000000007</v>
      </c>
      <c r="V13" s="50">
        <v>-194501</v>
      </c>
      <c r="W13" s="50">
        <v>1479</v>
      </c>
      <c r="X13" s="50">
        <v>-22730</v>
      </c>
      <c r="Y13" s="50">
        <v>58965</v>
      </c>
      <c r="Z13" s="50">
        <v>29918</v>
      </c>
      <c r="AA13" s="50">
        <f>SUM(W13:Z13)</f>
        <v>67632</v>
      </c>
      <c r="AB13" s="50">
        <v>-24408</v>
      </c>
      <c r="AC13" s="50">
        <v>21813</v>
      </c>
      <c r="AD13" s="50">
        <v>21731</v>
      </c>
      <c r="AE13" s="50">
        <v>15083</v>
      </c>
      <c r="AF13" s="50">
        <v>82581</v>
      </c>
      <c r="AG13" s="50">
        <v>70644</v>
      </c>
      <c r="AH13" s="50">
        <v>87864</v>
      </c>
      <c r="AI13" s="50">
        <v>32074</v>
      </c>
      <c r="AJ13" s="50">
        <v>170073</v>
      </c>
      <c r="AK13" s="50">
        <v>88291</v>
      </c>
    </row>
    <row r="14" spans="1:37" ht="30" customHeight="1" x14ac:dyDescent="0.25">
      <c r="B14" s="51" t="s">
        <v>146</v>
      </c>
      <c r="C14" s="52"/>
      <c r="D14" s="52"/>
      <c r="E14" s="52"/>
      <c r="F14" s="53"/>
      <c r="G14" s="53"/>
      <c r="H14" s="53"/>
      <c r="I14" s="53"/>
      <c r="J14" s="53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5"/>
      <c r="AA14" s="50"/>
      <c r="AB14" s="55"/>
      <c r="AC14" s="55"/>
    </row>
    <row r="15" spans="1:37" x14ac:dyDescent="0.25">
      <c r="A15" s="22"/>
      <c r="B15" s="51" t="s">
        <v>147</v>
      </c>
      <c r="C15" s="56">
        <v>17970</v>
      </c>
      <c r="D15" s="56">
        <v>18127</v>
      </c>
      <c r="E15" s="56">
        <v>14219</v>
      </c>
      <c r="F15" s="57">
        <v>17145</v>
      </c>
      <c r="G15" s="57">
        <v>67461</v>
      </c>
      <c r="H15" s="57">
        <v>16861</v>
      </c>
      <c r="I15" s="57">
        <v>17948</v>
      </c>
      <c r="J15" s="57">
        <v>18286</v>
      </c>
      <c r="K15" s="55">
        <v>18164</v>
      </c>
      <c r="L15" s="57">
        <v>71259</v>
      </c>
      <c r="M15" s="57">
        <v>20995</v>
      </c>
      <c r="N15" s="57">
        <v>21950</v>
      </c>
      <c r="O15" s="55">
        <v>22044</v>
      </c>
      <c r="P15" s="55">
        <v>21950</v>
      </c>
      <c r="Q15" s="55">
        <v>86939</v>
      </c>
      <c r="R15" s="57">
        <v>21680</v>
      </c>
      <c r="S15" s="55">
        <v>23423</v>
      </c>
      <c r="T15" s="55">
        <v>25152</v>
      </c>
      <c r="U15" s="55">
        <v>24253</v>
      </c>
      <c r="V15" s="55">
        <v>94508</v>
      </c>
      <c r="W15" s="55">
        <v>21182</v>
      </c>
      <c r="X15" s="55">
        <v>20019.000000000004</v>
      </c>
      <c r="Y15" s="55">
        <v>20988</v>
      </c>
      <c r="Z15" s="55">
        <v>25204</v>
      </c>
      <c r="AA15" s="56">
        <f t="shared" ref="AA15:AA74" si="0">SUM(W15:Z15)</f>
        <v>87393</v>
      </c>
      <c r="AB15" s="55">
        <v>22001</v>
      </c>
      <c r="AC15" s="55">
        <v>21672</v>
      </c>
      <c r="AD15" s="55">
        <v>13726</v>
      </c>
      <c r="AE15" s="55">
        <v>18412</v>
      </c>
      <c r="AF15" s="55">
        <v>14200</v>
      </c>
      <c r="AG15" s="55">
        <v>13627</v>
      </c>
      <c r="AH15" s="55">
        <v>15970</v>
      </c>
      <c r="AI15" s="55">
        <v>15756</v>
      </c>
      <c r="AJ15" s="55">
        <v>12745</v>
      </c>
      <c r="AK15" s="55">
        <v>12119</v>
      </c>
    </row>
    <row r="16" spans="1:37" ht="15" customHeight="1" x14ac:dyDescent="0.25">
      <c r="A16" s="22"/>
      <c r="B16" s="51" t="s">
        <v>148</v>
      </c>
      <c r="C16" s="56">
        <v>89</v>
      </c>
      <c r="D16" s="56">
        <v>5504</v>
      </c>
      <c r="E16" s="56">
        <v>173</v>
      </c>
      <c r="F16" s="57">
        <v>-45</v>
      </c>
      <c r="G16" s="57">
        <v>5721</v>
      </c>
      <c r="H16" s="57">
        <v>240</v>
      </c>
      <c r="I16" s="57">
        <v>63</v>
      </c>
      <c r="J16" s="57">
        <v>1049</v>
      </c>
      <c r="K16" s="55">
        <v>3491</v>
      </c>
      <c r="L16" s="57">
        <v>4843</v>
      </c>
      <c r="M16" s="57">
        <v>1020</v>
      </c>
      <c r="N16" s="57">
        <v>1856</v>
      </c>
      <c r="O16" s="55">
        <v>1163</v>
      </c>
      <c r="P16" s="55">
        <v>2151</v>
      </c>
      <c r="Q16" s="55">
        <v>6190</v>
      </c>
      <c r="R16" s="57">
        <v>5888</v>
      </c>
      <c r="S16" s="55">
        <v>5541</v>
      </c>
      <c r="T16" s="55">
        <v>10099</v>
      </c>
      <c r="U16" s="55">
        <v>5293.0000000000027</v>
      </c>
      <c r="V16" s="55">
        <v>26821</v>
      </c>
      <c r="W16" s="55">
        <v>5470</v>
      </c>
      <c r="X16" s="55">
        <v>-3720.9999999999995</v>
      </c>
      <c r="Y16" s="55">
        <v>738.00000000000023</v>
      </c>
      <c r="Z16" s="55">
        <v>9366</v>
      </c>
      <c r="AA16" s="56">
        <f t="shared" si="0"/>
        <v>11853</v>
      </c>
      <c r="AB16" s="55">
        <v>4118</v>
      </c>
      <c r="AC16" s="55">
        <v>2692</v>
      </c>
      <c r="AD16" s="55">
        <v>485</v>
      </c>
      <c r="AE16" s="55">
        <v>5362</v>
      </c>
      <c r="AF16" s="55">
        <v>190</v>
      </c>
      <c r="AG16" s="55">
        <v>1835</v>
      </c>
      <c r="AH16" s="55">
        <v>793</v>
      </c>
      <c r="AI16" s="55">
        <v>16525</v>
      </c>
      <c r="AJ16" s="55">
        <v>1055</v>
      </c>
      <c r="AK16" s="55">
        <v>1878</v>
      </c>
    </row>
    <row r="17" spans="1:37" x14ac:dyDescent="0.25">
      <c r="A17" s="22"/>
      <c r="B17" s="51" t="s">
        <v>149</v>
      </c>
      <c r="C17" s="56">
        <v>10198</v>
      </c>
      <c r="D17" s="56">
        <v>11844</v>
      </c>
      <c r="E17" s="56">
        <v>11692</v>
      </c>
      <c r="F17" s="57">
        <v>11722</v>
      </c>
      <c r="G17" s="57">
        <v>45456</v>
      </c>
      <c r="H17" s="57">
        <v>12000</v>
      </c>
      <c r="I17" s="57">
        <v>13303</v>
      </c>
      <c r="J17" s="57">
        <v>9717</v>
      </c>
      <c r="K17" s="55">
        <v>10824</v>
      </c>
      <c r="L17" s="57">
        <v>45844</v>
      </c>
      <c r="M17" s="57">
        <v>11827</v>
      </c>
      <c r="N17" s="57">
        <v>12329</v>
      </c>
      <c r="O17" s="55">
        <v>12019</v>
      </c>
      <c r="P17" s="55">
        <v>12236</v>
      </c>
      <c r="Q17" s="55">
        <v>48411</v>
      </c>
      <c r="R17" s="57">
        <v>12682</v>
      </c>
      <c r="S17" s="55">
        <v>13850</v>
      </c>
      <c r="T17" s="55">
        <v>13879</v>
      </c>
      <c r="U17" s="55">
        <v>17240.650000000001</v>
      </c>
      <c r="V17" s="55">
        <v>57652</v>
      </c>
      <c r="W17" s="55">
        <v>15188</v>
      </c>
      <c r="X17" s="55">
        <v>16609.179340000002</v>
      </c>
      <c r="Y17" s="55">
        <v>16148.999999999998</v>
      </c>
      <c r="Z17" s="55">
        <v>17827</v>
      </c>
      <c r="AA17" s="56">
        <f t="shared" si="0"/>
        <v>65773.179340000002</v>
      </c>
      <c r="AB17" s="55">
        <v>16404</v>
      </c>
      <c r="AC17" s="55">
        <v>16513.999799999998</v>
      </c>
      <c r="AD17" s="55">
        <v>15074.000000000007</v>
      </c>
      <c r="AE17" s="55">
        <v>20470</v>
      </c>
      <c r="AF17" s="55">
        <v>14944.9998</v>
      </c>
      <c r="AG17" s="55">
        <v>14613.999999999998</v>
      </c>
      <c r="AH17" s="55">
        <v>15018.78315000001</v>
      </c>
      <c r="AI17" s="55">
        <v>16808.136849999988</v>
      </c>
      <c r="AJ17" s="55">
        <v>13121.257799999999</v>
      </c>
      <c r="AK17" s="55">
        <v>12657.741999999998</v>
      </c>
    </row>
    <row r="18" spans="1:37" ht="15" customHeight="1" x14ac:dyDescent="0.25">
      <c r="A18" s="22"/>
      <c r="B18" s="51" t="s">
        <v>150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7">
        <v>174</v>
      </c>
      <c r="O18" s="55">
        <v>77</v>
      </c>
      <c r="P18" s="55">
        <v>91</v>
      </c>
      <c r="Q18" s="55">
        <v>342</v>
      </c>
      <c r="R18" s="57">
        <v>0</v>
      </c>
      <c r="S18" s="55">
        <v>0</v>
      </c>
      <c r="T18" s="55">
        <v>-256</v>
      </c>
      <c r="U18" s="55">
        <v>67</v>
      </c>
      <c r="V18" s="55">
        <v>-189</v>
      </c>
      <c r="W18" s="55">
        <v>-1250</v>
      </c>
      <c r="X18" s="55">
        <v>102.99999999999999</v>
      </c>
      <c r="Y18" s="55">
        <v>-68.999999999999943</v>
      </c>
      <c r="Z18" s="55">
        <v>-4</v>
      </c>
      <c r="AA18" s="56">
        <f t="shared" si="0"/>
        <v>-1220</v>
      </c>
      <c r="AB18" s="55">
        <v>0</v>
      </c>
      <c r="AC18" s="55">
        <v>-19</v>
      </c>
      <c r="AD18" s="55">
        <v>-618</v>
      </c>
      <c r="AE18" s="55">
        <v>-381</v>
      </c>
      <c r="AF18" s="55">
        <v>-1228</v>
      </c>
      <c r="AG18" s="55">
        <v>36</v>
      </c>
      <c r="AH18" s="55">
        <v>68</v>
      </c>
      <c r="AI18" s="55">
        <v>129</v>
      </c>
      <c r="AJ18" s="55">
        <v>135</v>
      </c>
      <c r="AK18" s="55">
        <v>47</v>
      </c>
    </row>
    <row r="19" spans="1:37" x14ac:dyDescent="0.25">
      <c r="A19" s="22"/>
      <c r="B19" s="58" t="s">
        <v>43</v>
      </c>
      <c r="C19" s="56">
        <v>-424</v>
      </c>
      <c r="D19" s="56">
        <v>-384</v>
      </c>
      <c r="E19" s="56">
        <v>2626</v>
      </c>
      <c r="F19" s="57">
        <v>-1160</v>
      </c>
      <c r="G19" s="57">
        <v>658</v>
      </c>
      <c r="H19" s="57">
        <v>-421</v>
      </c>
      <c r="I19" s="57">
        <v>185</v>
      </c>
      <c r="J19" s="57">
        <v>-672</v>
      </c>
      <c r="K19" s="55">
        <v>455</v>
      </c>
      <c r="L19" s="57">
        <v>-453</v>
      </c>
      <c r="M19" s="57">
        <v>-68</v>
      </c>
      <c r="N19" s="57">
        <v>4966</v>
      </c>
      <c r="O19" s="55">
        <v>873</v>
      </c>
      <c r="P19" s="55">
        <v>620</v>
      </c>
      <c r="Q19" s="55">
        <v>6391</v>
      </c>
      <c r="R19" s="57">
        <v>1009</v>
      </c>
      <c r="S19" s="55">
        <v>60</v>
      </c>
      <c r="T19" s="55">
        <v>1528</v>
      </c>
      <c r="U19" s="55">
        <v>1981.9999999999998</v>
      </c>
      <c r="V19" s="55">
        <v>4579</v>
      </c>
      <c r="W19" s="55">
        <v>347</v>
      </c>
      <c r="X19" s="55">
        <v>24198.999999999996</v>
      </c>
      <c r="Y19" s="55">
        <v>4690.0000000000009</v>
      </c>
      <c r="Z19" s="55">
        <v>1907</v>
      </c>
      <c r="AA19" s="56">
        <f t="shared" si="0"/>
        <v>31142.999999999996</v>
      </c>
      <c r="AB19" s="55">
        <v>2371</v>
      </c>
      <c r="AC19" s="55">
        <v>5744</v>
      </c>
      <c r="AD19" s="55">
        <v>3490</v>
      </c>
      <c r="AE19" s="55">
        <v>12602</v>
      </c>
      <c r="AF19" s="55">
        <v>9437</v>
      </c>
      <c r="AG19" s="55">
        <v>5416</v>
      </c>
      <c r="AH19" s="55">
        <v>3529</v>
      </c>
      <c r="AI19" s="55">
        <v>12386</v>
      </c>
      <c r="AJ19" s="55">
        <v>6444</v>
      </c>
      <c r="AK19" s="55">
        <v>-22220</v>
      </c>
    </row>
    <row r="20" spans="1:37" x14ac:dyDescent="0.25">
      <c r="A20" s="22"/>
      <c r="B20" s="51" t="s">
        <v>151</v>
      </c>
      <c r="C20" s="59">
        <v>-124</v>
      </c>
      <c r="D20" s="59">
        <v>-1603</v>
      </c>
      <c r="E20" s="59">
        <v>408</v>
      </c>
      <c r="F20" s="57">
        <v>163</v>
      </c>
      <c r="G20" s="57">
        <v>-1156</v>
      </c>
      <c r="H20" s="57">
        <v>-1985</v>
      </c>
      <c r="I20" s="57">
        <v>1949</v>
      </c>
      <c r="J20" s="57">
        <v>10196</v>
      </c>
      <c r="K20" s="55">
        <v>-5902</v>
      </c>
      <c r="L20" s="57">
        <v>4258</v>
      </c>
      <c r="M20" s="57">
        <v>-2055</v>
      </c>
      <c r="N20" s="57">
        <v>915</v>
      </c>
      <c r="O20" s="55">
        <v>2965</v>
      </c>
      <c r="P20" s="55">
        <v>558</v>
      </c>
      <c r="Q20" s="55">
        <v>2383</v>
      </c>
      <c r="R20" s="57">
        <v>-339</v>
      </c>
      <c r="S20" s="55">
        <v>72</v>
      </c>
      <c r="T20" s="55">
        <v>-905</v>
      </c>
      <c r="U20" s="55">
        <v>29304.000000000004</v>
      </c>
      <c r="V20" s="55">
        <v>28132</v>
      </c>
      <c r="W20" s="55">
        <v>-1862</v>
      </c>
      <c r="X20" s="55">
        <v>23999.000000000004</v>
      </c>
      <c r="Y20" s="55">
        <v>1379.9999999999991</v>
      </c>
      <c r="Z20" s="55">
        <v>-10851</v>
      </c>
      <c r="AA20" s="56">
        <f t="shared" si="0"/>
        <v>12666.000000000004</v>
      </c>
      <c r="AB20" s="55">
        <v>1403</v>
      </c>
      <c r="AC20" s="55">
        <v>1809</v>
      </c>
      <c r="AD20" s="55">
        <v>-11298</v>
      </c>
      <c r="AE20" s="55">
        <v>-10203</v>
      </c>
      <c r="AF20" s="55">
        <v>3397</v>
      </c>
      <c r="AG20" s="55">
        <v>686</v>
      </c>
      <c r="AH20" s="55">
        <v>-20182</v>
      </c>
      <c r="AI20" s="55">
        <v>-3377</v>
      </c>
      <c r="AJ20" s="55">
        <v>-969</v>
      </c>
      <c r="AK20" s="55">
        <v>-1356</v>
      </c>
    </row>
    <row r="21" spans="1:37" x14ac:dyDescent="0.25">
      <c r="A21" s="22"/>
      <c r="B21" s="51" t="s">
        <v>152</v>
      </c>
      <c r="C21" s="59">
        <v>-253</v>
      </c>
      <c r="D21" s="59">
        <v>-5643</v>
      </c>
      <c r="E21" s="59">
        <v>-239</v>
      </c>
      <c r="F21" s="57">
        <v>-1512</v>
      </c>
      <c r="G21" s="57">
        <v>-7647</v>
      </c>
      <c r="H21" s="57">
        <v>0</v>
      </c>
      <c r="I21" s="57">
        <v>-217</v>
      </c>
      <c r="J21" s="57">
        <v>0</v>
      </c>
      <c r="K21" s="55">
        <v>1587</v>
      </c>
      <c r="L21" s="57">
        <v>1370</v>
      </c>
      <c r="M21" s="57">
        <v>0</v>
      </c>
      <c r="N21" s="57">
        <v>0</v>
      </c>
      <c r="O21" s="55">
        <v>0</v>
      </c>
      <c r="P21" s="55">
        <v>-266</v>
      </c>
      <c r="Q21" s="55">
        <v>-266</v>
      </c>
      <c r="R21" s="57">
        <v>0</v>
      </c>
      <c r="S21" s="55">
        <v>8824</v>
      </c>
      <c r="T21" s="55">
        <v>-8824</v>
      </c>
      <c r="U21" s="55">
        <v>8350</v>
      </c>
      <c r="V21" s="55">
        <v>8350</v>
      </c>
      <c r="W21" s="55">
        <v>-1890</v>
      </c>
      <c r="X21" s="55">
        <v>0</v>
      </c>
      <c r="Y21" s="55">
        <v>-396</v>
      </c>
      <c r="Z21" s="55">
        <v>0</v>
      </c>
      <c r="AA21" s="56">
        <f t="shared" si="0"/>
        <v>-2286</v>
      </c>
      <c r="AB21" s="55">
        <v>-319</v>
      </c>
      <c r="AC21" s="55">
        <v>54736</v>
      </c>
      <c r="AD21" s="55">
        <v>0</v>
      </c>
      <c r="AE21" s="55">
        <v>-54417</v>
      </c>
      <c r="AF21" s="55">
        <v>0</v>
      </c>
      <c r="AG21" s="55">
        <v>0</v>
      </c>
      <c r="AH21" s="55">
        <v>0</v>
      </c>
      <c r="AI21" s="55">
        <v>0</v>
      </c>
      <c r="AJ21" s="175" t="s">
        <v>364</v>
      </c>
      <c r="AK21" s="175">
        <v>0</v>
      </c>
    </row>
    <row r="22" spans="1:37" x14ac:dyDescent="0.25">
      <c r="A22" s="22"/>
      <c r="B22" s="51" t="s">
        <v>153</v>
      </c>
      <c r="C22" s="59">
        <v>-533</v>
      </c>
      <c r="D22" s="59">
        <v>517</v>
      </c>
      <c r="E22" s="59">
        <v>920</v>
      </c>
      <c r="F22" s="57">
        <v>123</v>
      </c>
      <c r="G22" s="57">
        <v>1027</v>
      </c>
      <c r="H22" s="57">
        <v>-857</v>
      </c>
      <c r="I22" s="57">
        <v>1297</v>
      </c>
      <c r="J22" s="57">
        <v>882</v>
      </c>
      <c r="K22" s="55">
        <v>-2735</v>
      </c>
      <c r="L22" s="57">
        <v>-1413</v>
      </c>
      <c r="M22" s="57">
        <v>0</v>
      </c>
      <c r="N22" s="57">
        <v>167</v>
      </c>
      <c r="O22" s="55">
        <v>662</v>
      </c>
      <c r="P22" s="55">
        <v>-236</v>
      </c>
      <c r="Q22" s="55">
        <v>593</v>
      </c>
      <c r="R22" s="55">
        <v>151</v>
      </c>
      <c r="S22" s="55">
        <f>1128-R22</f>
        <v>977</v>
      </c>
      <c r="T22" s="55">
        <f>2145-SUM(R22:S22)</f>
        <v>1017</v>
      </c>
      <c r="U22" s="55">
        <v>5780</v>
      </c>
      <c r="V22" s="55">
        <v>7925</v>
      </c>
      <c r="W22" s="55">
        <v>0</v>
      </c>
      <c r="X22" s="55">
        <v>439.99999999999994</v>
      </c>
      <c r="Y22" s="55">
        <v>-788</v>
      </c>
      <c r="Z22" s="55">
        <v>619</v>
      </c>
      <c r="AA22" s="56">
        <f t="shared" si="0"/>
        <v>270.99999999999994</v>
      </c>
      <c r="AB22" s="55">
        <v>-1222</v>
      </c>
      <c r="AC22" s="55">
        <v>445</v>
      </c>
      <c r="AD22" s="55">
        <v>158</v>
      </c>
      <c r="AE22" s="55">
        <v>158</v>
      </c>
      <c r="AF22" s="55">
        <v>186</v>
      </c>
      <c r="AG22" s="55">
        <v>4030</v>
      </c>
      <c r="AH22" s="55">
        <v>-1334</v>
      </c>
      <c r="AI22" s="55">
        <v>-1314</v>
      </c>
      <c r="AJ22" s="55">
        <v>-1110</v>
      </c>
      <c r="AK22" s="55">
        <v>16</v>
      </c>
    </row>
    <row r="23" spans="1:37" x14ac:dyDescent="0.25">
      <c r="A23" s="22"/>
      <c r="B23" s="51" t="s">
        <v>154</v>
      </c>
      <c r="C23" s="59">
        <v>0</v>
      </c>
      <c r="D23" s="59">
        <v>0</v>
      </c>
      <c r="E23" s="59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5">
        <v>0</v>
      </c>
      <c r="L23" s="57">
        <v>0</v>
      </c>
      <c r="M23" s="57">
        <v>0</v>
      </c>
      <c r="N23" s="57">
        <v>0</v>
      </c>
      <c r="O23" s="55">
        <v>0</v>
      </c>
      <c r="P23" s="55">
        <v>44886</v>
      </c>
      <c r="Q23" s="55">
        <v>44886</v>
      </c>
      <c r="R23" s="55">
        <v>0</v>
      </c>
      <c r="S23" s="55">
        <v>113088</v>
      </c>
      <c r="T23" s="55">
        <v>0</v>
      </c>
      <c r="U23" s="55">
        <v>22292</v>
      </c>
      <c r="V23" s="55">
        <v>135380</v>
      </c>
      <c r="W23" s="55">
        <v>0</v>
      </c>
      <c r="X23" s="55">
        <v>0</v>
      </c>
      <c r="Y23" s="55">
        <v>0</v>
      </c>
      <c r="Z23" s="55">
        <v>8884</v>
      </c>
      <c r="AA23" s="56">
        <f t="shared" si="0"/>
        <v>8884</v>
      </c>
      <c r="AB23" s="55">
        <v>0</v>
      </c>
      <c r="AC23" s="55">
        <v>0</v>
      </c>
      <c r="AD23" s="55">
        <v>0</v>
      </c>
      <c r="AE23" s="55">
        <v>24832.325000000001</v>
      </c>
      <c r="AF23" s="55">
        <v>0</v>
      </c>
      <c r="AG23" s="55">
        <v>0</v>
      </c>
      <c r="AH23" s="55">
        <v>0</v>
      </c>
      <c r="AI23" s="55">
        <v>22729</v>
      </c>
      <c r="AJ23" s="55">
        <v>24043</v>
      </c>
      <c r="AK23" s="55">
        <v>-14</v>
      </c>
    </row>
    <row r="24" spans="1:37" x14ac:dyDescent="0.25">
      <c r="A24" s="22"/>
      <c r="B24" s="51" t="s">
        <v>155</v>
      </c>
      <c r="C24" s="56">
        <v>0</v>
      </c>
      <c r="D24" s="56">
        <v>0</v>
      </c>
      <c r="E24" s="56">
        <v>311</v>
      </c>
      <c r="F24" s="57">
        <v>1348</v>
      </c>
      <c r="G24" s="57">
        <v>1659</v>
      </c>
      <c r="H24" s="57">
        <v>278</v>
      </c>
      <c r="I24" s="57">
        <v>976</v>
      </c>
      <c r="J24" s="57">
        <v>791</v>
      </c>
      <c r="K24" s="55">
        <v>632</v>
      </c>
      <c r="L24" s="57">
        <v>2677</v>
      </c>
      <c r="M24" s="57">
        <v>218</v>
      </c>
      <c r="N24" s="57">
        <v>549</v>
      </c>
      <c r="O24" s="55">
        <v>14</v>
      </c>
      <c r="P24" s="55">
        <v>-3127</v>
      </c>
      <c r="Q24" s="55">
        <v>-2346</v>
      </c>
      <c r="R24" s="57">
        <v>156</v>
      </c>
      <c r="S24" s="55">
        <v>1731</v>
      </c>
      <c r="T24" s="55">
        <v>-691</v>
      </c>
      <c r="U24" s="55">
        <v>-1997</v>
      </c>
      <c r="V24" s="55">
        <v>-801</v>
      </c>
      <c r="W24" s="55">
        <v>-36</v>
      </c>
      <c r="X24" s="55">
        <v>386.99999999999994</v>
      </c>
      <c r="Y24" s="55">
        <v>681</v>
      </c>
      <c r="Z24" s="55">
        <v>1596</v>
      </c>
      <c r="AA24" s="56">
        <f t="shared" si="0"/>
        <v>2628</v>
      </c>
      <c r="AB24" s="55">
        <v>354</v>
      </c>
      <c r="AC24" s="55">
        <v>876</v>
      </c>
      <c r="AD24" s="55">
        <v>630</v>
      </c>
      <c r="AE24" s="55">
        <v>1586</v>
      </c>
      <c r="AF24" s="55">
        <v>1022</v>
      </c>
      <c r="AG24" s="55">
        <v>534</v>
      </c>
      <c r="AH24" s="55">
        <v>-671</v>
      </c>
      <c r="AI24" s="55">
        <v>-658</v>
      </c>
      <c r="AJ24" s="55">
        <v>1728</v>
      </c>
      <c r="AK24" s="55">
        <v>-105</v>
      </c>
    </row>
    <row r="25" spans="1:37" x14ac:dyDescent="0.25">
      <c r="A25" s="22"/>
      <c r="B25" s="51" t="s">
        <v>156</v>
      </c>
      <c r="C25" s="56">
        <v>16972</v>
      </c>
      <c r="D25" s="56">
        <v>15722</v>
      </c>
      <c r="E25" s="56">
        <v>14235</v>
      </c>
      <c r="F25" s="57">
        <v>12512</v>
      </c>
      <c r="G25" s="57">
        <v>59441</v>
      </c>
      <c r="H25" s="57">
        <v>11880</v>
      </c>
      <c r="I25" s="57">
        <v>13366</v>
      </c>
      <c r="J25" s="57">
        <v>15284</v>
      </c>
      <c r="K25" s="55">
        <v>13627</v>
      </c>
      <c r="L25" s="57">
        <v>54157</v>
      </c>
      <c r="M25" s="57">
        <v>12417</v>
      </c>
      <c r="N25" s="57">
        <v>13637</v>
      </c>
      <c r="O25" s="55">
        <v>13856</v>
      </c>
      <c r="P25" s="55">
        <v>12057</v>
      </c>
      <c r="Q25" s="55">
        <v>51967</v>
      </c>
      <c r="R25" s="57">
        <v>10838</v>
      </c>
      <c r="S25" s="55">
        <v>15185</v>
      </c>
      <c r="T25" s="55">
        <v>16446</v>
      </c>
      <c r="U25" s="55">
        <v>14519.999999999996</v>
      </c>
      <c r="V25" s="55">
        <v>56989</v>
      </c>
      <c r="W25" s="55">
        <v>13666</v>
      </c>
      <c r="X25" s="55">
        <v>21950.999999999996</v>
      </c>
      <c r="Y25" s="55">
        <v>25062.000000000004</v>
      </c>
      <c r="Z25" s="55">
        <v>24341</v>
      </c>
      <c r="AA25" s="56">
        <f t="shared" si="0"/>
        <v>85020</v>
      </c>
      <c r="AB25" s="55">
        <v>32090</v>
      </c>
      <c r="AC25" s="55">
        <v>36589</v>
      </c>
      <c r="AD25" s="55">
        <v>39011</v>
      </c>
      <c r="AE25" s="55">
        <v>44750</v>
      </c>
      <c r="AF25" s="55">
        <v>28081</v>
      </c>
      <c r="AG25" s="55">
        <v>26603</v>
      </c>
      <c r="AH25" s="55">
        <v>23441</v>
      </c>
      <c r="AI25" s="55">
        <v>22491</v>
      </c>
      <c r="AJ25" s="55">
        <v>19276</v>
      </c>
      <c r="AK25" s="55">
        <v>21395</v>
      </c>
    </row>
    <row r="26" spans="1:37" x14ac:dyDescent="0.25">
      <c r="A26" s="22"/>
      <c r="B26" s="51" t="s">
        <v>157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157</v>
      </c>
      <c r="N26" s="57">
        <v>157</v>
      </c>
      <c r="O26" s="55">
        <v>-314</v>
      </c>
      <c r="P26" s="55">
        <v>0</v>
      </c>
      <c r="Q26" s="55">
        <v>0</v>
      </c>
      <c r="R26" s="57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56">
        <f t="shared" si="0"/>
        <v>0</v>
      </c>
      <c r="AB26" s="55">
        <v>0</v>
      </c>
      <c r="AC26" s="55">
        <v>0</v>
      </c>
      <c r="AD26" s="55">
        <v>0</v>
      </c>
      <c r="AE26" s="55">
        <v>0</v>
      </c>
      <c r="AF26" s="55">
        <v>0</v>
      </c>
      <c r="AG26" s="55">
        <v>0</v>
      </c>
      <c r="AH26" s="55">
        <v>0</v>
      </c>
      <c r="AI26" s="55">
        <v>0</v>
      </c>
      <c r="AJ26" s="175" t="s">
        <v>364</v>
      </c>
      <c r="AK26" s="175">
        <v>0</v>
      </c>
    </row>
    <row r="27" spans="1:37" x14ac:dyDescent="0.25">
      <c r="A27" s="27"/>
      <c r="B27" s="51" t="s">
        <v>158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5">
        <v>86</v>
      </c>
      <c r="I27" s="55">
        <v>0</v>
      </c>
      <c r="J27" s="55">
        <v>0</v>
      </c>
      <c r="K27" s="55">
        <v>0</v>
      </c>
      <c r="L27" s="55">
        <v>0</v>
      </c>
      <c r="M27" s="55">
        <v>1925</v>
      </c>
      <c r="N27" s="55">
        <v>1521</v>
      </c>
      <c r="O27" s="55">
        <v>981</v>
      </c>
      <c r="P27" s="55">
        <v>-1275</v>
      </c>
      <c r="Q27" s="55">
        <v>3152</v>
      </c>
      <c r="R27" s="55">
        <v>1143</v>
      </c>
      <c r="S27" s="55">
        <v>1459</v>
      </c>
      <c r="T27" s="55">
        <v>1105</v>
      </c>
      <c r="U27" s="55">
        <v>0</v>
      </c>
      <c r="V27" s="55">
        <v>3702</v>
      </c>
      <c r="W27" s="55">
        <v>2089</v>
      </c>
      <c r="X27" s="55">
        <v>1084</v>
      </c>
      <c r="Y27" s="55">
        <v>1291.0000000000005</v>
      </c>
      <c r="Z27" s="55">
        <v>-66</v>
      </c>
      <c r="AA27" s="56">
        <f t="shared" si="0"/>
        <v>4398</v>
      </c>
      <c r="AB27" s="55">
        <v>1003</v>
      </c>
      <c r="AC27" s="55">
        <v>1053</v>
      </c>
      <c r="AD27" s="55">
        <v>1811</v>
      </c>
      <c r="AE27" s="55">
        <v>293</v>
      </c>
      <c r="AF27" s="55">
        <v>496</v>
      </c>
      <c r="AG27" s="55">
        <v>634</v>
      </c>
      <c r="AH27" s="55">
        <v>610</v>
      </c>
      <c r="AI27" s="55">
        <v>456</v>
      </c>
      <c r="AJ27" s="55">
        <v>256</v>
      </c>
      <c r="AK27" s="55">
        <v>-599</v>
      </c>
    </row>
    <row r="28" spans="1:37" x14ac:dyDescent="0.25">
      <c r="A28" s="22"/>
      <c r="B28" s="51" t="s">
        <v>159</v>
      </c>
      <c r="C28" s="56">
        <v>287</v>
      </c>
      <c r="D28" s="56">
        <v>-7033</v>
      </c>
      <c r="E28" s="56">
        <v>-10806</v>
      </c>
      <c r="F28" s="55">
        <v>-5130</v>
      </c>
      <c r="G28" s="55">
        <v>-22682</v>
      </c>
      <c r="H28" s="55">
        <v>-8708</v>
      </c>
      <c r="I28" s="55">
        <v>7276</v>
      </c>
      <c r="J28" s="55">
        <v>145</v>
      </c>
      <c r="K28" s="55">
        <v>419</v>
      </c>
      <c r="L28" s="55">
        <v>-782</v>
      </c>
      <c r="M28" s="55">
        <v>0</v>
      </c>
      <c r="N28" s="55">
        <v>425</v>
      </c>
      <c r="O28" s="55">
        <v>0</v>
      </c>
      <c r="P28" s="55">
        <v>-425</v>
      </c>
      <c r="Q28" s="55">
        <v>0</v>
      </c>
      <c r="R28" s="55">
        <v>0</v>
      </c>
      <c r="S28" s="55">
        <v>275</v>
      </c>
      <c r="T28" s="55">
        <v>0</v>
      </c>
      <c r="U28" s="55">
        <v>-6007.0000000000009</v>
      </c>
      <c r="V28" s="55">
        <v>-5732</v>
      </c>
      <c r="W28" s="55">
        <v>3613</v>
      </c>
      <c r="X28" s="55">
        <v>-3522</v>
      </c>
      <c r="Y28" s="55">
        <v>656</v>
      </c>
      <c r="Z28" s="55">
        <v>581</v>
      </c>
      <c r="AA28" s="56">
        <f t="shared" si="0"/>
        <v>1328</v>
      </c>
      <c r="AB28" s="55">
        <v>510</v>
      </c>
      <c r="AC28" s="55">
        <v>2332</v>
      </c>
      <c r="AD28" s="55">
        <v>4964</v>
      </c>
      <c r="AE28" s="55">
        <v>-6842</v>
      </c>
      <c r="AF28" s="55">
        <v>-2412</v>
      </c>
      <c r="AG28" s="55">
        <v>-69</v>
      </c>
      <c r="AH28" s="55">
        <v>2624</v>
      </c>
      <c r="AI28" s="55">
        <v>-792</v>
      </c>
      <c r="AJ28" s="55">
        <v>667</v>
      </c>
      <c r="AK28" s="55">
        <v>382</v>
      </c>
    </row>
    <row r="29" spans="1:37" x14ac:dyDescent="0.25">
      <c r="A29" s="22"/>
      <c r="B29" s="51" t="s">
        <v>160</v>
      </c>
      <c r="C29" s="56">
        <v>0</v>
      </c>
      <c r="D29" s="56">
        <v>0</v>
      </c>
      <c r="E29" s="56">
        <v>0</v>
      </c>
      <c r="F29" s="57">
        <v>0</v>
      </c>
      <c r="G29" s="57">
        <v>0</v>
      </c>
      <c r="H29" s="57">
        <v>568</v>
      </c>
      <c r="I29" s="57">
        <v>-2417</v>
      </c>
      <c r="J29" s="57">
        <v>-387</v>
      </c>
      <c r="K29" s="55">
        <v>-1161</v>
      </c>
      <c r="L29" s="57">
        <v>-3397</v>
      </c>
      <c r="M29" s="57">
        <v>-1186</v>
      </c>
      <c r="N29" s="57">
        <v>1186</v>
      </c>
      <c r="O29" s="55">
        <v>185</v>
      </c>
      <c r="P29" s="55">
        <v>-678</v>
      </c>
      <c r="Q29" s="55">
        <v>-493</v>
      </c>
      <c r="R29" s="55">
        <v>-553</v>
      </c>
      <c r="S29" s="55">
        <v>577</v>
      </c>
      <c r="T29" s="55">
        <v>1392</v>
      </c>
      <c r="U29" s="55">
        <v>1543.0000000000002</v>
      </c>
      <c r="V29" s="55">
        <v>2959</v>
      </c>
      <c r="W29" s="55">
        <v>-957</v>
      </c>
      <c r="X29" s="55">
        <v>32662.999999999996</v>
      </c>
      <c r="Y29" s="55">
        <v>-25125.999999999996</v>
      </c>
      <c r="Z29" s="55">
        <v>-4107</v>
      </c>
      <c r="AA29" s="56">
        <f t="shared" si="0"/>
        <v>2473</v>
      </c>
      <c r="AB29" s="55">
        <v>60243</v>
      </c>
      <c r="AC29" s="55">
        <v>-15289</v>
      </c>
      <c r="AD29" s="55">
        <v>9115</v>
      </c>
      <c r="AE29" s="55">
        <v>-12131</v>
      </c>
      <c r="AF29" s="55">
        <v>-1065</v>
      </c>
      <c r="AG29" s="55">
        <v>1732</v>
      </c>
      <c r="AH29" s="55">
        <v>-869</v>
      </c>
      <c r="AI29" s="55">
        <v>-241</v>
      </c>
      <c r="AJ29" s="55">
        <v>-485</v>
      </c>
      <c r="AK29" s="55">
        <v>741</v>
      </c>
    </row>
    <row r="30" spans="1:37" x14ac:dyDescent="0.25">
      <c r="A30" s="22"/>
      <c r="B30" s="51" t="s">
        <v>161</v>
      </c>
      <c r="C30" s="56">
        <v>0</v>
      </c>
      <c r="D30" s="56">
        <v>0</v>
      </c>
      <c r="E30" s="56">
        <v>677</v>
      </c>
      <c r="F30" s="57">
        <v>679</v>
      </c>
      <c r="G30" s="57">
        <v>1356</v>
      </c>
      <c r="H30" s="57">
        <v>678</v>
      </c>
      <c r="I30" s="57">
        <v>679</v>
      </c>
      <c r="J30" s="57">
        <v>739</v>
      </c>
      <c r="K30" s="55">
        <v>739</v>
      </c>
      <c r="L30" s="57">
        <v>2835</v>
      </c>
      <c r="M30" s="57">
        <v>924</v>
      </c>
      <c r="N30" s="57">
        <v>1291</v>
      </c>
      <c r="O30" s="55">
        <v>0</v>
      </c>
      <c r="P30" s="55">
        <v>0</v>
      </c>
      <c r="Q30" s="55">
        <v>2215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4584</v>
      </c>
      <c r="Z30" s="55">
        <v>690</v>
      </c>
      <c r="AA30" s="56">
        <f t="shared" si="0"/>
        <v>5274</v>
      </c>
      <c r="AB30" s="55">
        <v>882</v>
      </c>
      <c r="AC30" s="55">
        <v>603</v>
      </c>
      <c r="AD30" s="55">
        <v>425</v>
      </c>
      <c r="AE30" s="55">
        <v>1763</v>
      </c>
      <c r="AF30" s="55">
        <v>418</v>
      </c>
      <c r="AG30" s="55">
        <v>128.38632999999993</v>
      </c>
      <c r="AH30" s="55">
        <v>1912</v>
      </c>
      <c r="AI30" s="55">
        <v>838</v>
      </c>
      <c r="AJ30" s="55">
        <v>1669</v>
      </c>
      <c r="AK30" s="55">
        <v>-339</v>
      </c>
    </row>
    <row r="31" spans="1:37" x14ac:dyDescent="0.25">
      <c r="A31" s="22"/>
      <c r="B31" s="51" t="s">
        <v>368</v>
      </c>
      <c r="C31" s="56">
        <v>-8800</v>
      </c>
      <c r="D31" s="56">
        <v>0</v>
      </c>
      <c r="E31" s="56">
        <v>0</v>
      </c>
      <c r="F31" s="57">
        <v>0</v>
      </c>
      <c r="G31" s="57"/>
      <c r="H31" s="57">
        <v>0</v>
      </c>
      <c r="I31" s="57">
        <v>0</v>
      </c>
      <c r="J31" s="57">
        <v>0</v>
      </c>
      <c r="K31" s="55">
        <v>0</v>
      </c>
      <c r="L31" s="57">
        <v>0</v>
      </c>
      <c r="M31" s="57">
        <v>0</v>
      </c>
      <c r="N31" s="57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/>
      <c r="Z31" s="55"/>
      <c r="AA31" s="56">
        <f t="shared" si="0"/>
        <v>0</v>
      </c>
      <c r="AB31" s="55"/>
      <c r="AC31" s="55"/>
      <c r="AD31" s="55"/>
      <c r="AE31" s="55"/>
      <c r="AF31" s="55"/>
      <c r="AG31" s="55"/>
      <c r="AH31" s="55"/>
      <c r="AI31" s="55"/>
      <c r="AJ31" s="55">
        <v>3227</v>
      </c>
      <c r="AK31" s="55">
        <v>635</v>
      </c>
    </row>
    <row r="32" spans="1:37" x14ac:dyDescent="0.25">
      <c r="A32" s="22"/>
      <c r="B32" s="51" t="s">
        <v>162</v>
      </c>
      <c r="C32" s="56">
        <v>-636</v>
      </c>
      <c r="D32" s="56">
        <v>-460</v>
      </c>
      <c r="E32" s="56">
        <v>-679</v>
      </c>
      <c r="F32" s="57">
        <v>-494</v>
      </c>
      <c r="G32" s="57">
        <v>-2269</v>
      </c>
      <c r="H32" s="57">
        <v>-1445</v>
      </c>
      <c r="I32" s="57">
        <v>-517</v>
      </c>
      <c r="J32" s="57">
        <v>-547</v>
      </c>
      <c r="K32" s="55">
        <v>-517</v>
      </c>
      <c r="L32" s="57">
        <v>-3026</v>
      </c>
      <c r="M32" s="57">
        <v>-520</v>
      </c>
      <c r="N32" s="57">
        <v>1046</v>
      </c>
      <c r="O32" s="55">
        <v>-234</v>
      </c>
      <c r="P32" s="55">
        <v>-221</v>
      </c>
      <c r="Q32" s="55">
        <v>71</v>
      </c>
      <c r="R32" s="55">
        <v>-193</v>
      </c>
      <c r="S32" s="55">
        <v>-196</v>
      </c>
      <c r="T32" s="55">
        <v>-15</v>
      </c>
      <c r="U32" s="55">
        <v>-101.99999999999999</v>
      </c>
      <c r="V32" s="55">
        <v>-506</v>
      </c>
      <c r="W32" s="55">
        <v>112</v>
      </c>
      <c r="X32" s="55">
        <v>-118.00000000000001</v>
      </c>
      <c r="Y32" s="55">
        <v>-92</v>
      </c>
      <c r="Z32" s="55">
        <v>-668</v>
      </c>
      <c r="AA32" s="56">
        <f t="shared" si="0"/>
        <v>-766</v>
      </c>
      <c r="AB32" s="55">
        <v>-478</v>
      </c>
      <c r="AC32" s="55">
        <v>-369</v>
      </c>
      <c r="AD32" s="55">
        <v>807</v>
      </c>
      <c r="AE32" s="55">
        <v>-1255</v>
      </c>
      <c r="AF32" s="55">
        <v>-53</v>
      </c>
      <c r="AG32" s="55">
        <v>-238.68693999999999</v>
      </c>
      <c r="AH32" s="55">
        <v>-229.52857999999998</v>
      </c>
      <c r="AI32" s="55">
        <v>-238.78448000000003</v>
      </c>
      <c r="AJ32" s="55">
        <v>-387</v>
      </c>
      <c r="AK32" s="55">
        <v>-255</v>
      </c>
    </row>
    <row r="33" spans="1:37" x14ac:dyDescent="0.25">
      <c r="A33" s="22"/>
      <c r="B33" s="51" t="s">
        <v>369</v>
      </c>
      <c r="C33" s="56"/>
      <c r="D33" s="56"/>
      <c r="E33" s="56"/>
      <c r="F33" s="57"/>
      <c r="G33" s="57"/>
      <c r="H33" s="57"/>
      <c r="I33" s="57"/>
      <c r="J33" s="57"/>
      <c r="K33" s="55"/>
      <c r="L33" s="57">
        <v>0</v>
      </c>
      <c r="M33" s="57">
        <v>0</v>
      </c>
      <c r="N33" s="57">
        <v>0</v>
      </c>
      <c r="O33" s="55">
        <v>0</v>
      </c>
      <c r="P33" s="55">
        <v>84</v>
      </c>
      <c r="Q33" s="55">
        <v>84</v>
      </c>
      <c r="R33" s="55">
        <v>0</v>
      </c>
      <c r="S33" s="55">
        <v>0</v>
      </c>
      <c r="T33" s="55">
        <v>0</v>
      </c>
      <c r="U33" s="55">
        <v>-3253</v>
      </c>
      <c r="V33" s="55">
        <v>-3253</v>
      </c>
      <c r="W33" s="55">
        <v>0</v>
      </c>
      <c r="X33" s="55">
        <v>0</v>
      </c>
      <c r="Y33" s="55"/>
      <c r="Z33" s="55"/>
      <c r="AA33" s="56">
        <f t="shared" si="0"/>
        <v>0</v>
      </c>
      <c r="AB33" s="55">
        <v>0</v>
      </c>
      <c r="AC33" s="55">
        <v>0</v>
      </c>
      <c r="AD33" s="55">
        <v>0</v>
      </c>
      <c r="AE33" s="55">
        <v>0</v>
      </c>
      <c r="AF33" s="55">
        <v>0</v>
      </c>
      <c r="AG33" s="55">
        <v>0</v>
      </c>
      <c r="AH33" s="55">
        <v>0</v>
      </c>
      <c r="AI33" s="55">
        <v>0</v>
      </c>
      <c r="AJ33" s="55">
        <v>-137004</v>
      </c>
      <c r="AK33" s="55">
        <v>0</v>
      </c>
    </row>
    <row r="34" spans="1:37" x14ac:dyDescent="0.25">
      <c r="A34" s="22"/>
      <c r="B34" s="51" t="s">
        <v>163</v>
      </c>
      <c r="C34" s="56">
        <v>804</v>
      </c>
      <c r="D34" s="56">
        <v>7009</v>
      </c>
      <c r="E34" s="56">
        <v>4774</v>
      </c>
      <c r="F34" s="57">
        <v>1005</v>
      </c>
      <c r="G34" s="57">
        <v>13592</v>
      </c>
      <c r="H34" s="57">
        <v>2041</v>
      </c>
      <c r="I34" s="57">
        <v>-1987</v>
      </c>
      <c r="J34" s="57">
        <v>1954</v>
      </c>
      <c r="K34" s="55">
        <v>7184</v>
      </c>
      <c r="L34" s="57">
        <v>9192</v>
      </c>
      <c r="M34" s="57">
        <v>-533</v>
      </c>
      <c r="N34" s="57">
        <v>1623</v>
      </c>
      <c r="O34" s="55">
        <v>1251</v>
      </c>
      <c r="P34" s="55">
        <v>3188</v>
      </c>
      <c r="Q34" s="55">
        <v>5529</v>
      </c>
      <c r="R34" s="55">
        <v>13368</v>
      </c>
      <c r="S34" s="55">
        <v>-6686</v>
      </c>
      <c r="T34" s="55">
        <v>3381</v>
      </c>
      <c r="U34" s="55">
        <v>2929.9999999999995</v>
      </c>
      <c r="V34" s="55">
        <v>12993</v>
      </c>
      <c r="W34" s="55">
        <v>-584</v>
      </c>
      <c r="X34" s="55">
        <v>728</v>
      </c>
      <c r="Y34" s="55">
        <v>-1087</v>
      </c>
      <c r="Z34" s="55">
        <v>797</v>
      </c>
      <c r="AA34" s="56">
        <f t="shared" si="0"/>
        <v>-146</v>
      </c>
      <c r="AB34" s="55">
        <v>-2808</v>
      </c>
      <c r="AC34" s="55">
        <v>1958</v>
      </c>
      <c r="AD34" s="55">
        <v>10670</v>
      </c>
      <c r="AE34" s="55">
        <v>24009</v>
      </c>
      <c r="AF34" s="55">
        <v>7751</v>
      </c>
      <c r="AG34" s="55">
        <v>15180</v>
      </c>
      <c r="AH34" s="55">
        <v>18326</v>
      </c>
      <c r="AI34" s="55">
        <v>68815</v>
      </c>
      <c r="AJ34" s="55">
        <v>13602</v>
      </c>
      <c r="AK34" s="55">
        <v>9611</v>
      </c>
    </row>
    <row r="35" spans="1:37" x14ac:dyDescent="0.25">
      <c r="A35" s="22"/>
      <c r="B35" s="60" t="s">
        <v>50</v>
      </c>
      <c r="C35" s="56">
        <v>0</v>
      </c>
      <c r="D35" s="56">
        <v>0</v>
      </c>
      <c r="E35" s="56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5">
        <v>0</v>
      </c>
      <c r="L35" s="57">
        <v>0</v>
      </c>
      <c r="M35" s="57">
        <v>0</v>
      </c>
      <c r="N35" s="57">
        <v>0</v>
      </c>
      <c r="O35" s="55">
        <v>0</v>
      </c>
      <c r="P35" s="55">
        <v>0</v>
      </c>
      <c r="Q35" s="55">
        <v>0</v>
      </c>
      <c r="R35" s="57">
        <v>0</v>
      </c>
      <c r="S35" s="57">
        <v>304</v>
      </c>
      <c r="T35" s="55">
        <f>-1179</f>
        <v>-1179</v>
      </c>
      <c r="U35" s="55">
        <v>447.99999999999994</v>
      </c>
      <c r="V35" s="55">
        <v>1845</v>
      </c>
      <c r="W35" s="55">
        <v>109</v>
      </c>
      <c r="X35" s="55">
        <v>96.999999999999986</v>
      </c>
      <c r="Y35" s="55"/>
      <c r="Z35" s="55"/>
      <c r="AA35" s="56">
        <f t="shared" si="0"/>
        <v>206</v>
      </c>
      <c r="AB35" s="55"/>
      <c r="AC35" s="55"/>
      <c r="AD35" s="55"/>
      <c r="AE35" s="55"/>
      <c r="AF35" s="55"/>
      <c r="AG35" s="55"/>
      <c r="AH35" s="55"/>
      <c r="AI35" s="55"/>
      <c r="AJ35" s="55"/>
      <c r="AK35" s="55">
        <v>-454</v>
      </c>
    </row>
    <row r="36" spans="1:37" x14ac:dyDescent="0.25">
      <c r="A36" s="27"/>
      <c r="B36" s="61" t="s">
        <v>370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5"/>
      <c r="K36" s="55"/>
      <c r="L36" s="55"/>
      <c r="M36" s="57">
        <v>0</v>
      </c>
      <c r="N36" s="57">
        <v>0</v>
      </c>
      <c r="O36" s="55">
        <v>0</v>
      </c>
      <c r="P36" s="55">
        <v>0</v>
      </c>
      <c r="Q36" s="55">
        <v>0</v>
      </c>
      <c r="R36" s="57">
        <v>0</v>
      </c>
      <c r="S36" s="57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/>
      <c r="AA36" s="56">
        <f t="shared" si="0"/>
        <v>0</v>
      </c>
      <c r="AB36" s="55"/>
      <c r="AC36" s="55"/>
      <c r="AD36" s="55"/>
      <c r="AE36" s="55"/>
      <c r="AF36" s="55"/>
      <c r="AG36" s="55"/>
      <c r="AH36" s="55"/>
      <c r="AI36" s="55"/>
      <c r="AJ36" s="55">
        <v>10271</v>
      </c>
      <c r="AK36" s="55">
        <v>0</v>
      </c>
    </row>
    <row r="37" spans="1:37" x14ac:dyDescent="0.25">
      <c r="A37" s="27"/>
      <c r="B37" s="61" t="s">
        <v>164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7">
        <v>0</v>
      </c>
      <c r="S37" s="57">
        <v>0</v>
      </c>
      <c r="T37" s="55">
        <v>1397</v>
      </c>
      <c r="U37" s="55">
        <v>3567</v>
      </c>
      <c r="V37" s="55">
        <v>3567</v>
      </c>
      <c r="W37" s="55">
        <v>3185</v>
      </c>
      <c r="X37" s="55">
        <v>-39718</v>
      </c>
      <c r="Y37" s="55">
        <v>47.999999999999709</v>
      </c>
      <c r="Z37" s="55">
        <v>-9391</v>
      </c>
      <c r="AA37" s="56">
        <f t="shared" si="0"/>
        <v>-45876</v>
      </c>
      <c r="AB37" s="55">
        <v>-1003</v>
      </c>
      <c r="AC37" s="55">
        <v>-333</v>
      </c>
      <c r="AD37" s="55">
        <v>34281</v>
      </c>
      <c r="AE37" s="55">
        <v>77810</v>
      </c>
      <c r="AF37" s="55">
        <v>-1153</v>
      </c>
      <c r="AG37" s="55">
        <v>-2029</v>
      </c>
      <c r="AH37" s="55">
        <v>-4774</v>
      </c>
      <c r="AI37" s="55">
        <v>-12774</v>
      </c>
      <c r="AJ37" s="55">
        <v>1544.8439999999994</v>
      </c>
      <c r="AK37" s="55">
        <v>-1337.8439999999994</v>
      </c>
    </row>
    <row r="38" spans="1:37" ht="16.5" customHeight="1" x14ac:dyDescent="0.25">
      <c r="A38" s="22"/>
      <c r="B38" s="62" t="s">
        <v>165</v>
      </c>
      <c r="C38" s="63">
        <v>42781</v>
      </c>
      <c r="D38" s="63">
        <v>51350</v>
      </c>
      <c r="E38" s="63">
        <v>63866</v>
      </c>
      <c r="F38" s="63">
        <v>60232</v>
      </c>
      <c r="G38" s="63">
        <v>218229</v>
      </c>
      <c r="H38" s="63">
        <v>63428</v>
      </c>
      <c r="I38" s="63">
        <v>74771</v>
      </c>
      <c r="J38" s="63">
        <v>92899</v>
      </c>
      <c r="K38" s="63">
        <f>SUM(K13:K36)</f>
        <v>82699</v>
      </c>
      <c r="L38" s="63">
        <f>SUM(L13:L37)</f>
        <v>313797</v>
      </c>
      <c r="M38" s="63">
        <f>SUM(M13:M37)</f>
        <v>68128</v>
      </c>
      <c r="N38" s="63">
        <f>SUM(N13:N37)</f>
        <v>75688</v>
      </c>
      <c r="O38" s="63">
        <f>SUM(O13:O37)</f>
        <v>100034</v>
      </c>
      <c r="P38" s="63">
        <v>82022</v>
      </c>
      <c r="Q38" s="63">
        <f t="shared" ref="Q38:W38" si="1">SUM(Q13:Q37)</f>
        <v>325872</v>
      </c>
      <c r="R38" s="63">
        <f t="shared" si="1"/>
        <v>74282</v>
      </c>
      <c r="S38" s="63">
        <f t="shared" si="1"/>
        <v>19419</v>
      </c>
      <c r="T38" s="63">
        <f t="shared" si="1"/>
        <v>60627</v>
      </c>
      <c r="U38" s="63">
        <f t="shared" si="1"/>
        <v>85221.65</v>
      </c>
      <c r="V38" s="63">
        <f t="shared" si="1"/>
        <v>240420</v>
      </c>
      <c r="W38" s="63">
        <f t="shared" si="1"/>
        <v>59861</v>
      </c>
      <c r="X38" s="63">
        <f>SUM(X13:X37)</f>
        <v>72470.179340000002</v>
      </c>
      <c r="Y38" s="63">
        <f>SUM(Y13:Y37)</f>
        <v>107674</v>
      </c>
      <c r="Z38" s="63">
        <f>SUM(Z13:Z37)</f>
        <v>96643</v>
      </c>
      <c r="AA38" s="63">
        <f t="shared" si="0"/>
        <v>336648.17934000003</v>
      </c>
      <c r="AB38" s="63">
        <f t="shared" ref="AB38:AE38" si="2">SUM(AB13:AB37)</f>
        <v>111141</v>
      </c>
      <c r="AC38" s="63">
        <f t="shared" si="2"/>
        <v>152825.99979999999</v>
      </c>
      <c r="AD38" s="63">
        <f t="shared" si="2"/>
        <v>144462</v>
      </c>
      <c r="AE38" s="63">
        <f t="shared" si="2"/>
        <v>161901.32500000001</v>
      </c>
      <c r="AF38" s="63">
        <v>156792.99979999999</v>
      </c>
      <c r="AG38" s="63">
        <v>153362.69938999999</v>
      </c>
      <c r="AH38" s="63">
        <v>142096.25456999999</v>
      </c>
      <c r="AI38" s="63">
        <v>189612.35236999998</v>
      </c>
      <c r="AJ38" s="63">
        <v>139902.1018</v>
      </c>
      <c r="AK38" s="63">
        <f t="shared" ref="AK38" si="3">SUM(AK13:AK37)</f>
        <v>121092.898</v>
      </c>
    </row>
    <row r="39" spans="1:37" x14ac:dyDescent="0.25">
      <c r="A39" s="22"/>
      <c r="B39" s="47"/>
      <c r="C39" s="47"/>
      <c r="D39" s="48"/>
      <c r="E39" s="48"/>
      <c r="F39" s="48"/>
      <c r="G39" s="48"/>
      <c r="H39" s="48"/>
      <c r="I39" s="48"/>
      <c r="J39" s="48"/>
      <c r="K39" s="48"/>
      <c r="L39" s="48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Z39" s="64"/>
      <c r="AA39" s="56"/>
    </row>
    <row r="40" spans="1:37" x14ac:dyDescent="0.25">
      <c r="A40" s="22"/>
      <c r="B40" s="51" t="s">
        <v>45</v>
      </c>
      <c r="C40" s="65">
        <v>-279</v>
      </c>
      <c r="D40" s="66">
        <v>-29736</v>
      </c>
      <c r="E40" s="66">
        <v>-23740</v>
      </c>
      <c r="F40" s="67">
        <v>18767</v>
      </c>
      <c r="G40" s="67">
        <v>-34988</v>
      </c>
      <c r="H40" s="67">
        <v>17053</v>
      </c>
      <c r="I40" s="67">
        <v>-40110</v>
      </c>
      <c r="J40" s="67">
        <v>-23423</v>
      </c>
      <c r="K40" s="67">
        <v>14417</v>
      </c>
      <c r="L40" s="68">
        <v>-32063</v>
      </c>
      <c r="M40" s="67">
        <v>-27699</v>
      </c>
      <c r="N40" s="67">
        <v>-6938</v>
      </c>
      <c r="O40" s="56">
        <v>-20458</v>
      </c>
      <c r="P40" s="55">
        <v>30334</v>
      </c>
      <c r="Q40" s="56">
        <v>-24761</v>
      </c>
      <c r="R40" s="56">
        <v>17391</v>
      </c>
      <c r="S40" s="56">
        <v>3318</v>
      </c>
      <c r="T40" s="55">
        <v>-39589</v>
      </c>
      <c r="U40" s="55">
        <v>72735</v>
      </c>
      <c r="V40" s="55">
        <v>53855</v>
      </c>
      <c r="W40" s="55">
        <v>-44494</v>
      </c>
      <c r="X40" s="55">
        <v>-38524</v>
      </c>
      <c r="Y40" s="55">
        <v>-15730.000000000004</v>
      </c>
      <c r="Z40" s="55">
        <v>71163</v>
      </c>
      <c r="AA40" s="56">
        <f t="shared" si="0"/>
        <v>-27585</v>
      </c>
      <c r="AB40" s="55">
        <v>-34508</v>
      </c>
      <c r="AC40" s="55">
        <v>8663</v>
      </c>
      <c r="AD40" s="55">
        <v>-31668</v>
      </c>
      <c r="AE40" s="55">
        <v>-4382</v>
      </c>
      <c r="AF40" s="55">
        <v>-62274</v>
      </c>
      <c r="AG40" s="55">
        <v>-32131</v>
      </c>
      <c r="AH40" s="55">
        <v>26456.857327990539</v>
      </c>
      <c r="AI40" s="55">
        <v>27711.159964021615</v>
      </c>
      <c r="AJ40" s="55">
        <v>-8467.2615309022749</v>
      </c>
      <c r="AK40" s="55">
        <v>22457.244493950777</v>
      </c>
    </row>
    <row r="41" spans="1:37" x14ac:dyDescent="0.25">
      <c r="A41" s="22"/>
      <c r="B41" s="51" t="s">
        <v>28</v>
      </c>
      <c r="C41" s="65">
        <v>-6945</v>
      </c>
      <c r="D41" s="66">
        <v>-9563</v>
      </c>
      <c r="E41" s="66">
        <v>5682</v>
      </c>
      <c r="F41" s="67">
        <v>-513</v>
      </c>
      <c r="G41" s="67">
        <v>-11339</v>
      </c>
      <c r="H41" s="67">
        <v>-7345</v>
      </c>
      <c r="I41" s="67">
        <v>-5506</v>
      </c>
      <c r="J41" s="67">
        <v>4782</v>
      </c>
      <c r="K41" s="67">
        <v>-7897</v>
      </c>
      <c r="L41" s="68">
        <v>-15966</v>
      </c>
      <c r="M41" s="67">
        <v>7205</v>
      </c>
      <c r="N41" s="67">
        <v>845</v>
      </c>
      <c r="O41" s="56">
        <v>10759</v>
      </c>
      <c r="P41" s="55">
        <v>-3673</v>
      </c>
      <c r="Q41" s="56">
        <v>15136</v>
      </c>
      <c r="R41" s="56">
        <v>32659</v>
      </c>
      <c r="S41" s="56">
        <v>-9410</v>
      </c>
      <c r="T41" s="55">
        <v>-11224</v>
      </c>
      <c r="U41" s="55">
        <v>8129</v>
      </c>
      <c r="V41" s="55">
        <v>20154</v>
      </c>
      <c r="W41" s="55">
        <v>-2637</v>
      </c>
      <c r="X41" s="55">
        <v>-4364.0000000000009</v>
      </c>
      <c r="Y41" s="55">
        <v>-21.999999999999353</v>
      </c>
      <c r="Z41" s="55">
        <v>-16034</v>
      </c>
      <c r="AA41" s="56">
        <f t="shared" si="0"/>
        <v>-23057</v>
      </c>
      <c r="AB41" s="55">
        <v>-11452</v>
      </c>
      <c r="AC41" s="55">
        <v>13693</v>
      </c>
      <c r="AD41" s="55">
        <v>-3927</v>
      </c>
      <c r="AE41" s="55">
        <v>-19057</v>
      </c>
      <c r="AF41" s="55">
        <v>4559</v>
      </c>
      <c r="AG41" s="55">
        <v>10048</v>
      </c>
      <c r="AH41" s="55">
        <v>22688</v>
      </c>
      <c r="AI41" s="55">
        <v>-38013</v>
      </c>
      <c r="AJ41" s="55">
        <v>-7608</v>
      </c>
      <c r="AK41" s="55">
        <v>-12955</v>
      </c>
    </row>
    <row r="42" spans="1:37" x14ac:dyDescent="0.25">
      <c r="A42" s="22"/>
      <c r="B42" s="51" t="s">
        <v>1</v>
      </c>
      <c r="C42" s="65">
        <v>4208</v>
      </c>
      <c r="D42" s="66">
        <v>-4557</v>
      </c>
      <c r="E42" s="66">
        <v>3419</v>
      </c>
      <c r="F42" s="67">
        <v>6082</v>
      </c>
      <c r="G42" s="67">
        <v>9152</v>
      </c>
      <c r="H42" s="67">
        <v>-5048</v>
      </c>
      <c r="I42" s="67">
        <v>-12676</v>
      </c>
      <c r="J42" s="67">
        <v>-6697</v>
      </c>
      <c r="K42" s="67">
        <v>7403</v>
      </c>
      <c r="L42" s="68">
        <v>-17018</v>
      </c>
      <c r="M42" s="67">
        <v>-15785</v>
      </c>
      <c r="N42" s="67">
        <v>-48610</v>
      </c>
      <c r="O42" s="56">
        <v>-26442</v>
      </c>
      <c r="P42" s="55">
        <v>7222</v>
      </c>
      <c r="Q42" s="56">
        <v>-83615</v>
      </c>
      <c r="R42" s="56">
        <v>-2823</v>
      </c>
      <c r="S42" s="56">
        <v>7693</v>
      </c>
      <c r="T42" s="55">
        <v>-12077</v>
      </c>
      <c r="U42" s="55">
        <v>-11251.999999999998</v>
      </c>
      <c r="V42" s="55">
        <v>-18459</v>
      </c>
      <c r="W42" s="55">
        <v>-40905</v>
      </c>
      <c r="X42" s="55">
        <v>-25346.000000000004</v>
      </c>
      <c r="Y42" s="55">
        <v>33316</v>
      </c>
      <c r="Z42" s="55">
        <v>-13776</v>
      </c>
      <c r="AA42" s="56">
        <f t="shared" si="0"/>
        <v>-46711</v>
      </c>
      <c r="AB42" s="55">
        <v>-6344</v>
      </c>
      <c r="AC42" s="55">
        <v>-71137</v>
      </c>
      <c r="AD42" s="55">
        <v>-41332</v>
      </c>
      <c r="AE42" s="55">
        <v>-73135</v>
      </c>
      <c r="AF42" s="55">
        <v>-26620</v>
      </c>
      <c r="AG42" s="55">
        <v>-19908</v>
      </c>
      <c r="AH42" s="55">
        <v>15914</v>
      </c>
      <c r="AI42" s="55">
        <v>36828.374716795035</v>
      </c>
      <c r="AJ42" s="55">
        <v>-66922.518770158276</v>
      </c>
      <c r="AK42" s="55">
        <v>28249.519944297994</v>
      </c>
    </row>
    <row r="43" spans="1:37" x14ac:dyDescent="0.25">
      <c r="A43" s="22"/>
      <c r="B43" s="51" t="s">
        <v>3</v>
      </c>
      <c r="C43" s="65">
        <v>747</v>
      </c>
      <c r="D43" s="66">
        <v>-152</v>
      </c>
      <c r="E43" s="66">
        <v>1093</v>
      </c>
      <c r="F43" s="67">
        <v>15</v>
      </c>
      <c r="G43" s="67">
        <v>1703</v>
      </c>
      <c r="H43" s="67">
        <v>3281</v>
      </c>
      <c r="I43" s="67">
        <v>-2307</v>
      </c>
      <c r="J43" s="67">
        <v>1053</v>
      </c>
      <c r="K43" s="67">
        <v>1074</v>
      </c>
      <c r="L43" s="68">
        <v>3101</v>
      </c>
      <c r="M43" s="67">
        <v>779</v>
      </c>
      <c r="N43" s="67">
        <v>-1497</v>
      </c>
      <c r="O43" s="56">
        <v>1278</v>
      </c>
      <c r="P43" s="55">
        <v>1630</v>
      </c>
      <c r="Q43" s="56">
        <v>2190</v>
      </c>
      <c r="R43" s="56">
        <v>4583</v>
      </c>
      <c r="S43" s="56">
        <v>570</v>
      </c>
      <c r="T43" s="55">
        <v>10468</v>
      </c>
      <c r="U43" s="55">
        <v>903.00000000000045</v>
      </c>
      <c r="V43" s="55">
        <v>16524</v>
      </c>
      <c r="W43" s="55">
        <v>-187</v>
      </c>
      <c r="X43" s="55">
        <v>2299</v>
      </c>
      <c r="Y43" s="55">
        <v>246.99999999999989</v>
      </c>
      <c r="Z43" s="55">
        <v>-21631</v>
      </c>
      <c r="AA43" s="56">
        <f t="shared" si="0"/>
        <v>-19272</v>
      </c>
      <c r="AB43" s="55">
        <v>20992</v>
      </c>
      <c r="AC43" s="55">
        <v>-712</v>
      </c>
      <c r="AD43" s="55">
        <v>113</v>
      </c>
      <c r="AE43" s="55">
        <v>1988</v>
      </c>
      <c r="AF43" s="55">
        <v>45</v>
      </c>
      <c r="AG43" s="55">
        <v>-1445.31306</v>
      </c>
      <c r="AH43" s="55">
        <v>-16.47142000000008</v>
      </c>
      <c r="AI43" s="55">
        <v>670.35481430900006</v>
      </c>
      <c r="AJ43" s="55">
        <v>-31</v>
      </c>
      <c r="AK43" s="55">
        <v>-322</v>
      </c>
    </row>
    <row r="44" spans="1:37" x14ac:dyDescent="0.25">
      <c r="A44" s="22"/>
      <c r="B44" s="51" t="s">
        <v>27</v>
      </c>
      <c r="C44" s="65">
        <v>-8253</v>
      </c>
      <c r="D44" s="66">
        <v>-12481</v>
      </c>
      <c r="E44" s="66">
        <v>2704</v>
      </c>
      <c r="F44" s="67">
        <v>-4928</v>
      </c>
      <c r="G44" s="67">
        <v>-22958</v>
      </c>
      <c r="H44" s="67">
        <v>1287</v>
      </c>
      <c r="I44" s="67">
        <v>2407</v>
      </c>
      <c r="J44" s="67">
        <v>1546</v>
      </c>
      <c r="K44" s="67">
        <v>4842</v>
      </c>
      <c r="L44" s="68">
        <v>10082</v>
      </c>
      <c r="M44" s="67">
        <v>-289</v>
      </c>
      <c r="N44" s="67">
        <v>-7430</v>
      </c>
      <c r="O44" s="56">
        <v>-19125</v>
      </c>
      <c r="P44" s="55">
        <v>12244</v>
      </c>
      <c r="Q44" s="56">
        <v>-14600</v>
      </c>
      <c r="R44" s="56">
        <v>-9943</v>
      </c>
      <c r="S44" s="56">
        <v>21277</v>
      </c>
      <c r="T44" s="55">
        <v>7547</v>
      </c>
      <c r="U44" s="55">
        <v>9434.42</v>
      </c>
      <c r="V44" s="55">
        <v>28315</v>
      </c>
      <c r="W44" s="55">
        <v>-8154.4199999999983</v>
      </c>
      <c r="X44" s="55">
        <v>14008</v>
      </c>
      <c r="Y44" s="55">
        <v>5970</v>
      </c>
      <c r="Z44" s="55">
        <v>-1229</v>
      </c>
      <c r="AA44" s="56">
        <f t="shared" si="0"/>
        <v>10594.580000000002</v>
      </c>
      <c r="AB44" s="55">
        <v>-10505</v>
      </c>
      <c r="AC44" s="55">
        <v>9859</v>
      </c>
      <c r="AD44" s="55">
        <v>-6760</v>
      </c>
      <c r="AE44" s="55">
        <v>256600</v>
      </c>
      <c r="AF44" s="55">
        <v>13138</v>
      </c>
      <c r="AG44" s="55">
        <v>35122</v>
      </c>
      <c r="AH44" s="55">
        <v>22055</v>
      </c>
      <c r="AI44" s="55">
        <v>5148</v>
      </c>
      <c r="AJ44" s="55">
        <v>-20395</v>
      </c>
      <c r="AK44" s="55">
        <v>12272</v>
      </c>
    </row>
    <row r="45" spans="1:37" x14ac:dyDescent="0.25">
      <c r="A45" s="22"/>
      <c r="B45" s="51" t="s">
        <v>76</v>
      </c>
      <c r="C45" s="65">
        <v>0</v>
      </c>
      <c r="D45" s="66">
        <v>-22705</v>
      </c>
      <c r="E45" s="66">
        <v>537</v>
      </c>
      <c r="F45" s="67">
        <v>22168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8">
        <v>0</v>
      </c>
      <c r="M45" s="67">
        <v>0</v>
      </c>
      <c r="N45" s="67">
        <v>0</v>
      </c>
      <c r="O45" s="56">
        <v>0</v>
      </c>
      <c r="P45" s="55">
        <v>0</v>
      </c>
      <c r="Q45" s="56">
        <v>0</v>
      </c>
      <c r="R45" s="56">
        <v>0</v>
      </c>
      <c r="S45" s="56">
        <v>0</v>
      </c>
      <c r="T45" s="55">
        <v>0</v>
      </c>
      <c r="U45" s="55">
        <v>0</v>
      </c>
      <c r="V45" s="55">
        <v>0</v>
      </c>
      <c r="W45" s="55">
        <v>0</v>
      </c>
      <c r="X45" s="55">
        <v>0</v>
      </c>
      <c r="Y45" s="55">
        <v>0</v>
      </c>
      <c r="Z45" s="55">
        <v>-197</v>
      </c>
      <c r="AA45" s="56">
        <f t="shared" si="0"/>
        <v>-197</v>
      </c>
      <c r="AB45" s="55">
        <v>-1574</v>
      </c>
      <c r="AC45" s="55">
        <v>-279</v>
      </c>
      <c r="AD45" s="55">
        <v>-31</v>
      </c>
      <c r="AE45" s="55">
        <v>1468</v>
      </c>
      <c r="AF45" s="55">
        <v>5</v>
      </c>
      <c r="AG45" s="55">
        <v>188</v>
      </c>
      <c r="AH45" s="55">
        <v>-112</v>
      </c>
      <c r="AI45" s="55">
        <v>19</v>
      </c>
      <c r="AJ45" s="55">
        <v>-83</v>
      </c>
      <c r="AK45" s="55">
        <v>-253</v>
      </c>
    </row>
    <row r="46" spans="1:37" x14ac:dyDescent="0.25">
      <c r="A46" s="22"/>
      <c r="B46" s="51" t="s">
        <v>31</v>
      </c>
      <c r="C46" s="65">
        <v>-30709</v>
      </c>
      <c r="D46" s="66">
        <v>285</v>
      </c>
      <c r="E46" s="66">
        <v>-2489</v>
      </c>
      <c r="F46" s="67">
        <v>-750</v>
      </c>
      <c r="G46" s="67">
        <v>-33663</v>
      </c>
      <c r="H46" s="67">
        <v>-17474</v>
      </c>
      <c r="I46" s="67">
        <v>37799</v>
      </c>
      <c r="J46" s="67">
        <v>-18242</v>
      </c>
      <c r="K46" s="67">
        <v>-16411</v>
      </c>
      <c r="L46" s="68">
        <v>-14328</v>
      </c>
      <c r="M46" s="67">
        <v>24952</v>
      </c>
      <c r="N46" s="67">
        <v>15285</v>
      </c>
      <c r="O46" s="56">
        <v>29988</v>
      </c>
      <c r="P46" s="55">
        <v>-27617</v>
      </c>
      <c r="Q46" s="56">
        <v>42608</v>
      </c>
      <c r="R46" s="56">
        <v>-69557</v>
      </c>
      <c r="S46" s="56">
        <v>17620</v>
      </c>
      <c r="T46" s="55">
        <v>-1470</v>
      </c>
      <c r="U46" s="55">
        <v>16967.999999999996</v>
      </c>
      <c r="V46" s="55">
        <v>-36439</v>
      </c>
      <c r="W46" s="55">
        <v>-26885</v>
      </c>
      <c r="X46" s="55">
        <v>12962.000000000002</v>
      </c>
      <c r="Y46" s="55">
        <v>-26772</v>
      </c>
      <c r="Z46" s="55">
        <v>24560</v>
      </c>
      <c r="AA46" s="56">
        <f t="shared" si="0"/>
        <v>-16135</v>
      </c>
      <c r="AB46" s="55">
        <v>-5725</v>
      </c>
      <c r="AC46" s="55">
        <v>21064</v>
      </c>
      <c r="AD46" s="55">
        <v>-12952</v>
      </c>
      <c r="AE46" s="55">
        <v>31</v>
      </c>
      <c r="AF46" s="55">
        <v>-14650</v>
      </c>
      <c r="AG46" s="55">
        <v>-30093</v>
      </c>
      <c r="AH46" s="55">
        <v>9514</v>
      </c>
      <c r="AI46" s="55">
        <v>39943</v>
      </c>
      <c r="AJ46" s="55">
        <v>-14159</v>
      </c>
      <c r="AK46" s="55">
        <v>-22142.015127803985</v>
      </c>
    </row>
    <row r="47" spans="1:37" x14ac:dyDescent="0.25">
      <c r="A47" s="22"/>
      <c r="B47" s="51" t="s">
        <v>32</v>
      </c>
      <c r="C47" s="65">
        <v>-3241</v>
      </c>
      <c r="D47" s="66">
        <v>573</v>
      </c>
      <c r="E47" s="66">
        <v>7316</v>
      </c>
      <c r="F47" s="67">
        <v>-7965</v>
      </c>
      <c r="G47" s="67">
        <v>-3317</v>
      </c>
      <c r="H47" s="67">
        <v>814</v>
      </c>
      <c r="I47" s="67">
        <v>42</v>
      </c>
      <c r="J47" s="67">
        <v>1086</v>
      </c>
      <c r="K47" s="67">
        <v>-7599</v>
      </c>
      <c r="L47" s="68">
        <v>-5657</v>
      </c>
      <c r="M47" s="67">
        <v>-8131</v>
      </c>
      <c r="N47" s="67">
        <v>4754</v>
      </c>
      <c r="O47" s="56">
        <v>12450</v>
      </c>
      <c r="P47" s="55">
        <v>-3202</v>
      </c>
      <c r="Q47" s="56">
        <v>5871</v>
      </c>
      <c r="R47" s="56">
        <v>-3560</v>
      </c>
      <c r="S47" s="56">
        <v>1076</v>
      </c>
      <c r="T47" s="55">
        <v>3773</v>
      </c>
      <c r="U47" s="55">
        <v>-23908</v>
      </c>
      <c r="V47" s="55">
        <v>-22619</v>
      </c>
      <c r="W47" s="55">
        <v>6908</v>
      </c>
      <c r="X47" s="55">
        <v>15131</v>
      </c>
      <c r="Y47" s="55">
        <v>10927.999999999996</v>
      </c>
      <c r="Z47" s="55">
        <v>6161</v>
      </c>
      <c r="AA47" s="56">
        <f t="shared" si="0"/>
        <v>39128</v>
      </c>
      <c r="AB47" s="55">
        <v>-7912</v>
      </c>
      <c r="AC47" s="55">
        <v>8503</v>
      </c>
      <c r="AD47" s="55">
        <v>22188</v>
      </c>
      <c r="AE47" s="55">
        <v>-15996</v>
      </c>
      <c r="AF47" s="55">
        <v>-5181</v>
      </c>
      <c r="AG47" s="55">
        <v>-2495</v>
      </c>
      <c r="AH47" s="55">
        <v>25660</v>
      </c>
      <c r="AI47" s="55">
        <v>-6934.3796598419667</v>
      </c>
      <c r="AJ47" s="55">
        <v>-19265.920434591044</v>
      </c>
      <c r="AK47" s="55">
        <v>12923.226371336927</v>
      </c>
    </row>
    <row r="48" spans="1:37" x14ac:dyDescent="0.25">
      <c r="A48" s="22"/>
      <c r="B48" s="51" t="s">
        <v>41</v>
      </c>
      <c r="C48" s="65">
        <v>3012</v>
      </c>
      <c r="D48" s="66">
        <v>-357</v>
      </c>
      <c r="E48" s="66">
        <v>-4855</v>
      </c>
      <c r="F48" s="67">
        <v>-3913</v>
      </c>
      <c r="G48" s="67">
        <v>-6113</v>
      </c>
      <c r="H48" s="67">
        <v>1926</v>
      </c>
      <c r="I48" s="67">
        <v>-6276</v>
      </c>
      <c r="J48" s="67">
        <v>2446</v>
      </c>
      <c r="K48" s="67">
        <v>11963</v>
      </c>
      <c r="L48" s="68">
        <v>10059</v>
      </c>
      <c r="M48" s="67">
        <v>1614</v>
      </c>
      <c r="N48" s="67">
        <v>-625</v>
      </c>
      <c r="O48" s="56">
        <v>-8189</v>
      </c>
      <c r="P48" s="55">
        <v>6243</v>
      </c>
      <c r="Q48" s="56">
        <v>-957</v>
      </c>
      <c r="R48" s="56">
        <v>939</v>
      </c>
      <c r="S48" s="56">
        <v>13679</v>
      </c>
      <c r="T48" s="55">
        <v>9907</v>
      </c>
      <c r="U48" s="55">
        <v>-6709</v>
      </c>
      <c r="V48" s="55">
        <v>17816</v>
      </c>
      <c r="W48" s="55">
        <v>-7840</v>
      </c>
      <c r="X48" s="55">
        <v>-2327</v>
      </c>
      <c r="Y48" s="55">
        <v>2967.9999999999991</v>
      </c>
      <c r="Z48" s="55">
        <v>-5184</v>
      </c>
      <c r="AA48" s="56">
        <f t="shared" si="0"/>
        <v>-12383</v>
      </c>
      <c r="AB48" s="55">
        <v>8243</v>
      </c>
      <c r="AC48" s="55">
        <v>-12197</v>
      </c>
      <c r="AD48" s="55">
        <v>3518</v>
      </c>
      <c r="AE48" s="55">
        <v>16624</v>
      </c>
      <c r="AF48" s="55">
        <v>-1404</v>
      </c>
      <c r="AG48" s="55">
        <v>5399</v>
      </c>
      <c r="AH48" s="55">
        <v>12148</v>
      </c>
      <c r="AI48" s="55">
        <v>8419.6939129083912</v>
      </c>
      <c r="AJ48" s="55">
        <v>-3489.8268443910729</v>
      </c>
      <c r="AK48" s="55">
        <v>14754.099067023244</v>
      </c>
    </row>
    <row r="49" spans="1:37" x14ac:dyDescent="0.25">
      <c r="A49" s="22"/>
      <c r="B49" s="51" t="s">
        <v>166</v>
      </c>
      <c r="C49" s="65">
        <v>-6792</v>
      </c>
      <c r="D49" s="66">
        <v>-4701</v>
      </c>
      <c r="E49" s="66">
        <v>-4780</v>
      </c>
      <c r="F49" s="67">
        <v>-5217</v>
      </c>
      <c r="G49" s="67">
        <v>-21490</v>
      </c>
      <c r="H49" s="67">
        <v>-8260</v>
      </c>
      <c r="I49" s="67">
        <v>-6217</v>
      </c>
      <c r="J49" s="67">
        <v>-10640</v>
      </c>
      <c r="K49" s="67">
        <v>-5585</v>
      </c>
      <c r="L49" s="68">
        <v>-30702</v>
      </c>
      <c r="M49" s="67">
        <v>-11002</v>
      </c>
      <c r="N49" s="67">
        <v>-4648</v>
      </c>
      <c r="O49" s="56">
        <v>-8024</v>
      </c>
      <c r="P49" s="55">
        <v>-4203</v>
      </c>
      <c r="Q49" s="56">
        <v>-27877</v>
      </c>
      <c r="R49" s="56">
        <v>-7534</v>
      </c>
      <c r="S49" s="56">
        <v>-210</v>
      </c>
      <c r="T49" s="55">
        <v>-705</v>
      </c>
      <c r="U49" s="55">
        <v>-6053.0000000000009</v>
      </c>
      <c r="V49" s="55">
        <v>-14502</v>
      </c>
      <c r="W49" s="55">
        <v>-4733</v>
      </c>
      <c r="X49" s="55">
        <v>-3491.0000000000005</v>
      </c>
      <c r="Y49" s="55">
        <v>-2644.9999999999995</v>
      </c>
      <c r="Z49" s="55">
        <v>-11272</v>
      </c>
      <c r="AA49" s="56">
        <f t="shared" si="0"/>
        <v>-22141</v>
      </c>
      <c r="AB49" s="55">
        <v>-3204</v>
      </c>
      <c r="AC49" s="55">
        <v>-2959</v>
      </c>
      <c r="AD49" s="55">
        <v>-6054</v>
      </c>
      <c r="AE49" s="55">
        <v>-9257</v>
      </c>
      <c r="AF49" s="55">
        <v>-12944</v>
      </c>
      <c r="AG49" s="55">
        <v>3145</v>
      </c>
      <c r="AH49" s="55">
        <v>-29844</v>
      </c>
      <c r="AI49" s="55">
        <v>27974</v>
      </c>
      <c r="AJ49" s="55">
        <v>-11986</v>
      </c>
      <c r="AK49" s="55">
        <v>-7550</v>
      </c>
    </row>
    <row r="50" spans="1:37" x14ac:dyDescent="0.25">
      <c r="A50" s="22"/>
      <c r="B50" s="58" t="s">
        <v>167</v>
      </c>
      <c r="C50" s="65">
        <v>-4812</v>
      </c>
      <c r="D50" s="66">
        <v>-1630</v>
      </c>
      <c r="E50" s="66">
        <v>-8836</v>
      </c>
      <c r="F50" s="67">
        <v>4966</v>
      </c>
      <c r="G50" s="67">
        <v>-10312</v>
      </c>
      <c r="H50" s="67">
        <v>-1094</v>
      </c>
      <c r="I50" s="67">
        <v>18274</v>
      </c>
      <c r="J50" s="67">
        <v>-5136</v>
      </c>
      <c r="K50" s="67">
        <v>-6313</v>
      </c>
      <c r="L50" s="68">
        <v>5731</v>
      </c>
      <c r="M50" s="67">
        <v>4191</v>
      </c>
      <c r="N50" s="67">
        <v>-790</v>
      </c>
      <c r="O50" s="56">
        <v>18364</v>
      </c>
      <c r="P50" s="55">
        <v>-6139</v>
      </c>
      <c r="Q50" s="56">
        <v>15626</v>
      </c>
      <c r="R50" s="56">
        <v>2407</v>
      </c>
      <c r="S50" s="56">
        <v>-7980</v>
      </c>
      <c r="T50" s="55">
        <v>8104</v>
      </c>
      <c r="U50" s="55">
        <v>-244.00000000000023</v>
      </c>
      <c r="V50" s="55">
        <v>2287</v>
      </c>
      <c r="W50" s="55">
        <v>955</v>
      </c>
      <c r="X50" s="55">
        <v>-8395.9999999999982</v>
      </c>
      <c r="Y50" s="55">
        <v>-10076</v>
      </c>
      <c r="Z50" s="55">
        <v>6027</v>
      </c>
      <c r="AA50" s="56">
        <f t="shared" si="0"/>
        <v>-11490</v>
      </c>
      <c r="AB50" s="55">
        <v>26047</v>
      </c>
      <c r="AC50" s="55">
        <v>1340</v>
      </c>
      <c r="AD50" s="55">
        <v>-2092</v>
      </c>
      <c r="AE50" s="55">
        <v>-46765</v>
      </c>
      <c r="AF50" s="55">
        <v>9991</v>
      </c>
      <c r="AG50" s="55">
        <v>-915</v>
      </c>
      <c r="AH50" s="55">
        <v>-21333.088629999998</v>
      </c>
      <c r="AI50" s="55">
        <v>-19332.940907357843</v>
      </c>
      <c r="AJ50" s="55">
        <v>222.98848201032615</v>
      </c>
      <c r="AK50" s="55">
        <v>11845.572554933809</v>
      </c>
    </row>
    <row r="51" spans="1:37" x14ac:dyDescent="0.25">
      <c r="A51" s="22"/>
      <c r="B51" s="60" t="s">
        <v>168</v>
      </c>
      <c r="C51" s="66">
        <v>0</v>
      </c>
      <c r="D51" s="66">
        <v>-1192</v>
      </c>
      <c r="E51" s="66">
        <v>-458</v>
      </c>
      <c r="F51" s="67">
        <v>-1328</v>
      </c>
      <c r="G51" s="67">
        <v>-2978</v>
      </c>
      <c r="H51" s="67">
        <v>-1604</v>
      </c>
      <c r="I51" s="67">
        <v>-300</v>
      </c>
      <c r="J51" s="67">
        <v>-613</v>
      </c>
      <c r="K51" s="67">
        <v>-101</v>
      </c>
      <c r="L51" s="68">
        <v>-2618</v>
      </c>
      <c r="M51" s="67">
        <v>-551</v>
      </c>
      <c r="N51" s="67">
        <v>-284</v>
      </c>
      <c r="O51" s="56">
        <v>-4809</v>
      </c>
      <c r="P51" s="55">
        <v>-422</v>
      </c>
      <c r="Q51" s="56">
        <v>-6066</v>
      </c>
      <c r="R51" s="56">
        <v>-213</v>
      </c>
      <c r="S51" s="56">
        <v>-242</v>
      </c>
      <c r="T51" s="55">
        <v>-780</v>
      </c>
      <c r="U51" s="55">
        <v>-426.99999999999983</v>
      </c>
      <c r="V51" s="55">
        <v>-1662</v>
      </c>
      <c r="W51" s="55">
        <v>-286</v>
      </c>
      <c r="X51" s="55">
        <v>-614.00000000000011</v>
      </c>
      <c r="Y51" s="55">
        <v>-1422.0000000000002</v>
      </c>
      <c r="Z51" s="55">
        <v>-2027</v>
      </c>
      <c r="AA51" s="56">
        <f t="shared" si="0"/>
        <v>-4349</v>
      </c>
      <c r="AB51" s="55">
        <v>-883</v>
      </c>
      <c r="AC51" s="55">
        <v>-546</v>
      </c>
      <c r="AD51" s="55">
        <v>-1159</v>
      </c>
      <c r="AE51" s="55">
        <v>-601</v>
      </c>
      <c r="AF51" s="55">
        <v>-3087</v>
      </c>
      <c r="AG51" s="55">
        <v>-22411</v>
      </c>
      <c r="AH51" s="55">
        <v>-1784</v>
      </c>
      <c r="AI51" s="55">
        <v>-1624</v>
      </c>
      <c r="AJ51" s="55">
        <v>-253</v>
      </c>
      <c r="AK51" s="55">
        <v>-710</v>
      </c>
    </row>
    <row r="52" spans="1:37" x14ac:dyDescent="0.25">
      <c r="A52" s="22"/>
      <c r="B52" s="69" t="s">
        <v>169</v>
      </c>
      <c r="C52" s="66">
        <v>0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55">
        <v>-800</v>
      </c>
      <c r="AA52" s="56">
        <f t="shared" si="0"/>
        <v>-800</v>
      </c>
      <c r="AB52" s="55">
        <v>-800</v>
      </c>
      <c r="AC52" s="55"/>
      <c r="AD52" s="55">
        <v>0</v>
      </c>
      <c r="AE52" s="55">
        <v>0</v>
      </c>
      <c r="AF52" s="55">
        <v>0</v>
      </c>
      <c r="AG52" s="55">
        <v>0</v>
      </c>
      <c r="AH52" s="55">
        <v>0</v>
      </c>
      <c r="AI52" s="55">
        <v>0</v>
      </c>
      <c r="AJ52" s="175" t="s">
        <v>364</v>
      </c>
      <c r="AK52" s="175">
        <v>-6466</v>
      </c>
    </row>
    <row r="53" spans="1:37" x14ac:dyDescent="0.25">
      <c r="A53" s="22"/>
      <c r="B53" s="69" t="s">
        <v>170</v>
      </c>
      <c r="C53" s="66">
        <v>0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55">
        <v>-432</v>
      </c>
      <c r="AA53" s="56">
        <f t="shared" si="0"/>
        <v>-432</v>
      </c>
      <c r="AB53" s="55">
        <v>0</v>
      </c>
      <c r="AC53" s="55">
        <v>183</v>
      </c>
      <c r="AD53" s="55">
        <v>-1273</v>
      </c>
      <c r="AE53" s="55">
        <v>-36</v>
      </c>
      <c r="AF53" s="55">
        <v>0</v>
      </c>
      <c r="AG53" s="55">
        <v>0</v>
      </c>
      <c r="AH53" s="55">
        <v>0</v>
      </c>
      <c r="AI53" s="55">
        <v>-598</v>
      </c>
      <c r="AJ53" s="55">
        <v>42</v>
      </c>
      <c r="AK53" s="55">
        <v>43</v>
      </c>
    </row>
    <row r="54" spans="1:37" x14ac:dyDescent="0.25">
      <c r="A54" s="22"/>
      <c r="B54" s="60" t="s">
        <v>50</v>
      </c>
      <c r="C54" s="67">
        <v>0</v>
      </c>
      <c r="D54" s="67">
        <v>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57">
        <v>0</v>
      </c>
      <c r="P54" s="57">
        <v>0</v>
      </c>
      <c r="Q54" s="57">
        <v>0</v>
      </c>
      <c r="R54" s="57">
        <v>0</v>
      </c>
      <c r="S54" s="57">
        <v>0</v>
      </c>
      <c r="T54" s="55">
        <v>-1179</v>
      </c>
      <c r="U54" s="55">
        <v>-2.0000000000000018</v>
      </c>
      <c r="V54" s="55">
        <v>-1181</v>
      </c>
      <c r="W54" s="55">
        <v>0</v>
      </c>
      <c r="X54" s="55">
        <v>-870</v>
      </c>
      <c r="Y54" s="55">
        <v>103.99999999999999</v>
      </c>
      <c r="Z54" s="55">
        <v>0</v>
      </c>
      <c r="AA54" s="56">
        <f t="shared" si="0"/>
        <v>-766</v>
      </c>
      <c r="AC54" s="56">
        <v>0</v>
      </c>
      <c r="AD54" s="55">
        <v>0</v>
      </c>
      <c r="AE54" s="55">
        <v>0</v>
      </c>
      <c r="AF54" s="55">
        <v>0</v>
      </c>
      <c r="AG54" s="55">
        <v>0</v>
      </c>
      <c r="AH54" s="55">
        <v>0</v>
      </c>
      <c r="AI54" s="55">
        <v>-379</v>
      </c>
      <c r="AJ54" s="55">
        <v>-168</v>
      </c>
      <c r="AK54" s="55">
        <v>1</v>
      </c>
    </row>
    <row r="55" spans="1:37" ht="16.5" customHeight="1" x14ac:dyDescent="0.25">
      <c r="A55" s="22"/>
      <c r="B55" s="62" t="s">
        <v>171</v>
      </c>
      <c r="C55" s="63">
        <v>-53064</v>
      </c>
      <c r="D55" s="63">
        <v>-86216</v>
      </c>
      <c r="E55" s="63">
        <v>-24407</v>
      </c>
      <c r="F55" s="63">
        <v>27384</v>
      </c>
      <c r="G55" s="63">
        <v>-136303</v>
      </c>
      <c r="H55" s="63">
        <v>-16464</v>
      </c>
      <c r="I55" s="63">
        <v>-14870</v>
      </c>
      <c r="J55" s="63">
        <v>-53838</v>
      </c>
      <c r="K55" s="63">
        <v>-4207</v>
      </c>
      <c r="L55" s="63">
        <f>SUM(L40:L51)</f>
        <v>-89379</v>
      </c>
      <c r="M55" s="63">
        <f>SUM(M40:M51)</f>
        <v>-24716</v>
      </c>
      <c r="N55" s="63">
        <f>SUM(N40:N54)</f>
        <v>-49938</v>
      </c>
      <c r="O55" s="63">
        <f>SUM(O40:O54)</f>
        <v>-14208</v>
      </c>
      <c r="P55" s="63">
        <v>12417</v>
      </c>
      <c r="Q55" s="63">
        <f t="shared" ref="Q55:W55" si="4">SUM(Q40:Q54)</f>
        <v>-76445</v>
      </c>
      <c r="R55" s="63">
        <f t="shared" si="4"/>
        <v>-35651</v>
      </c>
      <c r="S55" s="63">
        <f t="shared" si="4"/>
        <v>47391</v>
      </c>
      <c r="T55" s="63">
        <f t="shared" si="4"/>
        <v>-27225</v>
      </c>
      <c r="U55" s="63">
        <f t="shared" si="4"/>
        <v>59574.42</v>
      </c>
      <c r="V55" s="63">
        <f t="shared" si="4"/>
        <v>44089</v>
      </c>
      <c r="W55" s="63">
        <f t="shared" si="4"/>
        <v>-128258.42</v>
      </c>
      <c r="X55" s="63">
        <f>SUM(X40:X54)</f>
        <v>-39532</v>
      </c>
      <c r="Y55" s="63">
        <f>SUM(Y40:Y54)</f>
        <v>-3134.0000000000073</v>
      </c>
      <c r="Z55" s="63">
        <f>SUM(Z40:Z54)</f>
        <v>35329</v>
      </c>
      <c r="AA55" s="63">
        <f t="shared" si="0"/>
        <v>-135595.41999999998</v>
      </c>
      <c r="AB55" s="63">
        <f>SUM(AB40:AB54)</f>
        <v>-27625</v>
      </c>
      <c r="AC55" s="63">
        <f>SUM(AC40:AC54)</f>
        <v>-24525</v>
      </c>
      <c r="AD55" s="63">
        <f>SUM(AD40:AD54)</f>
        <v>-81429</v>
      </c>
      <c r="AE55" s="63">
        <f>SUM(AE40:AE54)</f>
        <v>107482</v>
      </c>
      <c r="AF55" s="63">
        <v>-98422</v>
      </c>
      <c r="AG55" s="63">
        <v>-55496.31306</v>
      </c>
      <c r="AH55" s="63">
        <v>81346.297277990539</v>
      </c>
      <c r="AI55" s="63">
        <v>79832.262840834243</v>
      </c>
      <c r="AJ55" s="63">
        <v>-152563.53909803234</v>
      </c>
      <c r="AK55" s="63">
        <f>SUM(AK40:AK54)</f>
        <v>52147.647303738762</v>
      </c>
    </row>
    <row r="56" spans="1:37" x14ac:dyDescent="0.25">
      <c r="A56" s="22"/>
      <c r="B56" s="51"/>
      <c r="C56" s="48"/>
      <c r="D56" s="48"/>
      <c r="E56" s="48"/>
      <c r="F56" s="48"/>
      <c r="G56" s="48"/>
      <c r="H56" s="48"/>
      <c r="I56" s="48"/>
      <c r="J56" s="48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AA56" s="56"/>
    </row>
    <row r="57" spans="1:37" ht="16.5" customHeight="1" x14ac:dyDescent="0.25">
      <c r="A57" s="22"/>
      <c r="B57" s="62" t="s">
        <v>172</v>
      </c>
      <c r="C57" s="63">
        <v>-10283</v>
      </c>
      <c r="D57" s="63">
        <v>-34866</v>
      </c>
      <c r="E57" s="63">
        <v>39459</v>
      </c>
      <c r="F57" s="63">
        <v>87616</v>
      </c>
      <c r="G57" s="63">
        <v>81926</v>
      </c>
      <c r="H57" s="63">
        <v>46964</v>
      </c>
      <c r="I57" s="63">
        <v>59901</v>
      </c>
      <c r="J57" s="63">
        <v>39061</v>
      </c>
      <c r="K57" s="63">
        <f t="shared" ref="K57:AD57" si="5">K38+K55</f>
        <v>78492</v>
      </c>
      <c r="L57" s="63">
        <f t="shared" si="5"/>
        <v>224418</v>
      </c>
      <c r="M57" s="63">
        <f t="shared" si="5"/>
        <v>43412</v>
      </c>
      <c r="N57" s="63">
        <f t="shared" si="5"/>
        <v>25750</v>
      </c>
      <c r="O57" s="63">
        <f t="shared" si="5"/>
        <v>85826</v>
      </c>
      <c r="P57" s="63">
        <v>94439</v>
      </c>
      <c r="Q57" s="63">
        <f>Q38+Q55</f>
        <v>249427</v>
      </c>
      <c r="R57" s="63">
        <f t="shared" si="5"/>
        <v>38631</v>
      </c>
      <c r="S57" s="63">
        <f t="shared" si="5"/>
        <v>66810</v>
      </c>
      <c r="T57" s="63">
        <f t="shared" si="5"/>
        <v>33402</v>
      </c>
      <c r="U57" s="63">
        <f t="shared" si="5"/>
        <v>144796.07</v>
      </c>
      <c r="V57" s="63">
        <f t="shared" si="5"/>
        <v>284509</v>
      </c>
      <c r="W57" s="63">
        <f t="shared" si="5"/>
        <v>-68397.42</v>
      </c>
      <c r="X57" s="63">
        <f t="shared" si="5"/>
        <v>32938.179340000002</v>
      </c>
      <c r="Y57" s="63">
        <f t="shared" si="5"/>
        <v>104540</v>
      </c>
      <c r="Z57" s="63">
        <f t="shared" si="5"/>
        <v>131972</v>
      </c>
      <c r="AA57" s="63">
        <f t="shared" si="5"/>
        <v>201052.75934000005</v>
      </c>
      <c r="AB57" s="63">
        <f t="shared" si="5"/>
        <v>83516</v>
      </c>
      <c r="AC57" s="63">
        <f t="shared" si="5"/>
        <v>128300.99979999999</v>
      </c>
      <c r="AD57" s="63">
        <f t="shared" si="5"/>
        <v>63033</v>
      </c>
      <c r="AE57" s="63">
        <f>AE38+AE55</f>
        <v>269383.32500000001</v>
      </c>
      <c r="AF57" s="63">
        <v>58370.999799999991</v>
      </c>
      <c r="AG57" s="63">
        <v>97866.386329999994</v>
      </c>
      <c r="AH57" s="63">
        <v>223442.55184799054</v>
      </c>
      <c r="AI57" s="63">
        <v>269444.61521083419</v>
      </c>
      <c r="AJ57" s="63">
        <v>-12661.437298032339</v>
      </c>
      <c r="AK57" s="63">
        <f>AK38+AK55</f>
        <v>173240.54530373876</v>
      </c>
    </row>
    <row r="58" spans="1:37" x14ac:dyDescent="0.25">
      <c r="B58" s="51"/>
      <c r="C58" s="48"/>
      <c r="D58" s="48"/>
      <c r="E58" s="48"/>
      <c r="F58" s="48"/>
      <c r="G58" s="48"/>
      <c r="H58" s="48"/>
      <c r="I58" s="48"/>
      <c r="J58" s="48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AA58" s="56"/>
    </row>
    <row r="59" spans="1:37" x14ac:dyDescent="0.25">
      <c r="A59" s="22"/>
      <c r="B59" s="70" t="s">
        <v>173</v>
      </c>
      <c r="C59" s="48"/>
      <c r="D59" s="48"/>
      <c r="E59" s="48"/>
      <c r="F59" s="67"/>
      <c r="G59" s="67"/>
      <c r="H59" s="67"/>
      <c r="I59" s="67"/>
      <c r="J59" s="6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AA59" s="56"/>
    </row>
    <row r="60" spans="1:37" x14ac:dyDescent="0.25">
      <c r="A60" s="22"/>
      <c r="B60" s="51" t="s">
        <v>174</v>
      </c>
      <c r="C60" s="65">
        <v>-4942</v>
      </c>
      <c r="D60" s="65">
        <v>-8016</v>
      </c>
      <c r="E60" s="65">
        <v>3259</v>
      </c>
      <c r="F60" s="67">
        <v>-15483</v>
      </c>
      <c r="G60" s="67">
        <v>-25182</v>
      </c>
      <c r="H60" s="67">
        <v>-9377.6370000000006</v>
      </c>
      <c r="I60" s="67">
        <v>-6781.3629999999994</v>
      </c>
      <c r="J60" s="67">
        <v>-9772.9999999999982</v>
      </c>
      <c r="K60" s="67">
        <v>-17566</v>
      </c>
      <c r="L60" s="67">
        <v>-43498</v>
      </c>
      <c r="M60" s="67">
        <v>-10147</v>
      </c>
      <c r="N60" s="67">
        <v>-13375</v>
      </c>
      <c r="O60" s="56">
        <v>-34904</v>
      </c>
      <c r="P60" s="55">
        <v>-20904</v>
      </c>
      <c r="Q60" s="56">
        <v>-79330</v>
      </c>
      <c r="R60" s="56">
        <v>-17059</v>
      </c>
      <c r="S60" s="56">
        <v>-19342</v>
      </c>
      <c r="T60" s="55">
        <v>-8995</v>
      </c>
      <c r="U60" s="55">
        <v>-33569</v>
      </c>
      <c r="V60" s="55">
        <v>-78965</v>
      </c>
      <c r="W60" s="55">
        <v>-18200</v>
      </c>
      <c r="X60" s="56">
        <v>-5643.0000000000009</v>
      </c>
      <c r="Y60" s="56">
        <v>-17031.000000000004</v>
      </c>
      <c r="Z60" s="56">
        <v>-17398</v>
      </c>
      <c r="AA60" s="56">
        <f t="shared" si="0"/>
        <v>-58272</v>
      </c>
      <c r="AB60" s="56">
        <v>-15065</v>
      </c>
      <c r="AC60" s="56">
        <v>-28003</v>
      </c>
      <c r="AD60" s="56">
        <v>-11594</v>
      </c>
      <c r="AE60" s="56">
        <v>-7707</v>
      </c>
      <c r="AF60" s="56">
        <v>-4864</v>
      </c>
      <c r="AG60" s="56">
        <v>-6223</v>
      </c>
      <c r="AH60" s="56">
        <v>-10068</v>
      </c>
      <c r="AI60" s="56">
        <v>-7095</v>
      </c>
      <c r="AJ60" s="56">
        <v>-9319</v>
      </c>
      <c r="AK60" s="56">
        <v>-4890</v>
      </c>
    </row>
    <row r="61" spans="1:37" x14ac:dyDescent="0.25">
      <c r="A61" s="22"/>
      <c r="B61" s="51" t="s">
        <v>175</v>
      </c>
      <c r="C61" s="65">
        <v>-4002</v>
      </c>
      <c r="D61" s="65">
        <v>-4821</v>
      </c>
      <c r="E61" s="65">
        <v>-3545</v>
      </c>
      <c r="F61" s="67">
        <v>-8931</v>
      </c>
      <c r="G61" s="67">
        <v>-21299</v>
      </c>
      <c r="H61" s="67">
        <v>-6439</v>
      </c>
      <c r="I61" s="67">
        <v>-9377</v>
      </c>
      <c r="J61" s="67">
        <v>-6840</v>
      </c>
      <c r="K61" s="67">
        <v>-9553</v>
      </c>
      <c r="L61" s="68">
        <v>-32209</v>
      </c>
      <c r="M61" s="67">
        <v>-8734</v>
      </c>
      <c r="N61" s="67">
        <v>-8455</v>
      </c>
      <c r="O61" s="56">
        <v>-9611</v>
      </c>
      <c r="P61" s="55">
        <v>-8836</v>
      </c>
      <c r="Q61" s="56">
        <v>-35636</v>
      </c>
      <c r="R61" s="56">
        <v>-2565</v>
      </c>
      <c r="S61" s="56">
        <v>-13957</v>
      </c>
      <c r="T61" s="55">
        <v>-12366</v>
      </c>
      <c r="U61" s="55">
        <v>-20725.877689999994</v>
      </c>
      <c r="V61" s="55">
        <v>-49614</v>
      </c>
      <c r="W61" s="55">
        <v>-22225</v>
      </c>
      <c r="X61" s="56">
        <v>-2828.9999999999973</v>
      </c>
      <c r="Y61" s="56">
        <v>-13213.000000000004</v>
      </c>
      <c r="Z61" s="56">
        <v>-15341</v>
      </c>
      <c r="AA61" s="56">
        <f t="shared" si="0"/>
        <v>-53608</v>
      </c>
      <c r="AB61" s="56">
        <v>-10139</v>
      </c>
      <c r="AC61" s="56">
        <v>-5405</v>
      </c>
      <c r="AD61" s="56">
        <v>-7106</v>
      </c>
      <c r="AE61" s="56">
        <v>-5825</v>
      </c>
      <c r="AF61" s="56">
        <v>-3655</v>
      </c>
      <c r="AG61" s="56">
        <v>-9297</v>
      </c>
      <c r="AH61" s="56">
        <v>-4422.5676499999972</v>
      </c>
      <c r="AI61" s="56">
        <v>-5544.4323500000028</v>
      </c>
      <c r="AJ61" s="56">
        <v>-3235</v>
      </c>
      <c r="AK61" s="56">
        <v>-5079</v>
      </c>
    </row>
    <row r="62" spans="1:37" x14ac:dyDescent="0.25">
      <c r="A62" s="22"/>
      <c r="B62" s="51" t="s">
        <v>176</v>
      </c>
      <c r="C62" s="66">
        <v>5924</v>
      </c>
      <c r="D62" s="66">
        <v>83</v>
      </c>
      <c r="E62" s="66">
        <v>-165</v>
      </c>
      <c r="F62" s="67">
        <v>-16225</v>
      </c>
      <c r="G62" s="67">
        <v>-10383</v>
      </c>
      <c r="H62" s="67">
        <v>-169</v>
      </c>
      <c r="I62" s="67">
        <v>-207</v>
      </c>
      <c r="J62" s="67">
        <v>18735</v>
      </c>
      <c r="K62" s="67">
        <v>-338</v>
      </c>
      <c r="L62" s="67">
        <v>18021</v>
      </c>
      <c r="M62" s="67">
        <v>-464</v>
      </c>
      <c r="N62" s="67">
        <v>-257</v>
      </c>
      <c r="O62" s="59">
        <v>-365</v>
      </c>
      <c r="P62" s="57">
        <v>-541</v>
      </c>
      <c r="Q62" s="59">
        <v>-1627</v>
      </c>
      <c r="R62" s="56">
        <v>-483</v>
      </c>
      <c r="S62" s="56">
        <v>-145</v>
      </c>
      <c r="T62" s="55">
        <v>-670</v>
      </c>
      <c r="U62" s="55">
        <v>-1020</v>
      </c>
      <c r="V62" s="55">
        <v>-2318</v>
      </c>
      <c r="W62" s="55">
        <v>-429</v>
      </c>
      <c r="X62" s="56">
        <v>-565</v>
      </c>
      <c r="Y62" s="56">
        <v>-497.00000000000011</v>
      </c>
      <c r="Z62" s="56">
        <v>-240</v>
      </c>
      <c r="AA62" s="56">
        <f t="shared" si="0"/>
        <v>-1731</v>
      </c>
      <c r="AB62" s="56">
        <v>-826</v>
      </c>
      <c r="AC62" s="56">
        <v>-305</v>
      </c>
      <c r="AD62" s="56">
        <v>-265</v>
      </c>
      <c r="AE62" s="56">
        <v>-470</v>
      </c>
      <c r="AF62" s="56">
        <v>-500</v>
      </c>
      <c r="AG62" s="56">
        <v>0</v>
      </c>
      <c r="AH62" s="56">
        <v>-113</v>
      </c>
      <c r="AI62" s="56">
        <v>10</v>
      </c>
      <c r="AJ62" s="176" t="s">
        <v>364</v>
      </c>
      <c r="AK62" s="176">
        <v>-163</v>
      </c>
    </row>
    <row r="63" spans="1:37" x14ac:dyDescent="0.25">
      <c r="A63" s="22"/>
      <c r="B63" s="60" t="s">
        <v>177</v>
      </c>
      <c r="C63" s="65">
        <v>0</v>
      </c>
      <c r="D63" s="65">
        <v>0</v>
      </c>
      <c r="E63" s="65">
        <v>0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56">
        <v>0</v>
      </c>
      <c r="P63" s="55">
        <v>0</v>
      </c>
      <c r="Q63" s="56">
        <v>0</v>
      </c>
      <c r="R63" s="56">
        <v>0</v>
      </c>
      <c r="S63" s="56">
        <v>-34033</v>
      </c>
      <c r="T63" s="55">
        <v>-84</v>
      </c>
      <c r="U63" s="55">
        <v>-23046</v>
      </c>
      <c r="V63" s="55">
        <v>-57163</v>
      </c>
      <c r="W63" s="55">
        <v>-21287</v>
      </c>
      <c r="X63" s="56">
        <v>-91475</v>
      </c>
      <c r="Y63" s="56">
        <v>-2453.9999999999936</v>
      </c>
      <c r="Z63" s="56">
        <v>2691</v>
      </c>
      <c r="AA63" s="56">
        <f t="shared" si="0"/>
        <v>-112525</v>
      </c>
      <c r="AB63" s="56">
        <v>-4942</v>
      </c>
      <c r="AC63" s="56">
        <v>-106163</v>
      </c>
      <c r="AD63" s="56">
        <v>53484</v>
      </c>
      <c r="AE63" s="56">
        <v>79242</v>
      </c>
      <c r="AF63" s="56">
        <v>-2155</v>
      </c>
      <c r="AG63" s="56">
        <v>-7073</v>
      </c>
      <c r="AH63" s="56">
        <v>2293</v>
      </c>
      <c r="AI63" s="56">
        <v>-41920</v>
      </c>
      <c r="AJ63" s="56">
        <v>3648</v>
      </c>
      <c r="AK63" s="56">
        <v>-1874</v>
      </c>
    </row>
    <row r="64" spans="1:37" x14ac:dyDescent="0.25">
      <c r="A64" s="22"/>
      <c r="B64" s="51" t="s">
        <v>312</v>
      </c>
      <c r="C64" s="65">
        <v>0</v>
      </c>
      <c r="D64" s="65">
        <v>0</v>
      </c>
      <c r="E64" s="65">
        <v>-596</v>
      </c>
      <c r="F64" s="67">
        <v>596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56">
        <v>0</v>
      </c>
      <c r="P64" s="55">
        <v>0</v>
      </c>
      <c r="Q64" s="56">
        <v>0</v>
      </c>
      <c r="R64" s="56">
        <v>0</v>
      </c>
      <c r="S64" s="56">
        <v>0</v>
      </c>
      <c r="T64" s="55">
        <v>0</v>
      </c>
      <c r="U64" s="55">
        <v>0</v>
      </c>
      <c r="V64" s="55">
        <v>0</v>
      </c>
      <c r="W64" s="55">
        <v>0</v>
      </c>
      <c r="X64" s="56">
        <v>0</v>
      </c>
      <c r="Y64" s="56">
        <v>0</v>
      </c>
      <c r="Z64" s="56">
        <v>0</v>
      </c>
      <c r="AA64" s="56">
        <f t="shared" si="0"/>
        <v>0</v>
      </c>
      <c r="AB64" s="56">
        <v>0</v>
      </c>
      <c r="AC64" s="56"/>
      <c r="AE64" s="56">
        <v>-12000</v>
      </c>
      <c r="AF64" s="56">
        <v>0</v>
      </c>
      <c r="AG64" s="56">
        <v>0</v>
      </c>
      <c r="AH64" s="56">
        <v>0</v>
      </c>
      <c r="AI64" s="56">
        <v>0</v>
      </c>
      <c r="AJ64" s="56">
        <v>0</v>
      </c>
      <c r="AK64" s="56">
        <v>0</v>
      </c>
    </row>
    <row r="65" spans="1:37" x14ac:dyDescent="0.25">
      <c r="A65" s="22"/>
      <c r="B65" s="71" t="s">
        <v>179</v>
      </c>
      <c r="C65" s="66">
        <v>0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59">
        <v>0</v>
      </c>
      <c r="P65" s="59">
        <v>0</v>
      </c>
      <c r="Q65" s="59">
        <v>0</v>
      </c>
      <c r="R65" s="3">
        <v>-3288</v>
      </c>
      <c r="S65" s="56">
        <v>-1</v>
      </c>
      <c r="T65" s="55">
        <v>0</v>
      </c>
      <c r="U65" s="55">
        <v>0</v>
      </c>
      <c r="V65" s="55">
        <v>-3289</v>
      </c>
      <c r="W65" s="55">
        <v>-2100</v>
      </c>
      <c r="X65" s="56">
        <v>0</v>
      </c>
      <c r="Y65" s="56">
        <v>0</v>
      </c>
      <c r="Z65" s="56">
        <v>0</v>
      </c>
      <c r="AA65" s="56">
        <f t="shared" si="0"/>
        <v>-2100</v>
      </c>
      <c r="AB65" s="56">
        <v>0</v>
      </c>
      <c r="AC65" s="56"/>
      <c r="AJ65" s="56"/>
      <c r="AK65" s="56">
        <v>0</v>
      </c>
    </row>
    <row r="66" spans="1:37" x14ac:dyDescent="0.25">
      <c r="A66" s="22"/>
      <c r="B66" s="51" t="s">
        <v>180</v>
      </c>
      <c r="C66" s="65">
        <v>0</v>
      </c>
      <c r="D66" s="65">
        <v>0</v>
      </c>
      <c r="E66" s="65">
        <v>-37147</v>
      </c>
      <c r="F66" s="67">
        <v>0</v>
      </c>
      <c r="G66" s="67">
        <v>-37147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56">
        <v>0</v>
      </c>
      <c r="P66" s="55">
        <v>0</v>
      </c>
      <c r="Q66" s="56">
        <v>0</v>
      </c>
      <c r="R66" s="56">
        <v>0</v>
      </c>
      <c r="S66" s="56">
        <v>0</v>
      </c>
      <c r="T66" s="55">
        <v>0</v>
      </c>
      <c r="U66" s="55">
        <v>0</v>
      </c>
      <c r="V66" s="55">
        <v>0</v>
      </c>
      <c r="W66" s="56">
        <v>0</v>
      </c>
      <c r="X66" s="56">
        <v>0</v>
      </c>
      <c r="Y66" s="56">
        <v>0</v>
      </c>
      <c r="Z66" s="56">
        <v>0</v>
      </c>
      <c r="AA66" s="56">
        <f t="shared" si="0"/>
        <v>0</v>
      </c>
      <c r="AB66" s="56">
        <v>0</v>
      </c>
      <c r="AC66" s="56"/>
      <c r="AJ66" s="56">
        <v>174146</v>
      </c>
      <c r="AK66" s="56">
        <v>0</v>
      </c>
    </row>
    <row r="67" spans="1:37" x14ac:dyDescent="0.25">
      <c r="A67" s="22"/>
      <c r="B67" s="51" t="s">
        <v>181</v>
      </c>
      <c r="C67" s="65">
        <v>0</v>
      </c>
      <c r="D67" s="65">
        <v>0</v>
      </c>
      <c r="E67" s="65">
        <v>0</v>
      </c>
      <c r="F67" s="67">
        <v>0</v>
      </c>
      <c r="G67" s="67">
        <v>0</v>
      </c>
      <c r="H67" s="67">
        <v>0</v>
      </c>
      <c r="I67" s="67">
        <v>0</v>
      </c>
      <c r="J67" s="67">
        <v>-790</v>
      </c>
      <c r="K67" s="67">
        <v>105</v>
      </c>
      <c r="L67" s="67">
        <v>-685</v>
      </c>
      <c r="M67" s="67">
        <v>0</v>
      </c>
      <c r="N67" s="67">
        <v>0</v>
      </c>
      <c r="O67" s="56">
        <v>0</v>
      </c>
      <c r="P67" s="55">
        <v>0</v>
      </c>
      <c r="Q67" s="56">
        <v>0</v>
      </c>
      <c r="R67" s="56">
        <v>0</v>
      </c>
      <c r="S67" s="56">
        <v>0</v>
      </c>
      <c r="T67" s="55">
        <v>0</v>
      </c>
      <c r="U67" s="55">
        <v>0</v>
      </c>
      <c r="V67" s="55">
        <v>0</v>
      </c>
      <c r="W67" s="56">
        <v>0</v>
      </c>
      <c r="X67" s="56">
        <v>0</v>
      </c>
      <c r="Y67" s="56">
        <v>0</v>
      </c>
      <c r="Z67" s="56">
        <v>0</v>
      </c>
      <c r="AA67" s="56">
        <f t="shared" si="0"/>
        <v>0</v>
      </c>
      <c r="AB67" s="56">
        <v>0</v>
      </c>
      <c r="AC67" s="56"/>
      <c r="AJ67" s="56"/>
      <c r="AK67" s="56">
        <v>0</v>
      </c>
    </row>
    <row r="68" spans="1:37" x14ac:dyDescent="0.25">
      <c r="A68" s="27"/>
      <c r="B68" s="51" t="s">
        <v>182</v>
      </c>
      <c r="C68" s="65">
        <v>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7">
        <v>0</v>
      </c>
      <c r="O68" s="56">
        <v>0</v>
      </c>
      <c r="P68" s="55">
        <v>0</v>
      </c>
      <c r="Q68" s="56">
        <v>0</v>
      </c>
      <c r="R68" s="56">
        <v>0</v>
      </c>
      <c r="S68" s="56">
        <v>0</v>
      </c>
      <c r="T68" s="55">
        <v>0</v>
      </c>
      <c r="U68" s="55">
        <v>0</v>
      </c>
      <c r="V68" s="55">
        <v>0</v>
      </c>
      <c r="W68" s="56">
        <v>0</v>
      </c>
      <c r="X68" s="56">
        <v>0</v>
      </c>
      <c r="Y68" s="56">
        <v>0</v>
      </c>
      <c r="Z68" s="56">
        <v>0</v>
      </c>
      <c r="AA68" s="56">
        <f t="shared" si="0"/>
        <v>0</v>
      </c>
      <c r="AB68" s="56">
        <v>0</v>
      </c>
      <c r="AC68" s="56"/>
      <c r="AG68">
        <v>-17992</v>
      </c>
      <c r="AH68" s="145">
        <v>0</v>
      </c>
      <c r="AI68" s="145">
        <v>0</v>
      </c>
      <c r="AJ68" s="56"/>
      <c r="AK68" s="56">
        <v>0</v>
      </c>
    </row>
    <row r="69" spans="1:37" x14ac:dyDescent="0.25">
      <c r="A69" s="27"/>
      <c r="B69" s="51" t="s">
        <v>183</v>
      </c>
      <c r="C69" s="65">
        <v>0</v>
      </c>
      <c r="D69" s="65">
        <v>0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68">
        <v>-3451</v>
      </c>
      <c r="L69" s="68">
        <v>-3451</v>
      </c>
      <c r="M69" s="67">
        <v>0</v>
      </c>
      <c r="N69" s="67">
        <v>0</v>
      </c>
      <c r="O69" s="56">
        <v>0</v>
      </c>
      <c r="P69" s="55">
        <v>0</v>
      </c>
      <c r="Q69" s="56">
        <v>0</v>
      </c>
      <c r="R69" s="56">
        <v>0</v>
      </c>
      <c r="S69" s="56">
        <v>0</v>
      </c>
      <c r="T69" s="55">
        <v>0</v>
      </c>
      <c r="U69" s="55">
        <v>0</v>
      </c>
      <c r="V69" s="55">
        <v>0</v>
      </c>
      <c r="W69" s="56">
        <v>0</v>
      </c>
      <c r="X69" s="56">
        <v>0</v>
      </c>
      <c r="Y69" s="56">
        <v>0</v>
      </c>
      <c r="Z69" s="56">
        <v>0</v>
      </c>
      <c r="AA69" s="56">
        <f t="shared" si="0"/>
        <v>0</v>
      </c>
      <c r="AB69" s="56">
        <v>0</v>
      </c>
      <c r="AC69" s="56"/>
      <c r="AJ69" s="56"/>
      <c r="AK69" s="56">
        <v>0</v>
      </c>
    </row>
    <row r="70" spans="1:37" x14ac:dyDescent="0.25">
      <c r="A70" s="27"/>
      <c r="B70" s="51" t="s">
        <v>184</v>
      </c>
      <c r="C70" s="65">
        <v>0</v>
      </c>
      <c r="D70" s="65">
        <v>0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  <c r="J70" s="65">
        <v>0</v>
      </c>
      <c r="K70" s="65">
        <v>0</v>
      </c>
      <c r="L70" s="65">
        <v>0</v>
      </c>
      <c r="M70" s="65">
        <v>0</v>
      </c>
      <c r="N70" s="65">
        <v>0</v>
      </c>
      <c r="O70" s="56">
        <v>0</v>
      </c>
      <c r="P70" s="55">
        <v>-1950</v>
      </c>
      <c r="Q70" s="56">
        <v>-1950</v>
      </c>
      <c r="R70" s="56">
        <v>0</v>
      </c>
      <c r="S70" s="56">
        <v>0</v>
      </c>
      <c r="T70" s="55">
        <v>0</v>
      </c>
      <c r="U70" s="55">
        <v>0</v>
      </c>
      <c r="V70" s="55">
        <v>0</v>
      </c>
      <c r="W70" s="56">
        <v>0</v>
      </c>
      <c r="X70" s="56">
        <v>0</v>
      </c>
      <c r="Y70" s="56">
        <v>0</v>
      </c>
      <c r="Z70" s="56">
        <v>0</v>
      </c>
      <c r="AA70" s="56">
        <f t="shared" si="0"/>
        <v>0</v>
      </c>
      <c r="AB70" s="56">
        <v>0</v>
      </c>
      <c r="AC70" s="56"/>
      <c r="AJ70" s="56"/>
      <c r="AK70" s="56">
        <v>0</v>
      </c>
    </row>
    <row r="71" spans="1:37" x14ac:dyDescent="0.25">
      <c r="A71" s="27"/>
      <c r="B71" s="60" t="s">
        <v>185</v>
      </c>
      <c r="C71" s="65">
        <v>0</v>
      </c>
      <c r="D71" s="65">
        <v>0</v>
      </c>
      <c r="E71" s="65">
        <v>0</v>
      </c>
      <c r="F71" s="65">
        <v>0</v>
      </c>
      <c r="G71" s="65">
        <v>0</v>
      </c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5">
        <v>0</v>
      </c>
      <c r="N71" s="65">
        <v>0</v>
      </c>
      <c r="O71" s="56">
        <v>0</v>
      </c>
      <c r="P71" s="56">
        <v>0</v>
      </c>
      <c r="Q71" s="56">
        <v>0</v>
      </c>
      <c r="R71" s="56">
        <v>0</v>
      </c>
      <c r="S71" s="56">
        <v>-4691</v>
      </c>
      <c r="T71" s="55">
        <v>0</v>
      </c>
      <c r="U71" s="55">
        <v>-1575.0000000000002</v>
      </c>
      <c r="V71" s="55">
        <v>-6266</v>
      </c>
      <c r="W71" s="56">
        <v>0</v>
      </c>
      <c r="X71" s="56">
        <v>0</v>
      </c>
      <c r="Y71" s="56">
        <v>0</v>
      </c>
      <c r="Z71" s="56">
        <v>0</v>
      </c>
      <c r="AA71" s="56">
        <f t="shared" si="0"/>
        <v>0</v>
      </c>
      <c r="AB71" s="56">
        <v>0</v>
      </c>
      <c r="AC71" s="56"/>
      <c r="AJ71" s="56">
        <v>3534</v>
      </c>
      <c r="AK71" s="56">
        <v>0</v>
      </c>
    </row>
    <row r="72" spans="1:37" x14ac:dyDescent="0.25">
      <c r="A72" s="27"/>
      <c r="B72" s="60" t="s">
        <v>186</v>
      </c>
      <c r="C72" s="65">
        <v>0</v>
      </c>
      <c r="D72" s="65">
        <v>0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65">
        <v>0</v>
      </c>
      <c r="K72" s="65">
        <v>0</v>
      </c>
      <c r="L72" s="65">
        <v>0</v>
      </c>
      <c r="M72" s="65">
        <v>0</v>
      </c>
      <c r="N72" s="65">
        <v>0</v>
      </c>
      <c r="O72" s="56">
        <v>0</v>
      </c>
      <c r="P72" s="56">
        <v>0</v>
      </c>
      <c r="Q72" s="56">
        <v>0</v>
      </c>
      <c r="R72" s="56">
        <v>0</v>
      </c>
      <c r="S72" s="56">
        <v>327</v>
      </c>
      <c r="T72" s="55">
        <v>0</v>
      </c>
      <c r="U72" s="55">
        <v>-518</v>
      </c>
      <c r="V72" s="55">
        <v>-191</v>
      </c>
      <c r="W72" s="56">
        <v>0</v>
      </c>
      <c r="X72" s="56">
        <v>0</v>
      </c>
      <c r="Y72" s="56">
        <v>0</v>
      </c>
      <c r="Z72" s="56">
        <v>0</v>
      </c>
      <c r="AA72" s="56">
        <f t="shared" si="0"/>
        <v>0</v>
      </c>
      <c r="AB72" s="56">
        <v>0</v>
      </c>
      <c r="AC72" s="56"/>
      <c r="AJ72" s="56"/>
      <c r="AK72" s="56">
        <v>-8911</v>
      </c>
    </row>
    <row r="73" spans="1:37" x14ac:dyDescent="0.25">
      <c r="A73" s="27"/>
      <c r="B73" s="60" t="s">
        <v>187</v>
      </c>
      <c r="C73" s="65"/>
      <c r="D73" s="65"/>
      <c r="E73" s="65"/>
      <c r="F73" s="65"/>
      <c r="G73" s="65">
        <v>0</v>
      </c>
      <c r="H73" s="65"/>
      <c r="I73" s="65"/>
      <c r="J73" s="65"/>
      <c r="K73" s="65"/>
      <c r="L73" s="65">
        <v>0</v>
      </c>
      <c r="M73" s="65">
        <v>0</v>
      </c>
      <c r="N73" s="65">
        <v>0</v>
      </c>
      <c r="O73" s="56">
        <v>0</v>
      </c>
      <c r="P73" s="56">
        <v>0</v>
      </c>
      <c r="Q73" s="56">
        <v>0</v>
      </c>
      <c r="R73" s="56">
        <v>0</v>
      </c>
      <c r="S73" s="56">
        <v>0</v>
      </c>
      <c r="T73" s="55">
        <v>-8094</v>
      </c>
      <c r="U73" s="55">
        <v>0</v>
      </c>
      <c r="V73" s="55">
        <v>-8094</v>
      </c>
      <c r="W73" s="56">
        <v>0</v>
      </c>
      <c r="X73" s="56">
        <v>0</v>
      </c>
      <c r="Y73" s="56">
        <v>0</v>
      </c>
      <c r="Z73" s="56">
        <v>0</v>
      </c>
      <c r="AA73" s="56">
        <f t="shared" si="0"/>
        <v>0</v>
      </c>
      <c r="AB73" s="56">
        <v>0</v>
      </c>
      <c r="AC73" s="56"/>
      <c r="AJ73" s="56"/>
      <c r="AK73" s="56">
        <v>0</v>
      </c>
    </row>
    <row r="74" spans="1:37" x14ac:dyDescent="0.25">
      <c r="A74" s="27"/>
      <c r="B74" s="60" t="s">
        <v>188</v>
      </c>
      <c r="C74" s="56">
        <v>0</v>
      </c>
      <c r="D74" s="56">
        <v>0</v>
      </c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6">
        <v>0</v>
      </c>
      <c r="O74" s="56">
        <v>0</v>
      </c>
      <c r="P74" s="56">
        <v>0</v>
      </c>
      <c r="Q74" s="56">
        <v>0</v>
      </c>
      <c r="R74" s="56">
        <v>0</v>
      </c>
      <c r="S74" s="56">
        <v>0</v>
      </c>
      <c r="T74" s="56">
        <v>0</v>
      </c>
      <c r="U74" s="55">
        <v>1961</v>
      </c>
      <c r="V74" s="55">
        <v>1960</v>
      </c>
      <c r="W74" s="56">
        <v>0</v>
      </c>
      <c r="X74" s="56">
        <v>0</v>
      </c>
      <c r="Y74" s="56">
        <v>0</v>
      </c>
      <c r="Z74" s="56">
        <v>0</v>
      </c>
      <c r="AA74" s="56">
        <f t="shared" si="0"/>
        <v>0</v>
      </c>
      <c r="AB74" s="56">
        <v>0</v>
      </c>
      <c r="AC74" s="56"/>
      <c r="AK74">
        <v>0</v>
      </c>
    </row>
    <row r="75" spans="1:37" ht="16.5" customHeight="1" x14ac:dyDescent="0.25">
      <c r="A75" s="22"/>
      <c r="B75" s="62" t="s">
        <v>189</v>
      </c>
      <c r="C75" s="63">
        <f t="shared" ref="C75:AD75" si="6">SUM(C58:C74)</f>
        <v>-3020</v>
      </c>
      <c r="D75" s="63">
        <f t="shared" si="6"/>
        <v>-12754</v>
      </c>
      <c r="E75" s="63">
        <f t="shared" si="6"/>
        <v>-38194</v>
      </c>
      <c r="F75" s="63">
        <f t="shared" si="6"/>
        <v>-40043</v>
      </c>
      <c r="G75" s="63">
        <f t="shared" si="6"/>
        <v>-94011</v>
      </c>
      <c r="H75" s="63">
        <f t="shared" si="6"/>
        <v>-15985.637000000001</v>
      </c>
      <c r="I75" s="63">
        <f t="shared" si="6"/>
        <v>-16365.362999999999</v>
      </c>
      <c r="J75" s="63">
        <f t="shared" si="6"/>
        <v>1332</v>
      </c>
      <c r="K75" s="63">
        <f t="shared" si="6"/>
        <v>-30803</v>
      </c>
      <c r="L75" s="63">
        <f t="shared" si="6"/>
        <v>-61822</v>
      </c>
      <c r="M75" s="63">
        <f t="shared" si="6"/>
        <v>-19345</v>
      </c>
      <c r="N75" s="63">
        <f t="shared" si="6"/>
        <v>-22087</v>
      </c>
      <c r="O75" s="63">
        <f t="shared" si="6"/>
        <v>-44880</v>
      </c>
      <c r="P75" s="63">
        <f t="shared" si="6"/>
        <v>-32231</v>
      </c>
      <c r="Q75" s="63">
        <f t="shared" si="6"/>
        <v>-118543</v>
      </c>
      <c r="R75" s="63">
        <f t="shared" si="6"/>
        <v>-23395</v>
      </c>
      <c r="S75" s="63">
        <f t="shared" si="6"/>
        <v>-71842</v>
      </c>
      <c r="T75" s="63">
        <f t="shared" si="6"/>
        <v>-30209</v>
      </c>
      <c r="U75" s="63">
        <f t="shared" si="6"/>
        <v>-78492.877689999994</v>
      </c>
      <c r="V75" s="63">
        <f t="shared" si="6"/>
        <v>-203940</v>
      </c>
      <c r="W75" s="63">
        <f t="shared" si="6"/>
        <v>-64241</v>
      </c>
      <c r="X75" s="63">
        <f t="shared" si="6"/>
        <v>-100512</v>
      </c>
      <c r="Y75" s="63">
        <f t="shared" si="6"/>
        <v>-33195</v>
      </c>
      <c r="Z75" s="63">
        <f t="shared" si="6"/>
        <v>-30288</v>
      </c>
      <c r="AA75" s="63">
        <f t="shared" si="6"/>
        <v>-228236</v>
      </c>
      <c r="AB75" s="63">
        <f t="shared" si="6"/>
        <v>-30972</v>
      </c>
      <c r="AC75" s="63">
        <f t="shared" si="6"/>
        <v>-139876</v>
      </c>
      <c r="AD75" s="63">
        <f t="shared" si="6"/>
        <v>34519</v>
      </c>
      <c r="AE75" s="63">
        <f>SUM(AE58:AE74)</f>
        <v>53240</v>
      </c>
      <c r="AF75" s="63">
        <v>-11174</v>
      </c>
      <c r="AG75" s="63">
        <v>-40585</v>
      </c>
      <c r="AH75" s="63">
        <v>-12310.567649999997</v>
      </c>
      <c r="AI75" s="63">
        <v>-54549.432350000003</v>
      </c>
      <c r="AJ75" s="63">
        <v>168774</v>
      </c>
      <c r="AK75" s="63">
        <f>SUM(AK58:AK74)</f>
        <v>-20917</v>
      </c>
    </row>
    <row r="76" spans="1:37" x14ac:dyDescent="0.25">
      <c r="A76" s="22"/>
      <c r="B76" s="51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Z76" s="55"/>
      <c r="AA76" s="56"/>
    </row>
    <row r="77" spans="1:37" x14ac:dyDescent="0.25">
      <c r="A77" s="22"/>
      <c r="B77" s="70" t="s">
        <v>190</v>
      </c>
      <c r="C77" s="48"/>
      <c r="D77" s="48"/>
      <c r="E77" s="48"/>
      <c r="F77" s="67"/>
      <c r="G77" s="67"/>
      <c r="H77" s="67"/>
      <c r="I77" s="67"/>
      <c r="J77" s="67"/>
      <c r="K77" s="67"/>
      <c r="L77" s="67"/>
      <c r="M77" s="47"/>
      <c r="N77" s="47"/>
      <c r="O77" s="47"/>
      <c r="P77" s="47"/>
      <c r="Q77" s="47"/>
      <c r="R77" s="47"/>
      <c r="S77" s="47"/>
      <c r="T77" s="68"/>
      <c r="U77" s="68"/>
      <c r="V77" s="68"/>
      <c r="W77" s="68"/>
      <c r="X77" s="68"/>
      <c r="Z77" s="55"/>
      <c r="AA77" s="56"/>
      <c r="AJ77" s="177" t="s">
        <v>364</v>
      </c>
      <c r="AK77" s="177"/>
    </row>
    <row r="78" spans="1:37" x14ac:dyDescent="0.25">
      <c r="A78" s="22"/>
      <c r="B78" s="51" t="s">
        <v>191</v>
      </c>
      <c r="C78" s="65">
        <v>0</v>
      </c>
      <c r="D78" s="65">
        <v>-10842</v>
      </c>
      <c r="E78" s="65">
        <v>0</v>
      </c>
      <c r="F78" s="67">
        <v>-14102</v>
      </c>
      <c r="G78" s="67">
        <v>-24944</v>
      </c>
      <c r="H78" s="65">
        <v>0</v>
      </c>
      <c r="I78" s="65">
        <v>-10576</v>
      </c>
      <c r="J78" s="65">
        <v>0</v>
      </c>
      <c r="K78" s="65">
        <v>0</v>
      </c>
      <c r="L78" s="65">
        <v>-10576</v>
      </c>
      <c r="M78" s="65">
        <v>0</v>
      </c>
      <c r="N78" s="65">
        <v>0</v>
      </c>
      <c r="O78" s="56">
        <v>0</v>
      </c>
      <c r="P78" s="55">
        <v>0</v>
      </c>
      <c r="Q78" s="56">
        <v>0</v>
      </c>
      <c r="R78" s="56">
        <v>0</v>
      </c>
      <c r="S78" s="56">
        <v>0</v>
      </c>
      <c r="T78" s="55">
        <v>0</v>
      </c>
      <c r="U78" s="55">
        <v>0</v>
      </c>
      <c r="V78" s="55">
        <v>0</v>
      </c>
      <c r="W78" s="55">
        <v>0</v>
      </c>
      <c r="X78" s="55">
        <v>-1584</v>
      </c>
      <c r="Y78" s="55">
        <v>0</v>
      </c>
      <c r="Z78" s="55">
        <v>-433</v>
      </c>
      <c r="AA78" s="56">
        <f t="shared" ref="AA78:AA92" si="7">SUM(W78:Z78)</f>
        <v>-2017</v>
      </c>
      <c r="AB78" s="55">
        <v>0</v>
      </c>
      <c r="AC78" s="55"/>
      <c r="AE78" s="55">
        <v>-464</v>
      </c>
      <c r="AF78" s="55">
        <v>0</v>
      </c>
      <c r="AG78" s="55">
        <v>-450.5</v>
      </c>
      <c r="AH78" s="55">
        <v>-446.08465999999999</v>
      </c>
      <c r="AI78" s="55">
        <v>897.08465999999999</v>
      </c>
      <c r="AJ78" s="55">
        <v>0</v>
      </c>
      <c r="AK78" s="55">
        <v>-24643</v>
      </c>
    </row>
    <row r="79" spans="1:37" x14ac:dyDescent="0.25">
      <c r="A79" s="22"/>
      <c r="B79" s="51" t="s">
        <v>192</v>
      </c>
      <c r="C79" s="65">
        <v>0</v>
      </c>
      <c r="D79" s="65">
        <v>0</v>
      </c>
      <c r="E79" s="65">
        <v>0</v>
      </c>
      <c r="F79" s="65">
        <v>0</v>
      </c>
      <c r="G79" s="65">
        <v>0</v>
      </c>
      <c r="H79" s="65">
        <v>0</v>
      </c>
      <c r="I79" s="65">
        <v>0</v>
      </c>
      <c r="J79" s="65">
        <v>0</v>
      </c>
      <c r="K79" s="65">
        <v>0</v>
      </c>
      <c r="L79" s="65">
        <v>0</v>
      </c>
      <c r="M79" s="65">
        <v>0</v>
      </c>
      <c r="N79" s="65">
        <v>0</v>
      </c>
      <c r="O79" s="56">
        <v>0</v>
      </c>
      <c r="P79" s="56">
        <v>0</v>
      </c>
      <c r="Q79" s="56">
        <v>0</v>
      </c>
      <c r="R79" s="56">
        <v>0</v>
      </c>
      <c r="S79" s="55">
        <v>0</v>
      </c>
      <c r="T79" s="55">
        <v>0</v>
      </c>
      <c r="U79" s="55">
        <v>0</v>
      </c>
      <c r="V79" s="55">
        <v>0</v>
      </c>
      <c r="W79" s="55">
        <v>99005</v>
      </c>
      <c r="X79" s="55">
        <v>0</v>
      </c>
      <c r="Y79" s="55">
        <v>0</v>
      </c>
      <c r="Z79" s="55">
        <v>0</v>
      </c>
      <c r="AA79" s="56">
        <f t="shared" si="7"/>
        <v>99005</v>
      </c>
      <c r="AB79" s="55">
        <v>4322</v>
      </c>
      <c r="AC79" s="55"/>
      <c r="AD79" s="55">
        <v>14521</v>
      </c>
      <c r="AE79" s="55">
        <v>0</v>
      </c>
      <c r="AF79" s="55">
        <v>0</v>
      </c>
      <c r="AG79" s="55">
        <v>0</v>
      </c>
      <c r="AH79" s="55">
        <v>0</v>
      </c>
      <c r="AI79" s="55">
        <v>0</v>
      </c>
      <c r="AJ79" s="55">
        <v>0</v>
      </c>
      <c r="AK79" s="55">
        <v>0</v>
      </c>
    </row>
    <row r="80" spans="1:37" x14ac:dyDescent="0.25">
      <c r="A80" s="22"/>
      <c r="B80" s="51" t="s">
        <v>193</v>
      </c>
      <c r="C80" s="65">
        <v>-13181</v>
      </c>
      <c r="D80" s="65">
        <v>0</v>
      </c>
      <c r="E80" s="65">
        <v>0</v>
      </c>
      <c r="F80" s="67">
        <v>0</v>
      </c>
      <c r="G80" s="67">
        <v>-13181</v>
      </c>
      <c r="H80" s="65">
        <v>0</v>
      </c>
      <c r="I80" s="65">
        <v>0</v>
      </c>
      <c r="J80" s="65">
        <v>0</v>
      </c>
      <c r="K80" s="65">
        <v>-20541</v>
      </c>
      <c r="L80" s="65">
        <v>-20541</v>
      </c>
      <c r="M80" s="65">
        <v>-37438</v>
      </c>
      <c r="N80" s="65">
        <v>0</v>
      </c>
      <c r="O80" s="56">
        <v>0</v>
      </c>
      <c r="P80" s="55">
        <v>-4872</v>
      </c>
      <c r="Q80" s="56">
        <v>-42310</v>
      </c>
      <c r="R80" s="56">
        <v>-22170</v>
      </c>
      <c r="S80" s="56">
        <v>0</v>
      </c>
      <c r="T80" s="55">
        <v>0</v>
      </c>
      <c r="U80" s="55">
        <v>-22170</v>
      </c>
      <c r="V80" s="55">
        <v>-44340</v>
      </c>
      <c r="W80" s="55">
        <v>0</v>
      </c>
      <c r="X80" s="55">
        <v>0</v>
      </c>
      <c r="Y80" s="55">
        <v>0</v>
      </c>
      <c r="Z80" s="55">
        <v>0</v>
      </c>
      <c r="AA80" s="56">
        <f t="shared" si="7"/>
        <v>0</v>
      </c>
      <c r="AB80" s="55">
        <v>-23144</v>
      </c>
      <c r="AC80" s="55"/>
      <c r="AD80" s="55"/>
      <c r="AE80" s="55"/>
      <c r="AF80" s="55">
        <v>-21000</v>
      </c>
      <c r="AG80" s="55">
        <v>-14421</v>
      </c>
      <c r="AH80" s="55">
        <v>-16016</v>
      </c>
      <c r="AI80" s="55">
        <v>-46232</v>
      </c>
      <c r="AJ80" s="55"/>
      <c r="AK80" s="55">
        <v>-27334</v>
      </c>
    </row>
    <row r="81" spans="1:37" x14ac:dyDescent="0.25">
      <c r="A81" s="22"/>
      <c r="B81" s="51" t="s">
        <v>194</v>
      </c>
      <c r="C81" s="65">
        <v>-3724</v>
      </c>
      <c r="D81" s="65">
        <v>-6677</v>
      </c>
      <c r="E81" s="65">
        <v>-1327</v>
      </c>
      <c r="F81" s="67">
        <v>0</v>
      </c>
      <c r="G81" s="67">
        <v>-11728</v>
      </c>
      <c r="H81" s="67">
        <v>-1876</v>
      </c>
      <c r="I81" s="67">
        <v>0</v>
      </c>
      <c r="J81" s="67">
        <v>-2336</v>
      </c>
      <c r="K81" s="67">
        <v>0</v>
      </c>
      <c r="L81" s="68">
        <v>-4212</v>
      </c>
      <c r="M81" s="67">
        <v>0</v>
      </c>
      <c r="N81" s="65">
        <v>0</v>
      </c>
      <c r="O81" s="56">
        <v>-1187</v>
      </c>
      <c r="P81" s="55">
        <v>0</v>
      </c>
      <c r="Q81" s="56">
        <v>-1187</v>
      </c>
      <c r="R81" s="56">
        <v>-3613</v>
      </c>
      <c r="S81" s="56">
        <v>0</v>
      </c>
      <c r="T81" s="55">
        <v>0</v>
      </c>
      <c r="U81" s="55">
        <v>-5217.0000000000009</v>
      </c>
      <c r="V81" s="55">
        <v>-8830</v>
      </c>
      <c r="W81" s="55">
        <v>0</v>
      </c>
      <c r="X81" s="55">
        <v>-621</v>
      </c>
      <c r="Y81" s="55">
        <v>398</v>
      </c>
      <c r="Z81" s="55">
        <v>-6773</v>
      </c>
      <c r="AA81" s="56">
        <f t="shared" si="7"/>
        <v>-6996</v>
      </c>
      <c r="AB81" s="55">
        <v>-8158</v>
      </c>
      <c r="AC81" s="55">
        <v>-2347</v>
      </c>
      <c r="AD81" s="55">
        <v>27</v>
      </c>
      <c r="AE81" s="55">
        <v>-8899</v>
      </c>
      <c r="AF81" s="55">
        <v>87</v>
      </c>
      <c r="AG81" s="55">
        <v>-40.970430000000199</v>
      </c>
      <c r="AH81" s="55">
        <v>296.12957</v>
      </c>
      <c r="AI81" s="55">
        <v>-0.12957000000000107</v>
      </c>
      <c r="AJ81" s="55">
        <v>858</v>
      </c>
      <c r="AK81" s="55">
        <v>443</v>
      </c>
    </row>
    <row r="82" spans="1:37" x14ac:dyDescent="0.25">
      <c r="B82" s="51" t="s">
        <v>195</v>
      </c>
      <c r="C82" s="65">
        <v>-2577</v>
      </c>
      <c r="D82" s="65">
        <v>-2096</v>
      </c>
      <c r="E82" s="65">
        <v>-2118</v>
      </c>
      <c r="F82" s="67">
        <v>-2597</v>
      </c>
      <c r="G82" s="67">
        <v>-9388</v>
      </c>
      <c r="H82" s="67">
        <v>-1696</v>
      </c>
      <c r="I82" s="67">
        <v>-1806</v>
      </c>
      <c r="J82" s="67">
        <v>-967</v>
      </c>
      <c r="K82" s="67">
        <v>-633</v>
      </c>
      <c r="L82" s="68">
        <v>-5102</v>
      </c>
      <c r="M82" s="68">
        <v>-5443</v>
      </c>
      <c r="N82" s="65">
        <v>-3854</v>
      </c>
      <c r="O82" s="56">
        <v>-6314</v>
      </c>
      <c r="P82" s="55">
        <v>-6138</v>
      </c>
      <c r="Q82" s="56">
        <v>-21749</v>
      </c>
      <c r="R82" s="56">
        <v>-6008</v>
      </c>
      <c r="S82" s="56">
        <v>-8656</v>
      </c>
      <c r="T82" s="55">
        <v>-8122</v>
      </c>
      <c r="U82" s="55">
        <v>-7379.9999999999991</v>
      </c>
      <c r="V82" s="55">
        <v>-30166</v>
      </c>
      <c r="W82" s="55">
        <v>-6815</v>
      </c>
      <c r="X82" s="55">
        <v>-5733.9999999999991</v>
      </c>
      <c r="Y82" s="55">
        <v>-5623.9999999999991</v>
      </c>
      <c r="Z82" s="55">
        <v>-6943</v>
      </c>
      <c r="AA82" s="56">
        <f t="shared" si="7"/>
        <v>-25116</v>
      </c>
      <c r="AB82" s="55">
        <v>-6030</v>
      </c>
      <c r="AC82" s="55">
        <v>-5287</v>
      </c>
      <c r="AD82" s="55">
        <v>-3045</v>
      </c>
      <c r="AE82" s="55">
        <v>-4070</v>
      </c>
      <c r="AF82" s="55">
        <v>-3651</v>
      </c>
      <c r="AG82" s="55">
        <v>-3268</v>
      </c>
      <c r="AH82" s="55">
        <v>-3427</v>
      </c>
      <c r="AI82" s="55">
        <v>-3638</v>
      </c>
      <c r="AJ82" s="55">
        <v>-3153</v>
      </c>
      <c r="AK82" s="55">
        <v>-3168</v>
      </c>
    </row>
    <row r="83" spans="1:37" x14ac:dyDescent="0.25">
      <c r="B83" s="51" t="s">
        <v>196</v>
      </c>
      <c r="C83" s="65">
        <v>0</v>
      </c>
      <c r="D83" s="65">
        <v>0</v>
      </c>
      <c r="E83" s="65">
        <v>0</v>
      </c>
      <c r="F83" s="65">
        <v>0</v>
      </c>
      <c r="G83" s="65">
        <v>0</v>
      </c>
      <c r="H83" s="65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5">
        <v>-2925</v>
      </c>
      <c r="O83" s="56">
        <v>-633</v>
      </c>
      <c r="P83" s="55">
        <v>-1253</v>
      </c>
      <c r="Q83" s="56">
        <v>-4811</v>
      </c>
      <c r="R83" s="56">
        <v>-1282</v>
      </c>
      <c r="S83" s="56">
        <v>-1532</v>
      </c>
      <c r="T83" s="55">
        <v>-1617</v>
      </c>
      <c r="U83" s="55">
        <v>-1471.9999999999995</v>
      </c>
      <c r="V83" s="55">
        <v>-5903</v>
      </c>
      <c r="W83" s="55">
        <v>-1486</v>
      </c>
      <c r="X83" s="55">
        <v>-1240.9999999999998</v>
      </c>
      <c r="Y83" s="55">
        <v>-1291</v>
      </c>
      <c r="Z83" s="55">
        <v>-1348</v>
      </c>
      <c r="AA83" s="56">
        <f t="shared" si="7"/>
        <v>-5366</v>
      </c>
      <c r="AB83" s="55">
        <v>-1109</v>
      </c>
      <c r="AC83" s="55">
        <v>-1078</v>
      </c>
      <c r="AD83" s="55">
        <v>-1095</v>
      </c>
      <c r="AE83" s="55">
        <v>-711</v>
      </c>
      <c r="AF83" s="55">
        <v>0</v>
      </c>
      <c r="AG83" s="55">
        <v>-62</v>
      </c>
      <c r="AH83" s="55">
        <v>-39</v>
      </c>
      <c r="AI83" s="55">
        <v>14</v>
      </c>
      <c r="AJ83" s="55">
        <v>-29</v>
      </c>
      <c r="AK83" s="55">
        <v>-26</v>
      </c>
    </row>
    <row r="84" spans="1:37" x14ac:dyDescent="0.25">
      <c r="A84" s="22"/>
      <c r="B84" s="51" t="s">
        <v>197</v>
      </c>
      <c r="C84" s="65">
        <v>0</v>
      </c>
      <c r="D84" s="65">
        <v>0</v>
      </c>
      <c r="E84" s="65">
        <v>0</v>
      </c>
      <c r="F84" s="68">
        <v>0</v>
      </c>
      <c r="G84" s="68">
        <v>0</v>
      </c>
      <c r="H84" s="68">
        <v>0</v>
      </c>
      <c r="I84" s="68">
        <v>356864</v>
      </c>
      <c r="J84" s="68">
        <v>208</v>
      </c>
      <c r="K84" s="68">
        <v>0</v>
      </c>
      <c r="L84" s="68">
        <v>357072</v>
      </c>
      <c r="M84" s="68">
        <v>0</v>
      </c>
      <c r="N84" s="65">
        <v>0</v>
      </c>
      <c r="O84" s="56">
        <v>0</v>
      </c>
      <c r="P84" s="55">
        <v>0</v>
      </c>
      <c r="Q84" s="56"/>
      <c r="R84" s="56">
        <v>0</v>
      </c>
      <c r="S84" s="56">
        <v>0</v>
      </c>
      <c r="T84" s="55">
        <v>0</v>
      </c>
      <c r="U84" s="55">
        <v>0</v>
      </c>
      <c r="V84" s="55"/>
      <c r="W84" s="55">
        <v>0</v>
      </c>
      <c r="X84" s="55">
        <v>522389</v>
      </c>
      <c r="Y84" s="55">
        <v>0</v>
      </c>
      <c r="Z84" s="55"/>
      <c r="AA84" s="56">
        <f t="shared" si="7"/>
        <v>522389</v>
      </c>
      <c r="AB84" s="55">
        <v>0</v>
      </c>
      <c r="AC84" s="55">
        <v>245780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/>
      <c r="AK84" s="55">
        <v>241392</v>
      </c>
    </row>
    <row r="85" spans="1:37" x14ac:dyDescent="0.25">
      <c r="A85" s="22"/>
      <c r="B85" s="51" t="s">
        <v>198</v>
      </c>
      <c r="C85" s="65">
        <v>0</v>
      </c>
      <c r="D85" s="65">
        <v>-62500</v>
      </c>
      <c r="E85" s="65">
        <v>0</v>
      </c>
      <c r="F85" s="68">
        <v>0</v>
      </c>
      <c r="G85" s="68">
        <v>-62500</v>
      </c>
      <c r="H85" s="68">
        <v>0</v>
      </c>
      <c r="I85" s="68">
        <v>-125000</v>
      </c>
      <c r="J85" s="68">
        <v>-199613</v>
      </c>
      <c r="K85" s="68">
        <v>0</v>
      </c>
      <c r="L85" s="68">
        <v>-324613</v>
      </c>
      <c r="M85" s="68">
        <v>0</v>
      </c>
      <c r="N85" s="65">
        <v>0</v>
      </c>
      <c r="O85" s="56">
        <v>0</v>
      </c>
      <c r="P85" s="55">
        <v>0</v>
      </c>
      <c r="Q85" s="56"/>
      <c r="R85" s="56">
        <v>0</v>
      </c>
      <c r="S85" s="56">
        <v>-90000</v>
      </c>
      <c r="T85" s="55">
        <v>0</v>
      </c>
      <c r="U85" s="55">
        <v>0</v>
      </c>
      <c r="V85" s="55">
        <v>-90000</v>
      </c>
      <c r="W85" s="55">
        <v>0</v>
      </c>
      <c r="X85" s="55">
        <v>-90000</v>
      </c>
      <c r="Y85" s="55">
        <v>0</v>
      </c>
      <c r="Z85" s="55"/>
      <c r="AA85" s="56">
        <f t="shared" si="7"/>
        <v>-90000</v>
      </c>
      <c r="AB85" s="55">
        <v>-2700</v>
      </c>
      <c r="AC85" s="55">
        <v>-371705</v>
      </c>
      <c r="AD85" s="55">
        <v>-20980</v>
      </c>
      <c r="AE85" s="55">
        <v>-225315</v>
      </c>
      <c r="AF85" s="55">
        <v>0</v>
      </c>
      <c r="AG85" s="55">
        <v>-90000</v>
      </c>
      <c r="AH85" s="55">
        <v>0</v>
      </c>
      <c r="AI85" s="55">
        <v>0</v>
      </c>
      <c r="AJ85" s="55"/>
      <c r="AK85" s="55">
        <v>-243141</v>
      </c>
    </row>
    <row r="86" spans="1:37" x14ac:dyDescent="0.25">
      <c r="A86" s="22"/>
      <c r="B86" s="51" t="s">
        <v>199</v>
      </c>
      <c r="C86" s="65">
        <v>0</v>
      </c>
      <c r="D86" s="65">
        <v>-25217</v>
      </c>
      <c r="E86" s="65">
        <v>0</v>
      </c>
      <c r="F86" s="68">
        <v>-15567</v>
      </c>
      <c r="G86" s="68">
        <v>-40784</v>
      </c>
      <c r="H86" s="68">
        <v>0</v>
      </c>
      <c r="I86" s="68">
        <v>-11673</v>
      </c>
      <c r="J86" s="68">
        <v>-1356</v>
      </c>
      <c r="K86" s="68">
        <v>-13008</v>
      </c>
      <c r="L86" s="68">
        <v>-26037</v>
      </c>
      <c r="M86" s="68">
        <v>0</v>
      </c>
      <c r="N86" s="65">
        <v>-12862</v>
      </c>
      <c r="O86" s="56">
        <v>0</v>
      </c>
      <c r="P86" s="55">
        <v>-12071</v>
      </c>
      <c r="Q86" s="56">
        <v>-24933</v>
      </c>
      <c r="R86" s="56">
        <v>0</v>
      </c>
      <c r="S86" s="56">
        <v>-7940</v>
      </c>
      <c r="T86" s="55">
        <v>1</v>
      </c>
      <c r="U86" s="55">
        <v>-3179.0000000000005</v>
      </c>
      <c r="V86" s="55">
        <v>-11118</v>
      </c>
      <c r="W86" s="55">
        <v>0</v>
      </c>
      <c r="X86" s="55">
        <v>-2992</v>
      </c>
      <c r="Y86" s="55">
        <v>0</v>
      </c>
      <c r="Z86" s="55">
        <v>-29605</v>
      </c>
      <c r="AA86" s="56">
        <f t="shared" si="7"/>
        <v>-32597</v>
      </c>
      <c r="AB86" s="55">
        <v>-864</v>
      </c>
      <c r="AC86" s="55">
        <v>-56496</v>
      </c>
      <c r="AD86" s="55">
        <v>-5562</v>
      </c>
      <c r="AE86" s="55">
        <v>-42554</v>
      </c>
      <c r="AF86" s="55">
        <v>0</v>
      </c>
      <c r="AG86" s="55">
        <v>-26961</v>
      </c>
      <c r="AH86" s="55">
        <v>-1</v>
      </c>
      <c r="AI86" s="55">
        <v>-19743</v>
      </c>
      <c r="AJ86" s="55"/>
      <c r="AK86" s="55">
        <v>-18261</v>
      </c>
    </row>
    <row r="87" spans="1:37" x14ac:dyDescent="0.25">
      <c r="A87" s="22"/>
      <c r="B87" s="51" t="s">
        <v>200</v>
      </c>
      <c r="C87" s="65">
        <v>0</v>
      </c>
      <c r="D87" s="65">
        <v>0</v>
      </c>
      <c r="E87" s="65">
        <v>0</v>
      </c>
      <c r="F87" s="68">
        <v>0</v>
      </c>
      <c r="G87" s="68">
        <v>0</v>
      </c>
      <c r="H87" s="68">
        <v>0</v>
      </c>
      <c r="I87" s="68"/>
      <c r="J87" s="68">
        <v>0</v>
      </c>
      <c r="K87" s="68">
        <v>0</v>
      </c>
      <c r="L87" s="68">
        <v>0</v>
      </c>
      <c r="M87" s="68">
        <v>0</v>
      </c>
      <c r="N87" s="65">
        <v>0</v>
      </c>
      <c r="O87" s="56">
        <v>0</v>
      </c>
      <c r="P87" s="55">
        <v>3</v>
      </c>
      <c r="Q87" s="56">
        <v>3</v>
      </c>
      <c r="R87" s="56">
        <v>0</v>
      </c>
      <c r="S87" s="56">
        <v>0</v>
      </c>
      <c r="T87" s="55">
        <v>0</v>
      </c>
      <c r="U87" s="55">
        <v>89</v>
      </c>
      <c r="V87" s="55">
        <v>89</v>
      </c>
      <c r="W87" s="55">
        <v>0</v>
      </c>
      <c r="X87" s="55">
        <v>0</v>
      </c>
      <c r="Y87" s="55">
        <v>0</v>
      </c>
      <c r="Z87" s="55"/>
      <c r="AA87" s="56">
        <f t="shared" si="7"/>
        <v>0</v>
      </c>
      <c r="AB87" s="55">
        <v>0</v>
      </c>
      <c r="AC87" s="55"/>
      <c r="AD87" s="55"/>
      <c r="AE87" s="55"/>
      <c r="AF87" s="55"/>
      <c r="AG87" s="55"/>
      <c r="AH87" s="55">
        <v>30000</v>
      </c>
      <c r="AI87" s="55">
        <v>0</v>
      </c>
      <c r="AJ87" s="55"/>
      <c r="AK87" s="55">
        <v>0</v>
      </c>
    </row>
    <row r="88" spans="1:37" x14ac:dyDescent="0.25">
      <c r="A88" s="22"/>
      <c r="B88" s="51" t="s">
        <v>201</v>
      </c>
      <c r="C88" s="65">
        <v>-206</v>
      </c>
      <c r="D88" s="65">
        <v>-181</v>
      </c>
      <c r="E88" s="65">
        <v>-145</v>
      </c>
      <c r="F88" s="68">
        <v>-114</v>
      </c>
      <c r="G88" s="68">
        <v>-646</v>
      </c>
      <c r="H88" s="68">
        <v>-83</v>
      </c>
      <c r="I88" s="68">
        <v>-53</v>
      </c>
      <c r="J88" s="68">
        <v>-21</v>
      </c>
      <c r="K88" s="68">
        <v>0</v>
      </c>
      <c r="L88" s="68">
        <v>-157</v>
      </c>
      <c r="M88" s="72">
        <v>0</v>
      </c>
      <c r="N88" s="65">
        <v>0</v>
      </c>
      <c r="O88" s="56">
        <v>0</v>
      </c>
      <c r="P88" s="55">
        <v>0</v>
      </c>
      <c r="Q88" s="56">
        <v>0</v>
      </c>
      <c r="R88" s="56">
        <v>0</v>
      </c>
      <c r="S88" s="56">
        <v>0</v>
      </c>
      <c r="T88" s="55">
        <v>-11</v>
      </c>
      <c r="U88" s="55">
        <v>11</v>
      </c>
      <c r="V88" s="55">
        <v>0</v>
      </c>
      <c r="W88" s="55">
        <v>0</v>
      </c>
      <c r="X88" s="55">
        <v>-32609</v>
      </c>
      <c r="Y88" s="55">
        <v>0</v>
      </c>
      <c r="Z88" s="55"/>
      <c r="AA88" s="56">
        <f t="shared" si="7"/>
        <v>-32609</v>
      </c>
      <c r="AB88" s="55"/>
      <c r="AC88" s="55"/>
      <c r="AD88" s="55"/>
      <c r="AE88" s="55"/>
      <c r="AF88" s="55"/>
      <c r="AG88" s="55"/>
      <c r="AH88" s="55"/>
      <c r="AI88" s="55"/>
      <c r="AJ88" s="55">
        <v>-1538</v>
      </c>
      <c r="AK88" s="55">
        <v>1</v>
      </c>
    </row>
    <row r="89" spans="1:37" x14ac:dyDescent="0.25">
      <c r="A89" s="22"/>
      <c r="B89" s="51" t="s">
        <v>202</v>
      </c>
      <c r="C89" s="65">
        <v>-1688</v>
      </c>
      <c r="D89" s="65">
        <v>-1694</v>
      </c>
      <c r="E89" s="65">
        <v>-1698</v>
      </c>
      <c r="F89" s="68">
        <v>-1702</v>
      </c>
      <c r="G89" s="68">
        <v>-6782</v>
      </c>
      <c r="H89" s="68">
        <v>-1705</v>
      </c>
      <c r="I89" s="68">
        <v>-1709</v>
      </c>
      <c r="J89" s="68">
        <v>-1711</v>
      </c>
      <c r="K89" s="68">
        <v>0</v>
      </c>
      <c r="L89" s="68">
        <v>-5125</v>
      </c>
      <c r="M89" s="68">
        <v>0</v>
      </c>
      <c r="N89" s="65">
        <v>0</v>
      </c>
      <c r="O89" s="56">
        <v>0</v>
      </c>
      <c r="P89" s="55">
        <v>-3</v>
      </c>
      <c r="Q89" s="56">
        <v>-3</v>
      </c>
      <c r="R89" s="56">
        <v>0</v>
      </c>
      <c r="S89" s="56">
        <v>0</v>
      </c>
      <c r="T89" s="55">
        <v>0</v>
      </c>
      <c r="U89" s="55">
        <v>-39</v>
      </c>
      <c r="V89" s="55">
        <v>-39</v>
      </c>
      <c r="W89" s="55">
        <v>-32</v>
      </c>
      <c r="X89" s="55">
        <v>-44</v>
      </c>
      <c r="Y89" s="55">
        <v>0</v>
      </c>
      <c r="Z89" s="55">
        <v>-30</v>
      </c>
      <c r="AA89" s="56">
        <f t="shared" si="7"/>
        <v>-106</v>
      </c>
      <c r="AB89" s="55">
        <v>-10</v>
      </c>
      <c r="AC89" s="55">
        <v>-1</v>
      </c>
      <c r="AD89" s="55"/>
      <c r="AE89" s="55"/>
      <c r="AF89" s="55">
        <v>0</v>
      </c>
      <c r="AG89" s="55">
        <v>0</v>
      </c>
      <c r="AH89" s="55">
        <v>0</v>
      </c>
      <c r="AI89" s="55">
        <v>0</v>
      </c>
      <c r="AJ89" s="55"/>
      <c r="AK89" s="55">
        <v>-427</v>
      </c>
    </row>
    <row r="90" spans="1:37" x14ac:dyDescent="0.25">
      <c r="A90" s="22"/>
      <c r="B90" s="51" t="s">
        <v>203</v>
      </c>
      <c r="C90" s="65">
        <v>0</v>
      </c>
      <c r="D90" s="65">
        <v>332029</v>
      </c>
      <c r="E90" s="65">
        <v>0</v>
      </c>
      <c r="F90" s="68">
        <v>-1613</v>
      </c>
      <c r="G90" s="68">
        <v>330416</v>
      </c>
      <c r="H90" s="65">
        <v>0</v>
      </c>
      <c r="I90" s="65">
        <v>0</v>
      </c>
      <c r="J90" s="65">
        <v>11136</v>
      </c>
      <c r="K90" s="65">
        <v>67435</v>
      </c>
      <c r="L90" s="65">
        <v>78571</v>
      </c>
      <c r="M90" s="65">
        <v>17118</v>
      </c>
      <c r="N90" s="65">
        <v>258247</v>
      </c>
      <c r="O90" s="56">
        <v>23</v>
      </c>
      <c r="P90" s="55">
        <v>149</v>
      </c>
      <c r="Q90" s="56">
        <v>275537</v>
      </c>
      <c r="R90" s="56">
        <v>13650</v>
      </c>
      <c r="S90" s="56">
        <v>389239</v>
      </c>
      <c r="T90" s="55">
        <v>263</v>
      </c>
      <c r="U90" s="55">
        <v>39170.999999999993</v>
      </c>
      <c r="V90" s="55">
        <v>441610</v>
      </c>
      <c r="W90" s="55">
        <v>111293</v>
      </c>
      <c r="X90" s="55">
        <v>0</v>
      </c>
      <c r="Y90" s="55">
        <v>1.0000000000047748</v>
      </c>
      <c r="Z90" s="55"/>
      <c r="AA90" s="56">
        <f t="shared" si="7"/>
        <v>111294</v>
      </c>
      <c r="AB90" s="55">
        <v>131930</v>
      </c>
      <c r="AC90" s="55">
        <v>160944</v>
      </c>
      <c r="AD90" s="55">
        <v>32486</v>
      </c>
      <c r="AE90" s="55">
        <v>89786</v>
      </c>
      <c r="AF90" s="55">
        <v>41321</v>
      </c>
      <c r="AG90" s="55">
        <v>104456</v>
      </c>
      <c r="AH90" s="55">
        <v>0</v>
      </c>
      <c r="AI90" s="55">
        <v>266474</v>
      </c>
      <c r="AJ90" s="55"/>
      <c r="AK90" s="55">
        <v>-112</v>
      </c>
    </row>
    <row r="91" spans="1:37" x14ac:dyDescent="0.25">
      <c r="A91" s="22"/>
      <c r="B91" s="51" t="s">
        <v>204</v>
      </c>
      <c r="C91" s="65">
        <v>-8478</v>
      </c>
      <c r="D91" s="65">
        <v>-211310</v>
      </c>
      <c r="E91" s="65">
        <v>0</v>
      </c>
      <c r="F91" s="68">
        <v>-11431</v>
      </c>
      <c r="G91" s="68">
        <v>-231219</v>
      </c>
      <c r="H91" s="68">
        <v>-8672</v>
      </c>
      <c r="I91" s="68">
        <v>-39955</v>
      </c>
      <c r="J91" s="68">
        <v>-27820</v>
      </c>
      <c r="K91" s="68">
        <v>-81791</v>
      </c>
      <c r="L91" s="68">
        <v>-158238</v>
      </c>
      <c r="M91" s="68">
        <v>-20108</v>
      </c>
      <c r="N91" s="65">
        <v>-213146</v>
      </c>
      <c r="O91" s="56">
        <v>-7532</v>
      </c>
      <c r="P91" s="55">
        <v>-46249</v>
      </c>
      <c r="Q91" s="56">
        <v>-287035</v>
      </c>
      <c r="R91" s="56">
        <v>-5905</v>
      </c>
      <c r="S91" s="56">
        <v>-79959</v>
      </c>
      <c r="T91" s="55">
        <v>-22006</v>
      </c>
      <c r="U91" s="55">
        <v>-45111.999999999993</v>
      </c>
      <c r="V91" s="55">
        <v>-152982</v>
      </c>
      <c r="W91" s="55">
        <v>-34447</v>
      </c>
      <c r="X91" s="55">
        <v>21740.999999999985</v>
      </c>
      <c r="Y91" s="55">
        <v>-170.99999999993543</v>
      </c>
      <c r="Z91" s="55">
        <v>-29275</v>
      </c>
      <c r="AA91" s="56">
        <f t="shared" si="7"/>
        <v>-42151.999999999949</v>
      </c>
      <c r="AB91" s="55">
        <v>-111070</v>
      </c>
      <c r="AC91" s="55">
        <v>-116765</v>
      </c>
      <c r="AD91" s="55">
        <v>-4689</v>
      </c>
      <c r="AE91" s="55">
        <v>-95264</v>
      </c>
      <c r="AF91" s="55">
        <v>-15587</v>
      </c>
      <c r="AG91" s="55">
        <v>-122986</v>
      </c>
      <c r="AH91" s="55">
        <v>-78384</v>
      </c>
      <c r="AI91" s="55">
        <v>-277982</v>
      </c>
      <c r="AJ91" s="55">
        <v>-18540</v>
      </c>
      <c r="AK91" s="55">
        <v>-106902</v>
      </c>
    </row>
    <row r="92" spans="1:37" x14ac:dyDescent="0.25">
      <c r="A92" s="22"/>
      <c r="B92" s="51" t="s">
        <v>205</v>
      </c>
      <c r="C92" s="65">
        <v>-1517</v>
      </c>
      <c r="D92" s="65">
        <v>-8586</v>
      </c>
      <c r="E92" s="65">
        <v>-893</v>
      </c>
      <c r="F92" s="67">
        <v>-10705</v>
      </c>
      <c r="G92" s="67">
        <v>-21701</v>
      </c>
      <c r="H92" s="65">
        <v>-1282</v>
      </c>
      <c r="I92" s="65">
        <v>-11770</v>
      </c>
      <c r="J92" s="65">
        <v>-1148</v>
      </c>
      <c r="K92" s="65">
        <v>-12656</v>
      </c>
      <c r="L92" s="65">
        <v>-26856</v>
      </c>
      <c r="M92" s="65">
        <v>-755</v>
      </c>
      <c r="N92" s="65">
        <v>-11622</v>
      </c>
      <c r="O92" s="56">
        <v>-1905</v>
      </c>
      <c r="P92" s="55">
        <v>-10861</v>
      </c>
      <c r="Q92" s="56">
        <v>-25143</v>
      </c>
      <c r="R92" s="56">
        <v>-2089</v>
      </c>
      <c r="S92" s="56">
        <v>-15049</v>
      </c>
      <c r="T92" s="55">
        <v>-3632</v>
      </c>
      <c r="U92" s="55">
        <v>-14820</v>
      </c>
      <c r="V92" s="55">
        <v>-35580</v>
      </c>
      <c r="W92" s="55">
        <v>-4417</v>
      </c>
      <c r="X92" s="55">
        <v>-565696</v>
      </c>
      <c r="Y92" s="55">
        <v>-4900.9999999999964</v>
      </c>
      <c r="Z92" s="55">
        <v>-5290</v>
      </c>
      <c r="AA92" s="56">
        <f t="shared" si="7"/>
        <v>-580304</v>
      </c>
      <c r="AB92" s="55">
        <v>-8070</v>
      </c>
      <c r="AC92" s="55">
        <v>-12486</v>
      </c>
      <c r="AD92" s="55">
        <v>-9693</v>
      </c>
      <c r="AE92" s="55">
        <v>-16123</v>
      </c>
      <c r="AF92" s="55">
        <v>-11424</v>
      </c>
      <c r="AG92" s="55">
        <v>-14752</v>
      </c>
      <c r="AH92" s="55">
        <v>-5336</v>
      </c>
      <c r="AI92" s="55">
        <v>-16297</v>
      </c>
      <c r="AJ92" s="55">
        <v>-7714</v>
      </c>
      <c r="AK92" s="55">
        <v>-13000</v>
      </c>
    </row>
    <row r="93" spans="1:37" ht="16.5" customHeight="1" x14ac:dyDescent="0.25">
      <c r="A93" s="22"/>
      <c r="B93" s="62" t="s">
        <v>206</v>
      </c>
      <c r="C93" s="63">
        <v>-31371</v>
      </c>
      <c r="D93" s="63">
        <v>2926</v>
      </c>
      <c r="E93" s="63">
        <v>-6181</v>
      </c>
      <c r="F93" s="63">
        <v>-57831</v>
      </c>
      <c r="G93" s="63">
        <f>SUM(G78:G92)</f>
        <v>-92457</v>
      </c>
      <c r="H93" s="63">
        <v>-15314</v>
      </c>
      <c r="I93" s="63">
        <v>154322</v>
      </c>
      <c r="J93" s="63">
        <v>-223628</v>
      </c>
      <c r="K93" s="63">
        <f>SUM(K76:K92)</f>
        <v>-61194</v>
      </c>
      <c r="L93" s="63">
        <f>SUM(L76:L92)</f>
        <v>-145814</v>
      </c>
      <c r="M93" s="63">
        <f>SUM(M76:M92)</f>
        <v>-46626</v>
      </c>
      <c r="N93" s="63">
        <f>SUM(N76:N92)</f>
        <v>13838</v>
      </c>
      <c r="O93" s="63">
        <f>SUM(O76:O92)</f>
        <v>-17548</v>
      </c>
      <c r="P93" s="63">
        <v>-81295</v>
      </c>
      <c r="Q93" s="63">
        <f t="shared" ref="Q93:AD93" si="8">SUM(Q76:Q92)</f>
        <v>-131631</v>
      </c>
      <c r="R93" s="63">
        <f t="shared" si="8"/>
        <v>-27417</v>
      </c>
      <c r="S93" s="63">
        <f t="shared" si="8"/>
        <v>186103</v>
      </c>
      <c r="T93" s="63">
        <f t="shared" si="8"/>
        <v>-35124</v>
      </c>
      <c r="U93" s="63">
        <f t="shared" si="8"/>
        <v>-60118</v>
      </c>
      <c r="V93" s="63">
        <f t="shared" si="8"/>
        <v>62741</v>
      </c>
      <c r="W93" s="63">
        <f t="shared" si="8"/>
        <v>163101</v>
      </c>
      <c r="X93" s="63">
        <f t="shared" si="8"/>
        <v>-156391</v>
      </c>
      <c r="Y93" s="63">
        <f t="shared" si="8"/>
        <v>-11587.999999999927</v>
      </c>
      <c r="Z93" s="63">
        <f t="shared" si="8"/>
        <v>-79697</v>
      </c>
      <c r="AA93" s="63">
        <f t="shared" si="8"/>
        <v>-84574.999999999942</v>
      </c>
      <c r="AB93" s="63">
        <f t="shared" si="8"/>
        <v>-24903</v>
      </c>
      <c r="AC93" s="63">
        <f t="shared" si="8"/>
        <v>-159441</v>
      </c>
      <c r="AD93" s="63">
        <f t="shared" si="8"/>
        <v>1970</v>
      </c>
      <c r="AE93" s="63">
        <f>SUM(AE76:AE92)</f>
        <v>-303614</v>
      </c>
      <c r="AF93" s="63">
        <v>-10254</v>
      </c>
      <c r="AG93" s="63">
        <v>-168485.47042999999</v>
      </c>
      <c r="AH93" s="63">
        <v>-73352.955090000003</v>
      </c>
      <c r="AI93" s="63">
        <v>-96507.044909999997</v>
      </c>
      <c r="AJ93" s="63">
        <v>-30116</v>
      </c>
      <c r="AK93" s="63">
        <f>SUM(AK76:AK92)</f>
        <v>-195178</v>
      </c>
    </row>
    <row r="94" spans="1:37" x14ac:dyDescent="0.25">
      <c r="A94" s="22"/>
      <c r="B94" s="51"/>
      <c r="C94" s="48"/>
      <c r="D94" s="48"/>
      <c r="E94" s="48"/>
      <c r="F94" s="48"/>
      <c r="G94" s="48"/>
      <c r="H94" s="48"/>
      <c r="I94" s="48"/>
      <c r="J94" s="48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AA94" s="56"/>
    </row>
    <row r="95" spans="1:37" ht="16.5" customHeight="1" x14ac:dyDescent="0.25">
      <c r="A95" s="22"/>
      <c r="B95" s="62" t="s">
        <v>207</v>
      </c>
      <c r="C95" s="63">
        <f t="shared" ref="C95:H95" si="9">C93+C75+C57</f>
        <v>-44674</v>
      </c>
      <c r="D95" s="63">
        <f t="shared" si="9"/>
        <v>-44694</v>
      </c>
      <c r="E95" s="63">
        <f t="shared" si="9"/>
        <v>-4916</v>
      </c>
      <c r="F95" s="63">
        <f t="shared" si="9"/>
        <v>-10258</v>
      </c>
      <c r="G95" s="63">
        <f t="shared" si="9"/>
        <v>-104542</v>
      </c>
      <c r="H95" s="63">
        <f t="shared" si="9"/>
        <v>15664.362999999998</v>
      </c>
      <c r="I95" s="63">
        <v>197857.63699999999</v>
      </c>
      <c r="J95" s="63">
        <v>-183235</v>
      </c>
      <c r="K95" s="63">
        <f>K93+K75+K57</f>
        <v>-13505</v>
      </c>
      <c r="L95" s="63">
        <f>L93+L75+L57</f>
        <v>16782</v>
      </c>
      <c r="M95" s="63">
        <f>M93+M75+M57</f>
        <v>-22559</v>
      </c>
      <c r="N95" s="63">
        <f>N93+N75+N57</f>
        <v>17501</v>
      </c>
      <c r="O95" s="63">
        <f>O93+O75+O57</f>
        <v>23398</v>
      </c>
      <c r="P95" s="63">
        <v>-19087</v>
      </c>
      <c r="Q95" s="63">
        <f t="shared" ref="Q95:AD95" si="10">Q93+Q75+Q57</f>
        <v>-747</v>
      </c>
      <c r="R95" s="63">
        <f t="shared" si="10"/>
        <v>-12181</v>
      </c>
      <c r="S95" s="63">
        <f t="shared" si="10"/>
        <v>181071</v>
      </c>
      <c r="T95" s="63">
        <f t="shared" si="10"/>
        <v>-31931</v>
      </c>
      <c r="U95" s="63">
        <f t="shared" si="10"/>
        <v>6185.1923100000131</v>
      </c>
      <c r="V95" s="63">
        <f t="shared" si="10"/>
        <v>143310</v>
      </c>
      <c r="W95" s="63">
        <f t="shared" si="10"/>
        <v>30462.58</v>
      </c>
      <c r="X95" s="63">
        <f t="shared" si="10"/>
        <v>-223964.82066</v>
      </c>
      <c r="Y95" s="63">
        <f t="shared" si="10"/>
        <v>59757.000000000073</v>
      </c>
      <c r="Z95" s="63">
        <f t="shared" si="10"/>
        <v>21987</v>
      </c>
      <c r="AA95" s="63">
        <f t="shared" si="10"/>
        <v>-111758.24065999989</v>
      </c>
      <c r="AB95" s="63">
        <f t="shared" si="10"/>
        <v>27641</v>
      </c>
      <c r="AC95" s="63">
        <f t="shared" si="10"/>
        <v>-171016.00020000001</v>
      </c>
      <c r="AD95" s="63">
        <f t="shared" si="10"/>
        <v>99522</v>
      </c>
      <c r="AE95" s="63">
        <f>AE93+AE75+AE57</f>
        <v>19009.325000000012</v>
      </c>
      <c r="AF95" s="63">
        <v>36942.999799999991</v>
      </c>
      <c r="AG95" s="63">
        <v>-111204.08409999999</v>
      </c>
      <c r="AH95" s="63">
        <v>137779.02910799056</v>
      </c>
      <c r="AI95" s="63">
        <v>118388.13795083418</v>
      </c>
      <c r="AJ95" s="63">
        <v>125996.56270196766</v>
      </c>
      <c r="AK95" s="63">
        <f>AK93+AK75+AK57</f>
        <v>-42854.454696261237</v>
      </c>
    </row>
    <row r="96" spans="1:37" x14ac:dyDescent="0.25">
      <c r="A96" s="22"/>
      <c r="B96" s="70"/>
      <c r="C96" s="48"/>
      <c r="D96" s="48"/>
      <c r="E96" s="48"/>
      <c r="F96" s="48"/>
      <c r="G96" s="48"/>
      <c r="H96" s="48"/>
      <c r="I96" s="48"/>
      <c r="J96" s="48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AA96" s="56"/>
    </row>
    <row r="97" spans="1:37" x14ac:dyDescent="0.25">
      <c r="A97" s="22"/>
      <c r="B97" s="70" t="s">
        <v>208</v>
      </c>
      <c r="C97" s="48"/>
      <c r="D97" s="48"/>
      <c r="E97" s="48"/>
      <c r="F97" s="73"/>
      <c r="G97" s="73"/>
      <c r="H97" s="73"/>
      <c r="I97" s="73"/>
      <c r="J97" s="73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AA97" s="56"/>
      <c r="AK97">
        <v>0</v>
      </c>
    </row>
    <row r="98" spans="1:37" x14ac:dyDescent="0.25">
      <c r="A98" s="22"/>
      <c r="B98" s="51" t="s">
        <v>209</v>
      </c>
      <c r="C98" s="65">
        <v>394777</v>
      </c>
      <c r="D98" s="65">
        <v>353459</v>
      </c>
      <c r="E98" s="65">
        <v>311543</v>
      </c>
      <c r="F98" s="67">
        <v>308365</v>
      </c>
      <c r="G98" s="67">
        <v>394777</v>
      </c>
      <c r="H98" s="67">
        <v>296857</v>
      </c>
      <c r="I98" s="67">
        <v>313670</v>
      </c>
      <c r="J98" s="67">
        <v>497570</v>
      </c>
      <c r="K98" s="67">
        <v>-811240</v>
      </c>
      <c r="L98" s="67">
        <v>296857</v>
      </c>
      <c r="M98" s="67">
        <v>311571</v>
      </c>
      <c r="N98" s="67">
        <v>290795</v>
      </c>
      <c r="O98" s="57">
        <v>306277</v>
      </c>
      <c r="P98" s="55">
        <v>342365</v>
      </c>
      <c r="Q98" s="57">
        <v>311571</v>
      </c>
      <c r="R98" s="57">
        <v>318522</v>
      </c>
      <c r="S98" s="57">
        <f>R100</f>
        <v>333876</v>
      </c>
      <c r="T98" s="57">
        <v>524134</v>
      </c>
      <c r="U98" s="57">
        <v>491600</v>
      </c>
      <c r="V98" s="57">
        <v>318522</v>
      </c>
      <c r="W98" s="55">
        <v>486536</v>
      </c>
      <c r="X98" s="57">
        <v>533300</v>
      </c>
      <c r="Y98" s="57">
        <v>321803</v>
      </c>
      <c r="Z98" s="57">
        <v>368439</v>
      </c>
      <c r="AA98" s="56">
        <v>486536</v>
      </c>
      <c r="AB98" s="57">
        <v>390039</v>
      </c>
      <c r="AC98" s="57">
        <v>392763</v>
      </c>
      <c r="AD98" s="57">
        <v>234243</v>
      </c>
      <c r="AE98" s="57">
        <f t="shared" ref="AE98" si="11">AD100</f>
        <v>345447</v>
      </c>
      <c r="AF98" s="57">
        <v>365161</v>
      </c>
      <c r="AG98" s="57">
        <v>405063</v>
      </c>
      <c r="AH98" s="57">
        <v>282500</v>
      </c>
      <c r="AI98" s="57">
        <v>434629</v>
      </c>
      <c r="AJ98" s="57">
        <v>422029</v>
      </c>
      <c r="AK98" s="57">
        <f t="shared" ref="AK98" si="12">AJ100</f>
        <v>561744</v>
      </c>
    </row>
    <row r="99" spans="1:37" x14ac:dyDescent="0.25">
      <c r="A99" s="22"/>
      <c r="B99" s="51" t="s">
        <v>210</v>
      </c>
      <c r="C99" s="65">
        <v>3356</v>
      </c>
      <c r="D99" s="65">
        <v>2778</v>
      </c>
      <c r="E99" s="65">
        <v>1737.96</v>
      </c>
      <c r="F99" s="67">
        <v>-1249.96</v>
      </c>
      <c r="G99" s="67">
        <v>6622</v>
      </c>
      <c r="H99" s="67">
        <v>1149</v>
      </c>
      <c r="I99" s="67">
        <v>-13958</v>
      </c>
      <c r="J99" s="67">
        <v>33228</v>
      </c>
      <c r="K99" s="67">
        <v>1208</v>
      </c>
      <c r="L99" s="67">
        <v>21627</v>
      </c>
      <c r="M99" s="67">
        <v>1783</v>
      </c>
      <c r="N99" s="67">
        <v>-2019</v>
      </c>
      <c r="O99" s="57">
        <v>12690</v>
      </c>
      <c r="P99" s="55">
        <v>-4756</v>
      </c>
      <c r="Q99" s="57">
        <v>7698</v>
      </c>
      <c r="R99" s="57">
        <v>27535</v>
      </c>
      <c r="S99" s="57">
        <v>9187</v>
      </c>
      <c r="T99" s="55">
        <v>-606.99999999999932</v>
      </c>
      <c r="U99" s="57">
        <v>-11249.000000000002</v>
      </c>
      <c r="V99" s="55">
        <v>24704</v>
      </c>
      <c r="W99" s="55">
        <v>16277.999999999998</v>
      </c>
      <c r="X99" s="57">
        <v>12468</v>
      </c>
      <c r="Y99" s="57">
        <v>-13002.999999999998</v>
      </c>
      <c r="Z99" s="57">
        <v>-387</v>
      </c>
      <c r="AA99" s="56">
        <v>15356</v>
      </c>
      <c r="AB99" s="57">
        <v>-24917</v>
      </c>
      <c r="AC99" s="57">
        <v>12496</v>
      </c>
      <c r="AD99" s="57">
        <v>11682</v>
      </c>
      <c r="AE99" s="57">
        <v>705</v>
      </c>
      <c r="AF99" s="57">
        <v>2959</v>
      </c>
      <c r="AG99" s="57">
        <v>-11359.176039999998</v>
      </c>
      <c r="AH99" s="57">
        <v>14350.101862009473</v>
      </c>
      <c r="AI99" s="57">
        <v>-129403.06246183858</v>
      </c>
      <c r="AJ99" s="57">
        <v>13718.305454484656</v>
      </c>
      <c r="AK99" s="57">
        <v>6918.2694926814302</v>
      </c>
    </row>
    <row r="100" spans="1:37" x14ac:dyDescent="0.25">
      <c r="B100" s="51" t="s">
        <v>211</v>
      </c>
      <c r="C100" s="65">
        <v>353459</v>
      </c>
      <c r="D100" s="65">
        <v>311543</v>
      </c>
      <c r="E100" s="65">
        <v>308365</v>
      </c>
      <c r="F100" s="67">
        <v>296857</v>
      </c>
      <c r="G100" s="67">
        <v>296857</v>
      </c>
      <c r="H100" s="67">
        <v>313670</v>
      </c>
      <c r="I100" s="67">
        <v>497570</v>
      </c>
      <c r="J100" s="67">
        <v>347563</v>
      </c>
      <c r="K100" s="67">
        <v>-847232</v>
      </c>
      <c r="L100" s="67">
        <v>311571</v>
      </c>
      <c r="M100" s="68">
        <v>290795</v>
      </c>
      <c r="N100" s="68">
        <v>306277</v>
      </c>
      <c r="O100" s="57">
        <v>342365</v>
      </c>
      <c r="P100" s="55">
        <v>318522</v>
      </c>
      <c r="Q100" s="57">
        <v>318522</v>
      </c>
      <c r="R100" s="57">
        <v>333876</v>
      </c>
      <c r="S100" s="57">
        <v>524134</v>
      </c>
      <c r="T100" s="57">
        <v>491596</v>
      </c>
      <c r="U100" s="57">
        <v>486536</v>
      </c>
      <c r="V100" s="57">
        <v>486536</v>
      </c>
      <c r="W100" s="55">
        <v>533277</v>
      </c>
      <c r="X100" s="57">
        <v>321803</v>
      </c>
      <c r="Y100" s="57">
        <v>368439</v>
      </c>
      <c r="Z100" s="57">
        <v>390039</v>
      </c>
      <c r="AA100" s="56">
        <v>390039</v>
      </c>
      <c r="AB100" s="57">
        <v>392763</v>
      </c>
      <c r="AC100" s="57">
        <v>234243</v>
      </c>
      <c r="AD100" s="57">
        <v>345447</v>
      </c>
      <c r="AE100" s="57">
        <v>365161</v>
      </c>
      <c r="AF100" s="57">
        <v>405063</v>
      </c>
      <c r="AG100" s="57">
        <v>282500</v>
      </c>
      <c r="AH100" s="57">
        <v>434629</v>
      </c>
      <c r="AI100" s="57">
        <v>422029</v>
      </c>
      <c r="AJ100" s="57">
        <v>561744</v>
      </c>
      <c r="AK100" s="57">
        <v>525808</v>
      </c>
    </row>
    <row r="101" spans="1:37" x14ac:dyDescent="0.25">
      <c r="B101" s="51"/>
      <c r="C101" s="48"/>
      <c r="D101" s="48"/>
      <c r="E101" s="48"/>
      <c r="F101" s="73"/>
      <c r="G101" s="73"/>
      <c r="H101" s="73"/>
      <c r="I101" s="73"/>
      <c r="J101" s="73"/>
      <c r="K101" s="73"/>
      <c r="L101" s="73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AA101" s="56"/>
    </row>
    <row r="102" spans="1:37" ht="16.5" customHeight="1" x14ac:dyDescent="0.25">
      <c r="A102" s="22"/>
      <c r="B102" s="62" t="s">
        <v>207</v>
      </c>
      <c r="C102" s="63">
        <f t="shared" ref="C102:H102" si="13">C100-C99-C98</f>
        <v>-44674</v>
      </c>
      <c r="D102" s="63">
        <f t="shared" si="13"/>
        <v>-44694</v>
      </c>
      <c r="E102" s="63">
        <f t="shared" si="13"/>
        <v>-4915.960000000021</v>
      </c>
      <c r="F102" s="63">
        <f>F100-F99-F98</f>
        <v>-10258.039999999979</v>
      </c>
      <c r="G102" s="63">
        <f>G100-G99-G98</f>
        <v>-104542</v>
      </c>
      <c r="H102" s="63">
        <f t="shared" si="13"/>
        <v>15664</v>
      </c>
      <c r="I102" s="63">
        <v>197858</v>
      </c>
      <c r="J102" s="63">
        <v>-183235</v>
      </c>
      <c r="K102" s="63">
        <f t="shared" ref="K102:AD102" si="14">K100-K99-K98</f>
        <v>-37200</v>
      </c>
      <c r="L102" s="63">
        <f t="shared" si="14"/>
        <v>-6913</v>
      </c>
      <c r="M102" s="63">
        <f t="shared" si="14"/>
        <v>-22559</v>
      </c>
      <c r="N102" s="63">
        <f t="shared" si="14"/>
        <v>17501</v>
      </c>
      <c r="O102" s="63">
        <f t="shared" si="14"/>
        <v>23398</v>
      </c>
      <c r="P102" s="63">
        <v>-19087</v>
      </c>
      <c r="Q102" s="63">
        <f t="shared" si="14"/>
        <v>-747</v>
      </c>
      <c r="R102" s="63">
        <f t="shared" si="14"/>
        <v>-12181</v>
      </c>
      <c r="S102" s="63">
        <f t="shared" si="14"/>
        <v>181071</v>
      </c>
      <c r="T102" s="63">
        <f t="shared" si="14"/>
        <v>-31931</v>
      </c>
      <c r="U102" s="63">
        <f t="shared" si="14"/>
        <v>6185</v>
      </c>
      <c r="V102" s="63">
        <f t="shared" si="14"/>
        <v>143310</v>
      </c>
      <c r="W102" s="63">
        <f t="shared" si="14"/>
        <v>30463</v>
      </c>
      <c r="X102" s="63">
        <f t="shared" si="14"/>
        <v>-223965</v>
      </c>
      <c r="Y102" s="63">
        <f t="shared" si="14"/>
        <v>59639</v>
      </c>
      <c r="Z102" s="63">
        <f t="shared" si="14"/>
        <v>21987</v>
      </c>
      <c r="AA102" s="63">
        <f t="shared" si="14"/>
        <v>-111853</v>
      </c>
      <c r="AB102" s="63">
        <f t="shared" si="14"/>
        <v>27641</v>
      </c>
      <c r="AC102" s="63">
        <f t="shared" si="14"/>
        <v>-171016</v>
      </c>
      <c r="AD102" s="63">
        <f t="shared" si="14"/>
        <v>99522</v>
      </c>
      <c r="AE102" s="63">
        <f>AE100-AE99-AE98</f>
        <v>19009</v>
      </c>
      <c r="AF102" s="63">
        <v>36943</v>
      </c>
      <c r="AG102" s="63">
        <v>-111203.82396000001</v>
      </c>
      <c r="AH102" s="63">
        <v>137778.8981379905</v>
      </c>
      <c r="AI102" s="63">
        <v>116803.06246183859</v>
      </c>
      <c r="AJ102" s="63">
        <v>125996.69454551535</v>
      </c>
      <c r="AK102" s="63">
        <f>AK100-AK99-AK98</f>
        <v>-42854.269492681429</v>
      </c>
    </row>
    <row r="103" spans="1:37" x14ac:dyDescent="0.25">
      <c r="A103" s="22"/>
      <c r="B103" s="17"/>
      <c r="F103" s="6"/>
      <c r="G103" s="6"/>
      <c r="H103" s="6"/>
      <c r="I103" s="6"/>
      <c r="J103" s="6"/>
      <c r="R103" s="64"/>
      <c r="S103" s="64"/>
      <c r="T103" s="64"/>
      <c r="U103" s="64"/>
      <c r="V103" s="64"/>
      <c r="W103" s="64"/>
      <c r="X103" s="64"/>
    </row>
    <row r="104" spans="1:37" x14ac:dyDescent="0.25">
      <c r="A104" s="22"/>
      <c r="B104" s="74"/>
      <c r="C104" s="3"/>
      <c r="J104" s="75"/>
    </row>
    <row r="105" spans="1:37" x14ac:dyDescent="0.25">
      <c r="A105" s="22"/>
      <c r="J105" s="75"/>
    </row>
    <row r="106" spans="1:37" x14ac:dyDescent="0.25">
      <c r="A106" s="22"/>
    </row>
    <row r="107" spans="1:37" x14ac:dyDescent="0.25">
      <c r="A107" s="22"/>
    </row>
    <row r="108" spans="1:37" x14ac:dyDescent="0.25">
      <c r="A108" s="2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1">
    <pageSetUpPr fitToPage="1"/>
  </sheetPr>
  <dimension ref="A1:BF91"/>
  <sheetViews>
    <sheetView showGridLines="0" zoomScale="60" zoomScaleNormal="60" workbookViewId="0">
      <pane xSplit="2" ySplit="7" topLeftCell="C8" activePane="bottomRight" state="frozen"/>
      <selection activeCell="R26" sqref="R26"/>
      <selection pane="topRight" activeCell="R26" sqref="R26"/>
      <selection pane="bottomLeft" activeCell="R26" sqref="R26"/>
      <selection pane="bottomRight" activeCell="AK5" sqref="AK5"/>
    </sheetView>
  </sheetViews>
  <sheetFormatPr defaultRowHeight="15" outlineLevelCol="1" x14ac:dyDescent="0.25"/>
  <cols>
    <col min="1" max="1" width="1.5703125" style="1" customWidth="1"/>
    <col min="2" max="2" width="38.85546875" style="30" customWidth="1"/>
    <col min="3" max="6" width="7" style="32" hidden="1" customWidth="1" outlineLevel="1"/>
    <col min="7" max="7" width="8.42578125" style="32" bestFit="1" customWidth="1" collapsed="1"/>
    <col min="8" max="11" width="7" style="32" hidden="1" customWidth="1" outlineLevel="1"/>
    <col min="12" max="12" width="8.42578125" style="32" bestFit="1" customWidth="1" collapsed="1"/>
    <col min="13" max="13" width="9.140625" style="32" hidden="1" customWidth="1" outlineLevel="1"/>
    <col min="14" max="15" width="8.7109375" style="32" hidden="1" customWidth="1" outlineLevel="1"/>
    <col min="16" max="16" width="8.28515625" style="32" hidden="1" customWidth="1" outlineLevel="1"/>
    <col min="17" max="17" width="8.42578125" style="32" bestFit="1" customWidth="1" collapsed="1"/>
    <col min="18" max="18" width="8.140625" style="32" hidden="1" customWidth="1" outlineLevel="1"/>
    <col min="19" max="21" width="7" style="32" hidden="1" customWidth="1" outlineLevel="1"/>
    <col min="22" max="22" width="8.42578125" style="32" bestFit="1" customWidth="1" collapsed="1"/>
    <col min="23" max="24" width="7" style="32" hidden="1" customWidth="1" outlineLevel="1"/>
    <col min="25" max="26" width="9.140625" style="6" hidden="1" customWidth="1" outlineLevel="1"/>
    <col min="27" max="27" width="9.140625" style="6" customWidth="1" collapsed="1"/>
    <col min="28" max="28" width="9.140625" style="6" hidden="1" customWidth="1" outlineLevel="1"/>
    <col min="29" max="30" width="7" style="32" hidden="1" customWidth="1" outlineLevel="1"/>
    <col min="31" max="31" width="7.7109375" style="32" hidden="1" customWidth="1" outlineLevel="1"/>
    <col min="32" max="32" width="9.140625" style="6" customWidth="1" collapsed="1"/>
    <col min="33" max="36" width="9.140625" style="6" hidden="1" customWidth="1" outlineLevel="1"/>
    <col min="37" max="37" width="9.140625" style="6" customWidth="1" collapsed="1"/>
    <col min="38" max="41" width="9.140625" style="6" hidden="1" customWidth="1" outlineLevel="1"/>
    <col min="42" max="42" width="9.140625" style="6" customWidth="1" collapsed="1"/>
    <col min="43" max="46" width="9.140625" style="6" hidden="1" customWidth="1" outlineLevel="1"/>
    <col min="47" max="47" width="9.140625" style="6" customWidth="1" collapsed="1"/>
    <col min="48" max="50" width="9.7109375" bestFit="1" customWidth="1"/>
    <col min="52" max="52" width="9.85546875" bestFit="1" customWidth="1"/>
    <col min="53" max="58" width="10.85546875" bestFit="1" customWidth="1"/>
  </cols>
  <sheetData>
    <row r="1" spans="1:58" s="22" customFormat="1" ht="8.25" customHeight="1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</row>
    <row r="2" spans="1:58" x14ac:dyDescent="0.25">
      <c r="A2" s="22"/>
    </row>
    <row r="3" spans="1:58" x14ac:dyDescent="0.25">
      <c r="A3" s="22"/>
    </row>
    <row r="4" spans="1:58" x14ac:dyDescent="0.25">
      <c r="A4" s="22"/>
    </row>
    <row r="5" spans="1:58" x14ac:dyDescent="0.25">
      <c r="A5" s="22"/>
    </row>
    <row r="6" spans="1:58" x14ac:dyDescent="0.25">
      <c r="A6" s="22"/>
    </row>
    <row r="7" spans="1:58" ht="18" customHeight="1" x14ac:dyDescent="0.25">
      <c r="A7" s="22"/>
      <c r="B7" s="84" t="s">
        <v>243</v>
      </c>
      <c r="C7" s="85" t="s">
        <v>22</v>
      </c>
      <c r="D7" s="85" t="s">
        <v>21</v>
      </c>
      <c r="E7" s="85" t="s">
        <v>20</v>
      </c>
      <c r="F7" s="85" t="s">
        <v>17</v>
      </c>
      <c r="G7" s="85">
        <v>2010</v>
      </c>
      <c r="H7" s="85" t="s">
        <v>19</v>
      </c>
      <c r="I7" s="85" t="s">
        <v>18</v>
      </c>
      <c r="J7" s="85" t="s">
        <v>16</v>
      </c>
      <c r="K7" s="85" t="s">
        <v>15</v>
      </c>
      <c r="L7" s="85">
        <v>2011</v>
      </c>
      <c r="M7" s="85" t="s">
        <v>14</v>
      </c>
      <c r="N7" s="85" t="s">
        <v>12</v>
      </c>
      <c r="O7" s="85" t="s">
        <v>10</v>
      </c>
      <c r="P7" s="85" t="s">
        <v>9</v>
      </c>
      <c r="Q7" s="85">
        <v>2012</v>
      </c>
      <c r="R7" s="85" t="s">
        <v>13</v>
      </c>
      <c r="S7" s="85" t="s">
        <v>11</v>
      </c>
      <c r="T7" s="85" t="s">
        <v>8</v>
      </c>
      <c r="U7" s="85" t="s">
        <v>25</v>
      </c>
      <c r="V7" s="85">
        <v>2013</v>
      </c>
      <c r="W7" s="85" t="s">
        <v>26</v>
      </c>
      <c r="X7" s="85" t="s">
        <v>55</v>
      </c>
      <c r="Y7" s="85" t="s">
        <v>56</v>
      </c>
      <c r="Z7" s="85" t="s">
        <v>57</v>
      </c>
      <c r="AA7" s="85">
        <v>2014</v>
      </c>
      <c r="AB7" s="85" t="s">
        <v>58</v>
      </c>
      <c r="AC7" s="85" t="s">
        <v>59</v>
      </c>
      <c r="AD7" s="85" t="s">
        <v>60</v>
      </c>
      <c r="AE7" s="85" t="s">
        <v>62</v>
      </c>
      <c r="AF7" s="85">
        <v>2015</v>
      </c>
      <c r="AG7" s="85" t="s">
        <v>69</v>
      </c>
      <c r="AH7" s="85" t="s">
        <v>70</v>
      </c>
      <c r="AI7" s="85" t="s">
        <v>72</v>
      </c>
      <c r="AJ7" s="85" t="s">
        <v>73</v>
      </c>
      <c r="AK7" s="85">
        <v>2016</v>
      </c>
      <c r="AL7" s="85" t="s">
        <v>74</v>
      </c>
      <c r="AM7" s="85" t="s">
        <v>75</v>
      </c>
      <c r="AN7" s="85" t="s">
        <v>77</v>
      </c>
      <c r="AO7" s="85" t="s">
        <v>79</v>
      </c>
      <c r="AP7" s="85">
        <v>2017</v>
      </c>
      <c r="AQ7" s="85" t="s">
        <v>80</v>
      </c>
      <c r="AR7" s="85" t="s">
        <v>81</v>
      </c>
      <c r="AS7" s="85" t="s">
        <v>82</v>
      </c>
      <c r="AT7" s="85" t="s">
        <v>84</v>
      </c>
      <c r="AU7" s="85">
        <v>2018</v>
      </c>
      <c r="AV7" s="85" t="s">
        <v>244</v>
      </c>
      <c r="AW7" s="85" t="s">
        <v>245</v>
      </c>
      <c r="AX7" s="85" t="s">
        <v>246</v>
      </c>
      <c r="AY7" s="85" t="s">
        <v>247</v>
      </c>
      <c r="AZ7" s="85" t="s">
        <v>126</v>
      </c>
      <c r="BA7" s="85" t="s">
        <v>248</v>
      </c>
      <c r="BB7" s="85" t="s">
        <v>249</v>
      </c>
      <c r="BC7" s="85" t="s">
        <v>250</v>
      </c>
      <c r="BD7" s="85" t="s">
        <v>251</v>
      </c>
      <c r="BE7" s="85" t="s">
        <v>252</v>
      </c>
      <c r="BF7" s="85" t="s">
        <v>253</v>
      </c>
    </row>
    <row r="8" spans="1:58" x14ac:dyDescent="0.25">
      <c r="A8" s="22"/>
    </row>
    <row r="9" spans="1:58" x14ac:dyDescent="0.25">
      <c r="B9" s="86" t="s">
        <v>254</v>
      </c>
      <c r="C9" s="87">
        <v>170.1</v>
      </c>
      <c r="D9" s="87">
        <v>188.9</v>
      </c>
      <c r="E9" s="87">
        <v>194.9</v>
      </c>
      <c r="F9" s="87">
        <v>202.9</v>
      </c>
      <c r="G9" s="88">
        <v>756.8</v>
      </c>
      <c r="H9" s="88">
        <v>206</v>
      </c>
      <c r="I9" s="88">
        <v>212</v>
      </c>
      <c r="J9" s="88">
        <v>228.2</v>
      </c>
      <c r="K9" s="88">
        <v>227.7</v>
      </c>
      <c r="L9" s="88">
        <v>873.90000000000009</v>
      </c>
      <c r="M9" s="88">
        <v>219</v>
      </c>
      <c r="N9" s="88">
        <v>229.9</v>
      </c>
      <c r="O9" s="88">
        <v>223.5</v>
      </c>
      <c r="P9" s="88">
        <v>224.4</v>
      </c>
      <c r="Q9" s="88">
        <v>896.8</v>
      </c>
      <c r="R9" s="88">
        <v>267.3</v>
      </c>
      <c r="S9" s="88">
        <v>275.3</v>
      </c>
      <c r="T9" s="88">
        <v>315.8</v>
      </c>
      <c r="U9" s="88">
        <v>316.60000000000002</v>
      </c>
      <c r="V9" s="88">
        <v>1175</v>
      </c>
      <c r="W9" s="88">
        <v>300.10000000000002</v>
      </c>
      <c r="X9" s="88">
        <v>294.5</v>
      </c>
      <c r="Y9" s="88">
        <v>342.8</v>
      </c>
      <c r="Z9" s="88">
        <v>358.6</v>
      </c>
      <c r="AA9" s="88">
        <v>1296.0999999999999</v>
      </c>
      <c r="AB9" s="88">
        <v>361.1</v>
      </c>
      <c r="AC9" s="88">
        <v>378.5</v>
      </c>
      <c r="AD9" s="88">
        <v>451.3</v>
      </c>
      <c r="AE9" s="88">
        <v>446.5</v>
      </c>
      <c r="AF9" s="88">
        <v>1637.4</v>
      </c>
      <c r="AG9" s="88">
        <v>443.1</v>
      </c>
      <c r="AH9" s="88">
        <v>437.8</v>
      </c>
      <c r="AI9" s="88">
        <v>425.9</v>
      </c>
      <c r="AJ9" s="88">
        <v>417.020783255688</v>
      </c>
      <c r="AK9" s="88">
        <v>1723.820783255688</v>
      </c>
      <c r="AL9" s="88">
        <v>358.5</v>
      </c>
      <c r="AM9" s="88">
        <v>391.9</v>
      </c>
      <c r="AN9" s="89">
        <v>412.1</v>
      </c>
      <c r="AO9" s="90">
        <v>411.9</v>
      </c>
      <c r="AP9" s="88">
        <v>1574.4</v>
      </c>
      <c r="AQ9" s="90">
        <v>386.3</v>
      </c>
      <c r="AR9" s="90">
        <v>421.9</v>
      </c>
      <c r="AS9" s="90">
        <v>478.85129633285499</v>
      </c>
      <c r="AT9" s="90">
        <v>447.3</v>
      </c>
      <c r="AU9" s="88">
        <v>1734.3</v>
      </c>
      <c r="AV9" s="90">
        <v>426.8</v>
      </c>
      <c r="AW9" s="90">
        <v>463.3</v>
      </c>
      <c r="AX9" s="90">
        <v>569</v>
      </c>
      <c r="AY9" s="90">
        <v>548.79999999999995</v>
      </c>
      <c r="AZ9" s="91">
        <v>2008</v>
      </c>
      <c r="BA9" s="90">
        <v>463.7</v>
      </c>
      <c r="BB9" s="90">
        <v>414.6</v>
      </c>
      <c r="BC9" s="90">
        <v>522.1</v>
      </c>
      <c r="BD9" s="90">
        <v>538.652506014246</v>
      </c>
      <c r="BE9" s="90">
        <v>1939.0525060142459</v>
      </c>
      <c r="BF9" s="90">
        <v>489.7</v>
      </c>
    </row>
    <row r="10" spans="1:58" x14ac:dyDescent="0.25">
      <c r="A10" s="22"/>
      <c r="B10" s="86" t="s">
        <v>255</v>
      </c>
      <c r="C10" s="88">
        <v>37.5</v>
      </c>
      <c r="D10" s="88">
        <v>39</v>
      </c>
      <c r="E10" s="88">
        <v>44.8</v>
      </c>
      <c r="F10" s="88">
        <v>54</v>
      </c>
      <c r="G10" s="88">
        <v>175.3</v>
      </c>
      <c r="H10" s="88">
        <v>43.1</v>
      </c>
      <c r="I10" s="88">
        <v>45.6</v>
      </c>
      <c r="J10" s="88">
        <v>55.6</v>
      </c>
      <c r="K10" s="88">
        <v>56.2</v>
      </c>
      <c r="L10" s="88">
        <v>200.4</v>
      </c>
      <c r="M10" s="88">
        <v>52.2</v>
      </c>
      <c r="N10" s="88">
        <v>58.6</v>
      </c>
      <c r="O10" s="88">
        <v>54.2</v>
      </c>
      <c r="P10" s="88">
        <v>56.3</v>
      </c>
      <c r="Q10" s="88">
        <v>221.3</v>
      </c>
      <c r="R10" s="88">
        <v>50</v>
      </c>
      <c r="S10" s="88">
        <v>40.4</v>
      </c>
      <c r="T10" s="88">
        <v>67.099999999999994</v>
      </c>
      <c r="U10" s="88">
        <v>65.3</v>
      </c>
      <c r="V10" s="88">
        <v>222.8</v>
      </c>
      <c r="W10" s="88">
        <v>56.5</v>
      </c>
      <c r="X10" s="89">
        <v>55.7</v>
      </c>
      <c r="Y10" s="88">
        <v>78.3</v>
      </c>
      <c r="Z10" s="88">
        <v>76.2</v>
      </c>
      <c r="AA10" s="88">
        <v>266.7</v>
      </c>
      <c r="AB10" s="88">
        <v>68.7</v>
      </c>
      <c r="AC10" s="89">
        <v>75.3</v>
      </c>
      <c r="AD10" s="89">
        <v>82.2</v>
      </c>
      <c r="AE10" s="89">
        <v>81</v>
      </c>
      <c r="AF10" s="88">
        <v>307.2</v>
      </c>
      <c r="AG10" s="89">
        <v>69.099999999999994</v>
      </c>
      <c r="AH10" s="89">
        <v>71.7</v>
      </c>
      <c r="AI10" s="89">
        <v>75.3</v>
      </c>
      <c r="AJ10" s="90">
        <v>62.830580000000005</v>
      </c>
      <c r="AK10" s="90">
        <v>278.93058000000002</v>
      </c>
      <c r="AL10" s="89">
        <v>50.4</v>
      </c>
      <c r="AM10" s="89">
        <v>60.3</v>
      </c>
      <c r="AN10" s="89">
        <v>69.2</v>
      </c>
      <c r="AO10" s="90">
        <v>66.099999999999994</v>
      </c>
      <c r="AP10" s="90">
        <v>245.9</v>
      </c>
      <c r="AQ10" s="90">
        <v>73</v>
      </c>
      <c r="AR10" s="90">
        <v>77.099999999999994</v>
      </c>
      <c r="AS10" s="90">
        <v>81.054721252097153</v>
      </c>
      <c r="AT10" s="90">
        <v>73.8</v>
      </c>
      <c r="AU10" s="90">
        <f>SUM(AQ10:AT10)</f>
        <v>304.95472125209716</v>
      </c>
      <c r="AV10" s="90">
        <v>67.099999999999994</v>
      </c>
      <c r="AW10" s="90">
        <v>63.6</v>
      </c>
      <c r="AX10" s="90">
        <v>97.6</v>
      </c>
      <c r="AY10" s="90">
        <v>80.7</v>
      </c>
      <c r="AZ10" s="90">
        <v>309</v>
      </c>
      <c r="BA10" s="90">
        <v>60.2</v>
      </c>
      <c r="BB10" s="90">
        <v>17.5</v>
      </c>
      <c r="BC10" s="90">
        <v>74.5</v>
      </c>
      <c r="BD10" s="90">
        <v>50.409878981954193</v>
      </c>
      <c r="BE10" s="90">
        <v>202.4759443255445</v>
      </c>
      <c r="BF10" s="90">
        <v>60.985584242211402</v>
      </c>
    </row>
    <row r="11" spans="1:58" x14ac:dyDescent="0.25">
      <c r="A11" s="22"/>
      <c r="B11" s="92" t="s">
        <v>256</v>
      </c>
      <c r="C11" s="93">
        <f t="shared" ref="C11:AR11" si="0">IFERROR((C10-C53)/C9,"N/A")</f>
        <v>0.22045855379188714</v>
      </c>
      <c r="D11" s="93">
        <f t="shared" si="0"/>
        <v>0.20645844362096347</v>
      </c>
      <c r="E11" s="93">
        <f t="shared" si="0"/>
        <v>0.22626988199076445</v>
      </c>
      <c r="F11" s="93">
        <f t="shared" si="0"/>
        <v>0.26219812715623458</v>
      </c>
      <c r="G11" s="94">
        <f t="shared" si="0"/>
        <v>0.22965116279069769</v>
      </c>
      <c r="H11" s="93">
        <f t="shared" si="0"/>
        <v>0.20388349514563106</v>
      </c>
      <c r="I11" s="93">
        <f t="shared" si="0"/>
        <v>0.20943396226415092</v>
      </c>
      <c r="J11" s="93">
        <f t="shared" si="0"/>
        <v>0.23838737949167399</v>
      </c>
      <c r="K11" s="93">
        <f t="shared" si="0"/>
        <v>0.23803249890206415</v>
      </c>
      <c r="L11" s="93">
        <f t="shared" si="0"/>
        <v>0.2230232292024259</v>
      </c>
      <c r="M11" s="93">
        <f t="shared" si="0"/>
        <v>0.22465753424657536</v>
      </c>
      <c r="N11" s="93">
        <f t="shared" si="0"/>
        <v>0.24097433666811657</v>
      </c>
      <c r="O11" s="93">
        <f t="shared" si="0"/>
        <v>0.23221476510067116</v>
      </c>
      <c r="P11" s="93">
        <f t="shared" si="0"/>
        <v>0.24376114081996433</v>
      </c>
      <c r="Q11" s="93">
        <f t="shared" si="0"/>
        <v>0.2355040142729706</v>
      </c>
      <c r="R11" s="93">
        <f t="shared" si="0"/>
        <v>0.17919940142162363</v>
      </c>
      <c r="S11" s="93">
        <f t="shared" si="0"/>
        <v>0.14384308027606246</v>
      </c>
      <c r="T11" s="93">
        <f t="shared" si="0"/>
        <v>0.20582647245091829</v>
      </c>
      <c r="U11" s="93">
        <f t="shared" si="0"/>
        <v>0.19962097283638658</v>
      </c>
      <c r="V11" s="94">
        <f t="shared" si="0"/>
        <v>0.18357446808510638</v>
      </c>
      <c r="W11" s="93">
        <f t="shared" si="0"/>
        <v>0.17860713095634786</v>
      </c>
      <c r="X11" s="93">
        <f t="shared" si="0"/>
        <v>0.18438030560271648</v>
      </c>
      <c r="Y11" s="93">
        <f t="shared" si="0"/>
        <v>0.22199533255542589</v>
      </c>
      <c r="Z11" s="93">
        <f t="shared" si="0"/>
        <v>0.20245398773006137</v>
      </c>
      <c r="AA11" s="93">
        <f t="shared" si="0"/>
        <v>0.19805570557827329</v>
      </c>
      <c r="AB11" s="93">
        <f t="shared" si="0"/>
        <v>0.18415951260038768</v>
      </c>
      <c r="AC11" s="93">
        <f t="shared" si="0"/>
        <v>0.19392338177014529</v>
      </c>
      <c r="AD11" s="93">
        <f t="shared" si="0"/>
        <v>0.17837358741413695</v>
      </c>
      <c r="AE11" s="93">
        <f t="shared" si="0"/>
        <v>0.16998880179171333</v>
      </c>
      <c r="AF11" s="93">
        <f t="shared" si="0"/>
        <v>0.18095761573225846</v>
      </c>
      <c r="AG11" s="93">
        <f t="shared" si="0"/>
        <v>0.15030467163168582</v>
      </c>
      <c r="AH11" s="93">
        <f t="shared" si="0"/>
        <v>0.1587482868889904</v>
      </c>
      <c r="AI11" s="93">
        <f t="shared" si="0"/>
        <v>0.17680206621272598</v>
      </c>
      <c r="AJ11" s="93">
        <f t="shared" si="0"/>
        <v>0.15066534456503738</v>
      </c>
      <c r="AK11" s="93">
        <f t="shared" si="0"/>
        <v>0.15908299903547712</v>
      </c>
      <c r="AL11" s="93">
        <f t="shared" si="0"/>
        <v>0.14058577405857739</v>
      </c>
      <c r="AM11" s="93">
        <f t="shared" si="0"/>
        <v>0.15386578208726717</v>
      </c>
      <c r="AN11" s="93">
        <f t="shared" si="0"/>
        <v>0.16792040766804173</v>
      </c>
      <c r="AO11" s="93">
        <f t="shared" si="0"/>
        <v>0.16047584365137169</v>
      </c>
      <c r="AP11" s="93">
        <f t="shared" si="0"/>
        <v>0.1561864837398374</v>
      </c>
      <c r="AQ11" s="93">
        <f t="shared" si="0"/>
        <v>0.18897230132021745</v>
      </c>
      <c r="AR11" s="93">
        <f t="shared" si="0"/>
        <v>0.18274472623844512</v>
      </c>
      <c r="AS11" s="93">
        <f>IFERROR((AS10-AS53)/AS9,"N/A")</f>
        <v>0.16926908598312554</v>
      </c>
      <c r="AT11" s="93">
        <f>IFERROR((AT10-AT53)/AT9,"N/A")</f>
        <v>0.16498993963782696</v>
      </c>
      <c r="AU11" s="93">
        <f>AU10/AU9</f>
        <v>0.17583735296782399</v>
      </c>
      <c r="AV11" s="93">
        <v>0.157</v>
      </c>
      <c r="AW11" s="93">
        <v>0.13700000000000001</v>
      </c>
      <c r="AX11" s="93">
        <v>0.17199999999999999</v>
      </c>
      <c r="AY11" s="93">
        <v>0.14699999999999999</v>
      </c>
      <c r="AZ11" s="93">
        <v>0.154</v>
      </c>
      <c r="BA11" s="93">
        <v>0.13</v>
      </c>
      <c r="BB11" s="93">
        <v>4.2000000000000003E-2</v>
      </c>
      <c r="BC11" s="93">
        <v>0.14299999999999999</v>
      </c>
      <c r="BD11" s="93">
        <v>9.3585156328263683E-2</v>
      </c>
      <c r="BE11" s="93">
        <v>0.10442004210692422</v>
      </c>
      <c r="BF11" s="93">
        <v>0.12453662291650276</v>
      </c>
    </row>
    <row r="12" spans="1:58" x14ac:dyDescent="0.25">
      <c r="A12" s="22"/>
      <c r="B12" s="86" t="s">
        <v>257</v>
      </c>
      <c r="C12" s="88">
        <v>19.600000000000001</v>
      </c>
      <c r="D12" s="88">
        <v>23.1</v>
      </c>
      <c r="E12" s="88">
        <v>25.9</v>
      </c>
      <c r="F12" s="88">
        <v>31.5</v>
      </c>
      <c r="G12" s="88">
        <v>100.1</v>
      </c>
      <c r="H12" s="88">
        <v>23.2</v>
      </c>
      <c r="I12" s="88">
        <v>33.6</v>
      </c>
      <c r="J12" s="88">
        <v>35.6</v>
      </c>
      <c r="K12" s="88">
        <v>36.4</v>
      </c>
      <c r="L12" s="88">
        <v>128.80000000000001</v>
      </c>
      <c r="M12" s="88">
        <v>28</v>
      </c>
      <c r="N12" s="88">
        <v>41.6</v>
      </c>
      <c r="O12" s="88">
        <v>30.1</v>
      </c>
      <c r="P12" s="88">
        <v>13.8</v>
      </c>
      <c r="Q12" s="88">
        <v>113.49999999999999</v>
      </c>
      <c r="R12" s="88">
        <v>28.9</v>
      </c>
      <c r="S12" s="88">
        <v>29.8</v>
      </c>
      <c r="T12" s="88">
        <v>29.1</v>
      </c>
      <c r="U12" s="88">
        <v>40.200000000000003</v>
      </c>
      <c r="V12" s="88">
        <v>128</v>
      </c>
      <c r="W12" s="88">
        <v>24.3</v>
      </c>
      <c r="X12" s="89">
        <v>24.5</v>
      </c>
      <c r="Y12" s="88">
        <v>44.3</v>
      </c>
      <c r="Z12" s="88">
        <v>42.6</v>
      </c>
      <c r="AA12" s="88">
        <v>135.9</v>
      </c>
      <c r="AB12" s="88">
        <v>35.6</v>
      </c>
      <c r="AC12" s="89">
        <v>30.4</v>
      </c>
      <c r="AD12" s="89">
        <v>43.5</v>
      </c>
      <c r="AE12" s="89">
        <v>23.5</v>
      </c>
      <c r="AF12" s="88">
        <v>133.1</v>
      </c>
      <c r="AG12" s="89">
        <v>11.8</v>
      </c>
      <c r="AH12" s="89">
        <v>-1.4</v>
      </c>
      <c r="AI12" s="90">
        <v>50</v>
      </c>
      <c r="AJ12" s="90">
        <v>27.899999999999974</v>
      </c>
      <c r="AK12" s="90">
        <v>88.300000000000168</v>
      </c>
      <c r="AL12" s="90">
        <v>7.6</v>
      </c>
      <c r="AM12" s="90">
        <v>3.2</v>
      </c>
      <c r="AN12" s="90">
        <v>15.8</v>
      </c>
      <c r="AO12" s="90">
        <v>1.1000000000000001</v>
      </c>
      <c r="AP12" s="90">
        <v>27.7</v>
      </c>
      <c r="AQ12" s="90">
        <v>19.7</v>
      </c>
      <c r="AR12" s="90">
        <v>13.5</v>
      </c>
      <c r="AS12" s="90">
        <v>23.8</v>
      </c>
      <c r="AT12" s="90">
        <v>43.1</v>
      </c>
      <c r="AU12" s="90">
        <v>100.1</v>
      </c>
      <c r="AV12" s="90">
        <v>13.7</v>
      </c>
      <c r="AW12" s="90">
        <v>6.3</v>
      </c>
      <c r="AX12" s="90">
        <v>31.7</v>
      </c>
      <c r="AY12" s="90">
        <v>35.5</v>
      </c>
      <c r="AZ12" s="90">
        <v>87.2</v>
      </c>
      <c r="BA12" s="90">
        <v>2.1</v>
      </c>
      <c r="BB12" s="90">
        <v>-148.1</v>
      </c>
      <c r="BC12" s="90">
        <v>-2.4</v>
      </c>
      <c r="BD12" s="90">
        <v>-54</v>
      </c>
      <c r="BE12" s="90">
        <v>-202.39999999999998</v>
      </c>
      <c r="BF12" s="90">
        <v>-5</v>
      </c>
    </row>
    <row r="13" spans="1:58" x14ac:dyDescent="0.25">
      <c r="A13" s="22"/>
      <c r="B13" s="92" t="s">
        <v>256</v>
      </c>
      <c r="C13" s="95">
        <v>0.112</v>
      </c>
      <c r="D13" s="95">
        <v>0.122</v>
      </c>
      <c r="E13" s="95">
        <v>0.13300000000000001</v>
      </c>
      <c r="F13" s="95">
        <v>0.155</v>
      </c>
      <c r="G13" s="94">
        <f>G12/G9</f>
        <v>0.13226744186046513</v>
      </c>
      <c r="H13" s="95">
        <v>0.113</v>
      </c>
      <c r="I13" s="95">
        <v>0.158</v>
      </c>
      <c r="J13" s="95">
        <v>0.155</v>
      </c>
      <c r="K13" s="95">
        <v>0.16</v>
      </c>
      <c r="L13" s="94">
        <f>L12/L9</f>
        <v>0.14738528435747797</v>
      </c>
      <c r="M13" s="95">
        <v>0.128</v>
      </c>
      <c r="N13" s="95">
        <v>0.18099999999999999</v>
      </c>
      <c r="O13" s="95">
        <v>0.13500000000000001</v>
      </c>
      <c r="P13" s="95">
        <v>6.0999999999999999E-2</v>
      </c>
      <c r="Q13" s="94">
        <f>Q12/Q9</f>
        <v>0.12656110615521854</v>
      </c>
      <c r="R13" s="93">
        <v>0.107</v>
      </c>
      <c r="S13" s="93">
        <v>7.8E-2</v>
      </c>
      <c r="T13" s="93">
        <v>6.5000000000000002E-2</v>
      </c>
      <c r="U13" s="93">
        <v>8.4000000000000005E-2</v>
      </c>
      <c r="V13" s="94">
        <f>V12/V9</f>
        <v>0.10893617021276596</v>
      </c>
      <c r="W13" s="93">
        <v>8.1000000000000003E-2</v>
      </c>
      <c r="X13" s="93">
        <v>8.3000000000000004E-2</v>
      </c>
      <c r="Y13" s="93">
        <v>0.129</v>
      </c>
      <c r="Z13" s="93">
        <v>0.11899999999999999</v>
      </c>
      <c r="AA13" s="93">
        <v>0.109</v>
      </c>
      <c r="AB13" s="93">
        <v>9.9000000000000005E-2</v>
      </c>
      <c r="AC13" s="93">
        <v>0.08</v>
      </c>
      <c r="AD13" s="93">
        <v>9.6000000000000002E-2</v>
      </c>
      <c r="AE13" s="93">
        <v>5.2999999999999999E-2</v>
      </c>
      <c r="AF13" s="93">
        <v>8.1000000000000003E-2</v>
      </c>
      <c r="AG13" s="93">
        <v>2.7000000000000003E-2</v>
      </c>
      <c r="AH13" s="93">
        <v>-3.0000000000000001E-3</v>
      </c>
      <c r="AI13" s="93">
        <v>0.11700000000000001</v>
      </c>
      <c r="AJ13" s="93">
        <v>6.6903140371528308E-2</v>
      </c>
      <c r="AK13" s="93">
        <v>5.1223422328876139E-2</v>
      </c>
      <c r="AL13" s="93">
        <v>2.1000000000000001E-2</v>
      </c>
      <c r="AM13" s="93">
        <v>8.0000000000000002E-3</v>
      </c>
      <c r="AN13" s="93">
        <v>3.8</v>
      </c>
      <c r="AO13" s="93">
        <v>3.0000000000000001E-3</v>
      </c>
      <c r="AP13" s="93">
        <v>1.7999999999999999E-2</v>
      </c>
      <c r="AQ13" s="93">
        <v>5.0999999999999997E-2</v>
      </c>
      <c r="AR13" s="93">
        <v>3.2000000000000001E-2</v>
      </c>
      <c r="AS13" s="93">
        <v>0.05</v>
      </c>
      <c r="AT13" s="93">
        <v>9.6000000000000002E-2</v>
      </c>
      <c r="AU13" s="93">
        <v>5.8000000000000003E-2</v>
      </c>
      <c r="AV13" s="93">
        <v>3.2000000000000001E-2</v>
      </c>
      <c r="AW13" s="93">
        <v>1.4E-2</v>
      </c>
      <c r="AX13" s="93">
        <v>5.6000000000000001E-2</v>
      </c>
      <c r="AY13" s="93">
        <v>6.5000000000000002E-2</v>
      </c>
      <c r="AZ13" s="93">
        <v>4.2999999999999997E-2</v>
      </c>
      <c r="BA13" s="96">
        <f>BA12/BA9</f>
        <v>4.5287901660556401E-3</v>
      </c>
      <c r="BB13" s="96">
        <v>-0.35699999999999998</v>
      </c>
      <c r="BC13" s="96">
        <v>-5.0000000000000001E-3</v>
      </c>
      <c r="BD13" s="96">
        <v>-0.10025016016275964</v>
      </c>
      <c r="BE13" s="96">
        <v>-0.10438087641888383</v>
      </c>
      <c r="BF13" s="96">
        <v>-1.0210332856851134E-2</v>
      </c>
    </row>
    <row r="14" spans="1:58" x14ac:dyDescent="0.25">
      <c r="A14" s="22"/>
    </row>
    <row r="15" spans="1:58" x14ac:dyDescent="0.25">
      <c r="A15" s="22"/>
      <c r="B15" s="86" t="s">
        <v>258</v>
      </c>
    </row>
    <row r="16" spans="1:58" x14ac:dyDescent="0.25">
      <c r="A16" s="22"/>
      <c r="B16" s="86" t="s">
        <v>259</v>
      </c>
      <c r="C16" s="88">
        <v>25.9</v>
      </c>
      <c r="D16" s="88">
        <v>27.5</v>
      </c>
      <c r="E16" s="88">
        <v>31.4</v>
      </c>
      <c r="F16" s="88">
        <v>40.799999999999997</v>
      </c>
      <c r="G16" s="88">
        <v>125.6</v>
      </c>
      <c r="H16" s="88">
        <v>31.7</v>
      </c>
      <c r="I16" s="88">
        <v>34.6</v>
      </c>
      <c r="J16" s="88">
        <v>41.7</v>
      </c>
      <c r="K16" s="88">
        <v>37.4</v>
      </c>
      <c r="L16" s="88">
        <v>145.4</v>
      </c>
      <c r="M16" s="88">
        <v>23.3</v>
      </c>
      <c r="N16" s="88">
        <v>40.299999999999997</v>
      </c>
      <c r="O16" s="88">
        <v>27.4</v>
      </c>
      <c r="P16" s="88">
        <v>11.8</v>
      </c>
      <c r="Q16" s="88">
        <v>102.8</v>
      </c>
      <c r="R16" s="88">
        <v>26.4</v>
      </c>
      <c r="S16" s="90">
        <v>20.399999999999999</v>
      </c>
      <c r="T16" s="88">
        <v>21</v>
      </c>
      <c r="U16" s="88">
        <v>24.1</v>
      </c>
      <c r="V16" s="88">
        <v>91.9</v>
      </c>
      <c r="W16" s="88">
        <v>23.4</v>
      </c>
      <c r="X16" s="89">
        <v>23.5</v>
      </c>
      <c r="Y16" s="88">
        <v>36.200000000000003</v>
      </c>
      <c r="Z16" s="88">
        <v>27</v>
      </c>
      <c r="AA16" s="88">
        <v>110.1</v>
      </c>
      <c r="AB16" s="88">
        <v>35.6</v>
      </c>
      <c r="AC16" s="89">
        <v>30.4</v>
      </c>
      <c r="AD16" s="89">
        <v>43.5</v>
      </c>
      <c r="AE16" s="89">
        <v>23.5</v>
      </c>
      <c r="AF16" s="88">
        <v>133.1</v>
      </c>
      <c r="AG16" s="89">
        <v>11.8</v>
      </c>
      <c r="AH16" s="89">
        <v>-1.4</v>
      </c>
      <c r="AI16" s="90">
        <v>50</v>
      </c>
      <c r="AJ16" s="89">
        <v>27.899999999999974</v>
      </c>
      <c r="AK16" s="89">
        <v>88.300000000000168</v>
      </c>
      <c r="AL16" s="89">
        <v>7.6</v>
      </c>
      <c r="AM16" s="89">
        <v>3.2</v>
      </c>
      <c r="AN16" s="89">
        <v>15.8</v>
      </c>
      <c r="AO16" s="89">
        <v>1.1000000000000001</v>
      </c>
      <c r="AP16" s="89">
        <v>27.700000000000003</v>
      </c>
      <c r="AQ16" s="89">
        <v>19.7</v>
      </c>
      <c r="AR16" s="89">
        <v>13.5</v>
      </c>
      <c r="AS16" s="89">
        <v>23.8</v>
      </c>
      <c r="AT16" s="89">
        <v>43.1</v>
      </c>
      <c r="AU16" s="89">
        <v>100.1</v>
      </c>
      <c r="AV16" s="89">
        <v>13.7</v>
      </c>
      <c r="AW16" s="89">
        <v>6.3</v>
      </c>
      <c r="AX16" s="89">
        <v>31.7</v>
      </c>
      <c r="AY16" s="89">
        <v>2.6</v>
      </c>
      <c r="AZ16" s="89">
        <v>54.3</v>
      </c>
      <c r="BA16" s="89">
        <v>2.1</v>
      </c>
      <c r="BB16" s="89">
        <v>-148.1</v>
      </c>
      <c r="BC16" s="89">
        <v>-2.4</v>
      </c>
      <c r="BD16" s="90">
        <v>-54</v>
      </c>
      <c r="BE16" s="89">
        <v>-202.4</v>
      </c>
      <c r="BF16" s="89">
        <v>-5</v>
      </c>
    </row>
    <row r="17" spans="1:58" x14ac:dyDescent="0.25">
      <c r="A17" s="22"/>
      <c r="B17" s="30" t="s">
        <v>260</v>
      </c>
      <c r="C17" s="87">
        <v>0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32">
        <v>0</v>
      </c>
      <c r="Y17" s="87">
        <v>0</v>
      </c>
      <c r="Z17" s="87">
        <v>0</v>
      </c>
      <c r="AA17" s="87">
        <v>0</v>
      </c>
      <c r="AB17" s="87">
        <v>0</v>
      </c>
      <c r="AC17" s="97">
        <v>0</v>
      </c>
      <c r="AD17" s="97">
        <v>0</v>
      </c>
      <c r="AE17" s="97">
        <v>0</v>
      </c>
      <c r="AF17" s="87">
        <v>0</v>
      </c>
      <c r="AG17" s="97">
        <v>0</v>
      </c>
      <c r="AH17" s="97">
        <v>-0.2</v>
      </c>
      <c r="AI17" s="97">
        <v>0.1</v>
      </c>
      <c r="AJ17" s="32">
        <v>-5</v>
      </c>
      <c r="AK17" s="32">
        <v>20.999999999999993</v>
      </c>
      <c r="AL17" s="97">
        <v>0.4</v>
      </c>
      <c r="AM17" s="97">
        <v>0.3</v>
      </c>
      <c r="AN17" s="97">
        <v>-0.4</v>
      </c>
      <c r="AO17" s="97">
        <v>-0.1</v>
      </c>
      <c r="AP17" s="97">
        <v>9.9999999999999922E-2</v>
      </c>
      <c r="AQ17" s="97">
        <v>0.6</v>
      </c>
      <c r="AR17" s="97">
        <v>0</v>
      </c>
      <c r="AS17" s="97">
        <v>0.4</v>
      </c>
      <c r="AT17" s="97">
        <v>-1</v>
      </c>
      <c r="AU17" s="97">
        <v>0</v>
      </c>
      <c r="AV17" s="97">
        <v>0.4</v>
      </c>
      <c r="AW17" s="97">
        <v>0.6</v>
      </c>
      <c r="AX17" s="97">
        <v>0.9</v>
      </c>
      <c r="AY17" s="97">
        <v>-2.5</v>
      </c>
      <c r="AZ17" s="97">
        <v>-0.6</v>
      </c>
      <c r="BA17" s="97">
        <v>-1.1000000000000001</v>
      </c>
      <c r="BB17" s="97">
        <v>0</v>
      </c>
      <c r="BC17" s="97">
        <v>2</v>
      </c>
      <c r="BD17" s="97">
        <v>-0.1</v>
      </c>
      <c r="BE17" s="97">
        <v>0.79999999999999993</v>
      </c>
      <c r="BF17" s="97">
        <v>2.2000000000000002</v>
      </c>
    </row>
    <row r="18" spans="1:58" x14ac:dyDescent="0.25">
      <c r="A18" s="22"/>
      <c r="B18" s="30" t="s">
        <v>261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12.2</v>
      </c>
      <c r="N18" s="87">
        <v>9.9</v>
      </c>
      <c r="O18" s="87">
        <v>12.8</v>
      </c>
      <c r="P18" s="87">
        <v>12.8</v>
      </c>
      <c r="Q18" s="87">
        <v>47.7</v>
      </c>
      <c r="R18" s="87">
        <v>4.4000000000000004</v>
      </c>
      <c r="S18" s="87">
        <v>10.8</v>
      </c>
      <c r="T18" s="87">
        <v>1.1000000000000001</v>
      </c>
      <c r="U18" s="87">
        <v>12.2</v>
      </c>
      <c r="V18" s="87">
        <v>28.5</v>
      </c>
      <c r="W18" s="87">
        <v>8</v>
      </c>
      <c r="X18" s="32">
        <v>6.8</v>
      </c>
      <c r="Y18" s="87">
        <v>16</v>
      </c>
      <c r="Z18" s="87">
        <v>8.5</v>
      </c>
      <c r="AA18" s="87">
        <v>39.299999999999997</v>
      </c>
      <c r="AB18" s="87">
        <v>17.8</v>
      </c>
      <c r="AC18" s="97">
        <v>6</v>
      </c>
      <c r="AD18" s="97">
        <v>24.3</v>
      </c>
      <c r="AE18" s="97">
        <v>-1.7</v>
      </c>
      <c r="AF18" s="87">
        <v>46.4</v>
      </c>
      <c r="AG18" s="97">
        <v>7.3</v>
      </c>
      <c r="AH18" s="97">
        <v>-2.1</v>
      </c>
      <c r="AI18" s="97">
        <v>20.8</v>
      </c>
      <c r="AJ18" s="32">
        <v>0.3</v>
      </c>
      <c r="AK18" s="32">
        <v>9.999999999999995E-2</v>
      </c>
      <c r="AL18" s="97">
        <v>-0.8</v>
      </c>
      <c r="AM18" s="97">
        <v>4.3</v>
      </c>
      <c r="AN18" s="97">
        <v>10.199999999999999</v>
      </c>
      <c r="AO18" s="97">
        <v>22.9</v>
      </c>
      <c r="AP18" s="97">
        <v>36.6</v>
      </c>
      <c r="AQ18" s="97">
        <v>11.9</v>
      </c>
      <c r="AR18" s="97">
        <v>9.4</v>
      </c>
      <c r="AS18" s="97">
        <v>11.2</v>
      </c>
      <c r="AT18" s="97">
        <v>-6.2</v>
      </c>
      <c r="AU18" s="97">
        <v>26.3</v>
      </c>
      <c r="AV18" s="97">
        <v>8.9</v>
      </c>
      <c r="AW18" s="97">
        <v>5</v>
      </c>
      <c r="AX18" s="97">
        <v>11.9</v>
      </c>
      <c r="AY18" s="97">
        <v>-9.6999999999999993</v>
      </c>
      <c r="AZ18" s="97">
        <v>16.100000000000001</v>
      </c>
      <c r="BA18" s="97">
        <v>7.4</v>
      </c>
      <c r="BB18" s="97">
        <v>-10.9</v>
      </c>
      <c r="BC18" s="97">
        <v>-2.4</v>
      </c>
      <c r="BD18" s="97">
        <v>13.100000000000001</v>
      </c>
      <c r="BE18" s="97">
        <v>7.2000000000000011</v>
      </c>
      <c r="BF18" s="97">
        <v>4.3</v>
      </c>
    </row>
    <row r="19" spans="1:58" x14ac:dyDescent="0.25">
      <c r="A19" s="22"/>
      <c r="B19" s="30" t="s">
        <v>262</v>
      </c>
      <c r="C19" s="87">
        <v>2.9</v>
      </c>
      <c r="D19" s="87">
        <v>3.7</v>
      </c>
      <c r="E19" s="87">
        <v>3.4</v>
      </c>
      <c r="F19" s="87">
        <v>2.1</v>
      </c>
      <c r="G19" s="87">
        <v>12.1</v>
      </c>
      <c r="H19" s="87">
        <v>3.6</v>
      </c>
      <c r="I19" s="87">
        <v>2.5</v>
      </c>
      <c r="J19" s="87">
        <v>2.9</v>
      </c>
      <c r="K19" s="87">
        <v>1.6</v>
      </c>
      <c r="L19" s="87">
        <v>10.6</v>
      </c>
      <c r="M19" s="87">
        <v>3.3</v>
      </c>
      <c r="N19" s="87">
        <v>1.1000000000000001</v>
      </c>
      <c r="O19" s="87">
        <v>3.8</v>
      </c>
      <c r="P19" s="87">
        <v>3.4</v>
      </c>
      <c r="Q19" s="87">
        <v>11.6</v>
      </c>
      <c r="R19" s="87">
        <v>6.8</v>
      </c>
      <c r="S19" s="87">
        <v>-7.2</v>
      </c>
      <c r="T19" s="87">
        <v>6.2</v>
      </c>
      <c r="U19" s="87">
        <v>7.2</v>
      </c>
      <c r="V19" s="87">
        <v>13</v>
      </c>
      <c r="W19" s="87">
        <v>10.3</v>
      </c>
      <c r="X19" s="97">
        <v>8</v>
      </c>
      <c r="Y19" s="87">
        <v>2.2999999999999998</v>
      </c>
      <c r="Z19" s="87">
        <v>2.9</v>
      </c>
      <c r="AA19" s="87">
        <v>23.6</v>
      </c>
      <c r="AB19" s="87">
        <v>-5.6</v>
      </c>
      <c r="AC19" s="97">
        <v>12.1</v>
      </c>
      <c r="AD19" s="97">
        <v>-10.9</v>
      </c>
      <c r="AE19" s="97">
        <v>18.600000000000001</v>
      </c>
      <c r="AF19" s="87">
        <v>14.2</v>
      </c>
      <c r="AG19" s="97">
        <v>19.100000000000001</v>
      </c>
      <c r="AH19" s="97">
        <v>9.1</v>
      </c>
      <c r="AI19" s="97">
        <v>12.1</v>
      </c>
      <c r="AJ19" s="32">
        <v>5.5</v>
      </c>
      <c r="AK19" s="32">
        <v>45.800000000000004</v>
      </c>
      <c r="AL19" s="97">
        <v>1.9</v>
      </c>
      <c r="AM19" s="97">
        <v>14.1</v>
      </c>
      <c r="AN19" s="97">
        <v>7.9</v>
      </c>
      <c r="AO19" s="97">
        <v>5.3</v>
      </c>
      <c r="AP19" s="97">
        <v>29.200000000000003</v>
      </c>
      <c r="AQ19" s="97">
        <v>4.5</v>
      </c>
      <c r="AR19" s="97">
        <v>14.1</v>
      </c>
      <c r="AS19" s="97">
        <v>14.1</v>
      </c>
      <c r="AT19" s="97">
        <v>-5.6</v>
      </c>
      <c r="AU19" s="97">
        <v>26.2</v>
      </c>
      <c r="AV19" s="97">
        <v>10.7</v>
      </c>
      <c r="AW19" s="97">
        <v>18</v>
      </c>
      <c r="AX19" s="97">
        <v>16.3</v>
      </c>
      <c r="AY19" s="97">
        <v>15.5</v>
      </c>
      <c r="AZ19" s="97">
        <v>60.6</v>
      </c>
      <c r="BA19" s="97">
        <v>24</v>
      </c>
      <c r="BB19" s="97">
        <v>10.999999999999996</v>
      </c>
      <c r="BC19" s="97">
        <v>33.1</v>
      </c>
      <c r="BD19" s="97">
        <v>16.999999999999996</v>
      </c>
      <c r="BE19" s="97">
        <v>85.1</v>
      </c>
      <c r="BF19" s="97">
        <v>18.599999999999998</v>
      </c>
    </row>
    <row r="20" spans="1:58" x14ac:dyDescent="0.25">
      <c r="A20" s="22"/>
      <c r="B20" s="30" t="s">
        <v>263</v>
      </c>
      <c r="C20" s="87">
        <v>7.7</v>
      </c>
      <c r="D20" s="87">
        <v>7.9</v>
      </c>
      <c r="E20" s="87">
        <v>8.3000000000000007</v>
      </c>
      <c r="F20" s="87">
        <v>8.1</v>
      </c>
      <c r="G20" s="87">
        <v>32</v>
      </c>
      <c r="H20" s="87">
        <v>6.6</v>
      </c>
      <c r="I20" s="87">
        <v>6.7</v>
      </c>
      <c r="J20" s="87">
        <v>6.9</v>
      </c>
      <c r="K20" s="87">
        <v>6.9</v>
      </c>
      <c r="L20" s="87">
        <v>27.1</v>
      </c>
      <c r="M20" s="87">
        <v>6.7</v>
      </c>
      <c r="N20" s="87">
        <v>8.5</v>
      </c>
      <c r="O20" s="87">
        <v>8.8000000000000007</v>
      </c>
      <c r="P20" s="87">
        <v>8.4</v>
      </c>
      <c r="Q20" s="87">
        <v>32.4</v>
      </c>
      <c r="R20" s="87">
        <v>9.1</v>
      </c>
      <c r="S20" s="87">
        <v>14.7</v>
      </c>
      <c r="T20" s="87">
        <v>14.1</v>
      </c>
      <c r="U20" s="87">
        <v>13.2</v>
      </c>
      <c r="V20" s="87">
        <v>51.099999999999994</v>
      </c>
      <c r="W20" s="87">
        <v>13.7</v>
      </c>
      <c r="X20" s="32">
        <v>15.6</v>
      </c>
      <c r="Y20" s="87">
        <v>15.3</v>
      </c>
      <c r="Z20" s="87">
        <v>19.2</v>
      </c>
      <c r="AA20" s="87">
        <v>63.9</v>
      </c>
      <c r="AB20" s="87">
        <v>18.3</v>
      </c>
      <c r="AC20" s="32">
        <v>20.8</v>
      </c>
      <c r="AD20" s="32">
        <v>21.6</v>
      </c>
      <c r="AE20" s="32">
        <v>27</v>
      </c>
      <c r="AF20" s="87">
        <v>87.4</v>
      </c>
      <c r="AG20" s="32">
        <v>28.9</v>
      </c>
      <c r="AH20" s="97">
        <v>27</v>
      </c>
      <c r="AI20" s="97">
        <v>27</v>
      </c>
      <c r="AJ20" s="32">
        <v>29.200000000000003</v>
      </c>
      <c r="AK20" s="32">
        <v>112.1</v>
      </c>
      <c r="AL20" s="32">
        <v>28.2</v>
      </c>
      <c r="AM20" s="32">
        <v>29.9</v>
      </c>
      <c r="AN20" s="32">
        <v>25.9</v>
      </c>
      <c r="AO20" s="32">
        <v>29</v>
      </c>
      <c r="AP20" s="32">
        <v>113</v>
      </c>
      <c r="AQ20" s="32">
        <v>28.8</v>
      </c>
      <c r="AR20" s="32">
        <v>31.3</v>
      </c>
      <c r="AS20" s="97">
        <v>28.000000000000004</v>
      </c>
      <c r="AT20" s="97">
        <v>29</v>
      </c>
      <c r="AU20" s="32">
        <v>117.1</v>
      </c>
      <c r="AV20" s="97">
        <v>32.799999999999997</v>
      </c>
      <c r="AW20" s="97">
        <v>34.299999999999997</v>
      </c>
      <c r="AX20" s="97">
        <v>34.1</v>
      </c>
      <c r="AY20" s="97">
        <v>34.1</v>
      </c>
      <c r="AZ20" s="97">
        <v>135.30000000000001</v>
      </c>
      <c r="BA20" s="97">
        <v>34.4</v>
      </c>
      <c r="BB20" s="97">
        <v>37.200000000000003</v>
      </c>
      <c r="BC20" s="97">
        <v>45</v>
      </c>
      <c r="BD20" s="97">
        <v>41.500000000000007</v>
      </c>
      <c r="BE20" s="97">
        <v>152.1</v>
      </c>
      <c r="BF20" s="97">
        <v>36.4</v>
      </c>
    </row>
    <row r="21" spans="1:58" x14ac:dyDescent="0.25">
      <c r="A21" s="22"/>
      <c r="B21" s="30" t="s">
        <v>264</v>
      </c>
      <c r="C21" s="87">
        <v>0</v>
      </c>
      <c r="D21" s="87">
        <v>0</v>
      </c>
      <c r="E21" s="87">
        <v>0.2</v>
      </c>
      <c r="F21" s="87">
        <v>0.4</v>
      </c>
      <c r="G21" s="87">
        <v>0.60000000000000009</v>
      </c>
      <c r="H21" s="87">
        <v>0.7</v>
      </c>
      <c r="I21" s="87">
        <v>0.8</v>
      </c>
      <c r="J21" s="87">
        <v>0.8</v>
      </c>
      <c r="K21" s="87">
        <v>1.5</v>
      </c>
      <c r="L21" s="87">
        <v>3.8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87">
        <v>0</v>
      </c>
      <c r="AI21" s="87">
        <v>0</v>
      </c>
      <c r="AJ21" s="87">
        <v>0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v>0</v>
      </c>
      <c r="AU21" s="87">
        <v>0</v>
      </c>
      <c r="AV21" s="97">
        <v>0</v>
      </c>
      <c r="AW21" s="97">
        <v>0</v>
      </c>
      <c r="AX21" s="97">
        <v>0</v>
      </c>
      <c r="AY21" s="97">
        <v>0</v>
      </c>
      <c r="AZ21" s="97">
        <v>0</v>
      </c>
      <c r="BA21" s="97">
        <v>0</v>
      </c>
      <c r="BB21" s="97">
        <v>0</v>
      </c>
      <c r="BC21" s="97">
        <v>0</v>
      </c>
      <c r="BD21" s="97">
        <v>0</v>
      </c>
      <c r="BE21" s="97">
        <v>0</v>
      </c>
      <c r="BF21" s="97">
        <v>0</v>
      </c>
    </row>
    <row r="22" spans="1:58" x14ac:dyDescent="0.25">
      <c r="A22" s="22"/>
      <c r="B22" s="30" t="s">
        <v>265</v>
      </c>
      <c r="C22" s="87">
        <v>0.5</v>
      </c>
      <c r="D22" s="87">
        <v>-0.1</v>
      </c>
      <c r="E22" s="87">
        <v>0.9</v>
      </c>
      <c r="F22" s="87">
        <v>0.8</v>
      </c>
      <c r="G22" s="87">
        <v>2.1</v>
      </c>
      <c r="H22" s="87">
        <v>0.3</v>
      </c>
      <c r="I22" s="87">
        <v>-0.1</v>
      </c>
      <c r="J22" s="87">
        <v>0.8</v>
      </c>
      <c r="K22" s="87">
        <v>2</v>
      </c>
      <c r="L22" s="87">
        <v>3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  <c r="AG22" s="87">
        <v>0</v>
      </c>
      <c r="AH22" s="87">
        <v>0</v>
      </c>
      <c r="AI22" s="87">
        <v>0</v>
      </c>
      <c r="AJ22" s="87">
        <v>0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v>0</v>
      </c>
      <c r="AU22" s="87">
        <v>0</v>
      </c>
      <c r="AV22" s="97">
        <v>0</v>
      </c>
      <c r="AW22" s="97">
        <v>0</v>
      </c>
      <c r="AX22" s="97">
        <v>0</v>
      </c>
      <c r="AY22" s="97">
        <v>0</v>
      </c>
      <c r="AZ22" s="97">
        <v>0</v>
      </c>
      <c r="BA22" s="97">
        <v>0</v>
      </c>
      <c r="BB22" s="97">
        <v>0</v>
      </c>
      <c r="BC22" s="97">
        <v>0</v>
      </c>
      <c r="BD22" s="97">
        <v>0</v>
      </c>
      <c r="BE22" s="97">
        <v>0</v>
      </c>
      <c r="BF22" s="97">
        <v>0</v>
      </c>
    </row>
    <row r="23" spans="1:58" x14ac:dyDescent="0.25">
      <c r="A23" s="22"/>
      <c r="B23" s="30" t="s">
        <v>266</v>
      </c>
      <c r="C23" s="87">
        <v>0.5</v>
      </c>
      <c r="D23" s="87">
        <v>0</v>
      </c>
      <c r="E23" s="87">
        <v>0.6</v>
      </c>
      <c r="F23" s="87">
        <v>1.8</v>
      </c>
      <c r="G23" s="87">
        <v>2.9000000000000004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  <c r="AG23" s="87">
        <v>0</v>
      </c>
      <c r="AH23" s="87">
        <v>0</v>
      </c>
      <c r="AI23" s="87">
        <v>0</v>
      </c>
      <c r="AJ23" s="87">
        <v>0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v>0</v>
      </c>
      <c r="AU23" s="87">
        <v>0</v>
      </c>
      <c r="AV23" s="97">
        <v>0</v>
      </c>
      <c r="AW23" s="97">
        <v>0</v>
      </c>
      <c r="AX23" s="97">
        <v>0</v>
      </c>
      <c r="AY23" s="97">
        <v>0</v>
      </c>
      <c r="AZ23" s="97">
        <v>0</v>
      </c>
      <c r="BA23" s="97">
        <v>0</v>
      </c>
      <c r="BB23" s="97">
        <v>0</v>
      </c>
      <c r="BC23" s="97">
        <v>0</v>
      </c>
      <c r="BD23" s="97">
        <v>0</v>
      </c>
      <c r="BE23" s="97">
        <v>0</v>
      </c>
      <c r="BF23" s="97">
        <v>0</v>
      </c>
    </row>
    <row r="24" spans="1:58" x14ac:dyDescent="0.25">
      <c r="A24" s="22"/>
    </row>
    <row r="25" spans="1:58" x14ac:dyDescent="0.25">
      <c r="A25" s="22"/>
      <c r="B25" s="86" t="s">
        <v>267</v>
      </c>
      <c r="C25" s="88">
        <v>37.5</v>
      </c>
      <c r="D25" s="88">
        <f>SUM(D16:D23)</f>
        <v>39</v>
      </c>
      <c r="E25" s="88">
        <f>SUM(E16:E23)</f>
        <v>44.8</v>
      </c>
      <c r="F25" s="88">
        <f>SUM(F16:F23)</f>
        <v>53.999999999999993</v>
      </c>
      <c r="G25" s="88">
        <v>175.29999999999998</v>
      </c>
      <c r="H25" s="88">
        <v>42.9</v>
      </c>
      <c r="I25" s="88">
        <v>44.5</v>
      </c>
      <c r="J25" s="88">
        <v>53.1</v>
      </c>
      <c r="K25" s="88">
        <v>49.4</v>
      </c>
      <c r="L25" s="88">
        <v>189.9</v>
      </c>
      <c r="M25" s="88">
        <v>45.5</v>
      </c>
      <c r="N25" s="88">
        <v>59.8</v>
      </c>
      <c r="O25" s="88">
        <v>52.7</v>
      </c>
      <c r="P25" s="88">
        <v>36.4</v>
      </c>
      <c r="Q25" s="88">
        <v>194.5</v>
      </c>
      <c r="R25" s="88">
        <v>46.7</v>
      </c>
      <c r="S25" s="88">
        <v>38.700000000000003</v>
      </c>
      <c r="T25" s="88">
        <v>42.4</v>
      </c>
      <c r="U25" s="88">
        <v>56.6</v>
      </c>
      <c r="V25" s="88">
        <v>184.4</v>
      </c>
      <c r="W25" s="88">
        <v>55.400000000000006</v>
      </c>
      <c r="X25" s="89">
        <v>53.9</v>
      </c>
      <c r="Y25" s="89">
        <v>69.8</v>
      </c>
      <c r="Z25" s="89">
        <v>57.6</v>
      </c>
      <c r="AA25" s="89">
        <v>236.9</v>
      </c>
      <c r="AB25" s="89">
        <v>66.099999999999994</v>
      </c>
      <c r="AC25" s="89">
        <v>69.3</v>
      </c>
      <c r="AD25" s="89">
        <v>78.5</v>
      </c>
      <c r="AE25" s="89">
        <v>67.400000000000006</v>
      </c>
      <c r="AF25" s="89">
        <v>281.10000000000002</v>
      </c>
      <c r="AG25" s="89">
        <v>67.099999999999994</v>
      </c>
      <c r="AH25" s="89">
        <v>32.4</v>
      </c>
      <c r="AI25" s="90">
        <v>110</v>
      </c>
      <c r="AJ25" s="89">
        <v>57.900000000000006</v>
      </c>
      <c r="AK25" s="89">
        <v>267.29999999999995</v>
      </c>
      <c r="AL25" s="89">
        <v>37.299999999999997</v>
      </c>
      <c r="AM25" s="89">
        <v>51.8</v>
      </c>
      <c r="AN25" s="89">
        <v>59.4</v>
      </c>
      <c r="AO25" s="89">
        <f>SUM(AO16:AO23)</f>
        <v>58.2</v>
      </c>
      <c r="AP25" s="89">
        <f>SUM(AP16:AP23)</f>
        <v>206.60000000000002</v>
      </c>
      <c r="AQ25" s="89">
        <f>SUM(AQ16:AQ23)</f>
        <v>65.5</v>
      </c>
      <c r="AR25" s="89">
        <f>SUM(AR16:AR23)</f>
        <v>68.3</v>
      </c>
      <c r="AS25" s="89">
        <v>76.7</v>
      </c>
      <c r="AT25" s="89">
        <v>59.3</v>
      </c>
      <c r="AU25" s="89">
        <f>SUM(AU16:AU23)</f>
        <v>269.7</v>
      </c>
      <c r="AV25" s="89">
        <f>SUM(AV16:AV23)</f>
        <v>66.5</v>
      </c>
      <c r="AW25" s="89">
        <f>SUM(AW16:AW23)</f>
        <v>64.199999999999989</v>
      </c>
      <c r="AX25" s="89">
        <f>SUM(AX16:AX23)</f>
        <v>94.9</v>
      </c>
      <c r="AY25" s="90">
        <v>40</v>
      </c>
      <c r="AZ25" s="90">
        <v>265.7</v>
      </c>
      <c r="BA25" s="90">
        <v>66.8</v>
      </c>
      <c r="BB25" s="90">
        <v>-110.8</v>
      </c>
      <c r="BC25" s="90">
        <v>75.3</v>
      </c>
      <c r="BD25" s="90">
        <v>17.500000000000004</v>
      </c>
      <c r="BE25" s="90">
        <v>42.799999999999983</v>
      </c>
      <c r="BF25" s="90">
        <v>56.5</v>
      </c>
    </row>
    <row r="26" spans="1:58" x14ac:dyDescent="0.25">
      <c r="A26" s="22"/>
      <c r="B26" s="30" t="s">
        <v>265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0.5</v>
      </c>
      <c r="N26" s="87">
        <v>-2.2000000000000002</v>
      </c>
      <c r="O26" s="87">
        <v>1.7</v>
      </c>
      <c r="P26" s="87">
        <v>16.8</v>
      </c>
      <c r="Q26" s="87">
        <v>16.8</v>
      </c>
      <c r="R26" s="87">
        <v>0.9</v>
      </c>
      <c r="S26" s="87">
        <v>4.5999999999999996</v>
      </c>
      <c r="T26" s="87">
        <v>25.8</v>
      </c>
      <c r="U26" s="87">
        <v>6.1</v>
      </c>
      <c r="V26" s="87">
        <v>37.4</v>
      </c>
      <c r="W26" s="87">
        <v>0.6</v>
      </c>
      <c r="X26" s="32">
        <v>1.2</v>
      </c>
      <c r="Y26" s="87">
        <v>1.4</v>
      </c>
      <c r="Z26" s="87">
        <v>11.5</v>
      </c>
      <c r="AA26" s="87">
        <v>14.7</v>
      </c>
      <c r="AB26" s="87">
        <v>1.7</v>
      </c>
      <c r="AC26" s="32">
        <v>7.6</v>
      </c>
      <c r="AD26" s="32">
        <v>3.8</v>
      </c>
      <c r="AE26" s="32">
        <v>13</v>
      </c>
      <c r="AF26" s="87">
        <v>26.1</v>
      </c>
      <c r="AG26" s="87">
        <v>6.4</v>
      </c>
      <c r="AH26" s="87">
        <v>42.3</v>
      </c>
      <c r="AI26" s="87">
        <v>-30.7</v>
      </c>
      <c r="AJ26" s="87">
        <v>9.9</v>
      </c>
      <c r="AK26" s="87">
        <v>27.999999999999993</v>
      </c>
      <c r="AL26" s="87">
        <v>17.2</v>
      </c>
      <c r="AM26" s="87">
        <v>12.7</v>
      </c>
      <c r="AN26" s="87">
        <v>14.1</v>
      </c>
      <c r="AO26" s="87">
        <v>10.9</v>
      </c>
      <c r="AP26" s="87">
        <v>54.9</v>
      </c>
      <c r="AQ26" s="87">
        <v>11.7</v>
      </c>
      <c r="AR26" s="87">
        <v>12.7</v>
      </c>
      <c r="AS26" s="87">
        <v>4.7</v>
      </c>
      <c r="AT26" s="87">
        <v>16.899999999999999</v>
      </c>
      <c r="AU26" s="87">
        <v>46</v>
      </c>
      <c r="AV26" s="97">
        <v>4.4000000000000004</v>
      </c>
      <c r="AW26" s="97">
        <v>2.8</v>
      </c>
      <c r="AX26" s="97">
        <v>6.9</v>
      </c>
      <c r="AY26" s="97">
        <v>47.5</v>
      </c>
      <c r="AZ26" s="97">
        <v>61.6</v>
      </c>
      <c r="BA26" s="97">
        <v>-2.6</v>
      </c>
      <c r="BB26" s="97">
        <v>130.9</v>
      </c>
      <c r="BC26" s="97">
        <v>11.3</v>
      </c>
      <c r="BD26" s="97">
        <v>39.5</v>
      </c>
      <c r="BE26" s="97">
        <v>179.10000000000002</v>
      </c>
      <c r="BF26" s="97">
        <v>10.4</v>
      </c>
    </row>
    <row r="27" spans="1:58" x14ac:dyDescent="0.25">
      <c r="A27" s="22"/>
      <c r="B27" s="30" t="s">
        <v>268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0.5</v>
      </c>
      <c r="I27" s="87">
        <v>0.4</v>
      </c>
      <c r="J27" s="87">
        <v>0</v>
      </c>
      <c r="K27" s="87">
        <v>0.4</v>
      </c>
      <c r="L27" s="87">
        <v>1.3</v>
      </c>
      <c r="M27" s="87">
        <v>0.2</v>
      </c>
      <c r="N27" s="87">
        <v>-1.4</v>
      </c>
      <c r="O27" s="87">
        <v>-1</v>
      </c>
      <c r="P27" s="87">
        <v>0.3</v>
      </c>
      <c r="Q27" s="87">
        <v>-1.9000000000000001</v>
      </c>
      <c r="R27" s="87">
        <v>1.2</v>
      </c>
      <c r="S27" s="87">
        <v>-3.5</v>
      </c>
      <c r="T27" s="87">
        <v>-1</v>
      </c>
      <c r="U27" s="87">
        <v>-0.5</v>
      </c>
      <c r="V27" s="87">
        <v>-3.8</v>
      </c>
      <c r="W27" s="87">
        <v>-1.1000000000000001</v>
      </c>
      <c r="X27" s="32">
        <v>-1.5</v>
      </c>
      <c r="Y27" s="87">
        <v>-1.2</v>
      </c>
      <c r="Z27" s="87">
        <v>-2.8</v>
      </c>
      <c r="AA27" s="87">
        <v>-6.7</v>
      </c>
      <c r="AB27" s="87">
        <v>-0.4</v>
      </c>
      <c r="AC27" s="32">
        <v>-2.8</v>
      </c>
      <c r="AD27" s="32">
        <v>-1.1000000000000001</v>
      </c>
      <c r="AE27" s="32">
        <v>-1.2</v>
      </c>
      <c r="AF27" s="87">
        <v>-5.3</v>
      </c>
      <c r="AG27" s="87">
        <v>-5.7</v>
      </c>
      <c r="AH27" s="87">
        <v>-4.4000000000000004</v>
      </c>
      <c r="AI27" s="87">
        <v>-4</v>
      </c>
      <c r="AJ27" s="87">
        <v>-5.0000000000000036</v>
      </c>
      <c r="AK27" s="87">
        <v>-19.099999999999994</v>
      </c>
      <c r="AL27" s="87">
        <v>-4.0999999999999996</v>
      </c>
      <c r="AM27" s="87">
        <v>-4.2</v>
      </c>
      <c r="AN27" s="87">
        <v>-4.5999999999999996</v>
      </c>
      <c r="AO27" s="87">
        <v>-4.2745723307102992</v>
      </c>
      <c r="AP27" s="87">
        <v>-17.2292814755526</v>
      </c>
      <c r="AQ27" s="87">
        <v>-4.2</v>
      </c>
      <c r="AR27" s="87">
        <v>-5</v>
      </c>
      <c r="AS27" s="87">
        <v>-1.1221639307668041</v>
      </c>
      <c r="AT27" s="87">
        <v>-3</v>
      </c>
      <c r="AU27" s="87">
        <v>-13.4</v>
      </c>
      <c r="AV27" s="97">
        <v>-4</v>
      </c>
      <c r="AW27" s="97">
        <v>-3.9</v>
      </c>
      <c r="AX27" s="97">
        <v>-4.2</v>
      </c>
      <c r="AY27" s="97">
        <v>-3.7</v>
      </c>
      <c r="AZ27" s="97">
        <v>-15.9</v>
      </c>
      <c r="BA27" s="97">
        <v>-4.2</v>
      </c>
      <c r="BB27" s="97">
        <v>-4.3</v>
      </c>
      <c r="BC27" s="97">
        <v>-11.4</v>
      </c>
      <c r="BD27" s="97">
        <v>-4.5561734057447083</v>
      </c>
      <c r="BE27" s="97">
        <v>-18.630426023430402</v>
      </c>
      <c r="BF27" s="97">
        <v>-5.9144157577885998</v>
      </c>
    </row>
    <row r="28" spans="1:58" x14ac:dyDescent="0.25">
      <c r="A28" s="22"/>
      <c r="B28" s="17" t="s">
        <v>269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87">
        <v>-0.3</v>
      </c>
      <c r="I28" s="87">
        <v>-0.4</v>
      </c>
      <c r="J28" s="87">
        <v>-0.4</v>
      </c>
      <c r="K28" s="87">
        <v>-1</v>
      </c>
      <c r="L28" s="87">
        <v>-2.1</v>
      </c>
      <c r="M28" s="87">
        <v>1.2</v>
      </c>
      <c r="N28" s="87">
        <v>2.2000000000000002</v>
      </c>
      <c r="O28" s="87">
        <v>0.8</v>
      </c>
      <c r="P28" s="87">
        <v>2.8</v>
      </c>
      <c r="Q28" s="87">
        <v>7</v>
      </c>
      <c r="R28" s="87">
        <v>0.8</v>
      </c>
      <c r="S28" s="87">
        <v>2.4</v>
      </c>
      <c r="T28" s="87">
        <v>0.1</v>
      </c>
      <c r="U28" s="87">
        <v>1.5</v>
      </c>
      <c r="V28" s="87">
        <v>4.8000000000000007</v>
      </c>
      <c r="W28" s="87">
        <v>1.6</v>
      </c>
      <c r="X28" s="32">
        <v>2.1</v>
      </c>
      <c r="Y28" s="87">
        <v>8.3000000000000007</v>
      </c>
      <c r="Z28" s="87">
        <v>10</v>
      </c>
      <c r="AA28" s="87">
        <v>21.8</v>
      </c>
      <c r="AB28" s="87">
        <v>1.3</v>
      </c>
      <c r="AC28" s="32">
        <v>1.2</v>
      </c>
      <c r="AD28" s="32">
        <v>1</v>
      </c>
      <c r="AE28" s="32">
        <v>1.8</v>
      </c>
      <c r="AF28" s="87">
        <v>5.3</v>
      </c>
      <c r="AG28" s="87">
        <v>1.3</v>
      </c>
      <c r="AH28" s="87">
        <v>1.4</v>
      </c>
      <c r="AI28" s="87">
        <v>0</v>
      </c>
      <c r="AJ28" s="87">
        <v>0</v>
      </c>
      <c r="AK28" s="87">
        <v>2.7</v>
      </c>
      <c r="AL28" s="87">
        <v>0</v>
      </c>
      <c r="AM28" s="87">
        <v>0</v>
      </c>
      <c r="AN28" s="87">
        <v>0.3</v>
      </c>
      <c r="AO28" s="87">
        <v>1.3</v>
      </c>
      <c r="AP28" s="87">
        <v>1.6</v>
      </c>
      <c r="AQ28" s="87">
        <v>0</v>
      </c>
      <c r="AR28" s="87">
        <v>1.2</v>
      </c>
      <c r="AS28" s="87">
        <v>0.8</v>
      </c>
      <c r="AT28" s="87">
        <v>0.6</v>
      </c>
      <c r="AU28" s="87">
        <v>2.7</v>
      </c>
      <c r="AV28" s="97">
        <v>0.2</v>
      </c>
      <c r="AW28" s="97">
        <v>0.5</v>
      </c>
      <c r="AX28" s="97">
        <v>0</v>
      </c>
      <c r="AY28" s="97">
        <v>-3.1</v>
      </c>
      <c r="AZ28" s="97">
        <v>-2.4</v>
      </c>
      <c r="BA28" s="97">
        <v>0.2</v>
      </c>
      <c r="BB28" s="97">
        <v>1.7</v>
      </c>
      <c r="BC28" s="97">
        <v>-0.7</v>
      </c>
      <c r="BD28" s="97">
        <v>-2</v>
      </c>
      <c r="BE28" s="97">
        <v>-0.8</v>
      </c>
      <c r="BF28" s="97">
        <v>0</v>
      </c>
    </row>
    <row r="29" spans="1:58" x14ac:dyDescent="0.25">
      <c r="A29" s="22"/>
      <c r="B29" s="30" t="s">
        <v>266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1.1000000000000001</v>
      </c>
      <c r="J29" s="87">
        <v>2.8</v>
      </c>
      <c r="K29" s="87">
        <v>7.4</v>
      </c>
      <c r="L29" s="87">
        <v>11.3</v>
      </c>
      <c r="M29" s="87">
        <v>4.8</v>
      </c>
      <c r="N29" s="87">
        <v>0</v>
      </c>
      <c r="O29" s="87">
        <v>0</v>
      </c>
      <c r="P29" s="87">
        <v>0</v>
      </c>
      <c r="Q29" s="87">
        <v>4.8</v>
      </c>
      <c r="R29" s="87">
        <v>0.4</v>
      </c>
      <c r="S29" s="87">
        <v>-1.8</v>
      </c>
      <c r="T29" s="87">
        <v>-0.2</v>
      </c>
      <c r="U29" s="87">
        <v>1.6</v>
      </c>
      <c r="V29" s="87">
        <v>0</v>
      </c>
      <c r="W29" s="87">
        <v>0</v>
      </c>
      <c r="X29" s="32">
        <v>0</v>
      </c>
      <c r="Y29" s="87">
        <v>0</v>
      </c>
      <c r="Z29" s="87">
        <v>0</v>
      </c>
      <c r="AA29" s="87">
        <v>0</v>
      </c>
      <c r="AB29" s="87">
        <v>0</v>
      </c>
      <c r="AC29" s="32">
        <v>0</v>
      </c>
      <c r="AD29" s="32">
        <v>0</v>
      </c>
      <c r="AE29" s="32">
        <v>0</v>
      </c>
      <c r="AF29" s="87">
        <v>0</v>
      </c>
      <c r="AG29" s="87">
        <v>0</v>
      </c>
      <c r="AH29" s="87">
        <v>0</v>
      </c>
      <c r="AI29" s="87">
        <v>0</v>
      </c>
      <c r="AJ29" s="87">
        <v>0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v>0</v>
      </c>
      <c r="AU29" s="87">
        <v>0</v>
      </c>
      <c r="AV29" s="97">
        <v>0</v>
      </c>
      <c r="AW29" s="97">
        <v>0</v>
      </c>
      <c r="AX29" s="97">
        <v>0</v>
      </c>
      <c r="AY29" s="97">
        <v>0</v>
      </c>
      <c r="AZ29" s="97">
        <v>0</v>
      </c>
      <c r="BA29" s="97">
        <v>0</v>
      </c>
      <c r="BB29" s="97">
        <v>0</v>
      </c>
      <c r="BC29" s="97">
        <v>0</v>
      </c>
      <c r="BD29" s="97">
        <v>0</v>
      </c>
      <c r="BE29" s="97">
        <v>0</v>
      </c>
      <c r="BF29" s="97">
        <v>0</v>
      </c>
    </row>
    <row r="30" spans="1:58" x14ac:dyDescent="0.25">
      <c r="A30" s="22"/>
      <c r="B30" s="86" t="s">
        <v>255</v>
      </c>
      <c r="C30" s="88">
        <f>SUM(C25:C29)</f>
        <v>37.5</v>
      </c>
      <c r="D30" s="88">
        <f>SUM(D25:D29)</f>
        <v>39</v>
      </c>
      <c r="E30" s="88">
        <f>SUM(E25:E29)</f>
        <v>44.8</v>
      </c>
      <c r="F30" s="88">
        <f>SUM(F25:F29)</f>
        <v>53.999999999999993</v>
      </c>
      <c r="G30" s="88">
        <v>175.29999999999998</v>
      </c>
      <c r="H30" s="88">
        <v>43.1</v>
      </c>
      <c r="I30" s="88">
        <v>45.6</v>
      </c>
      <c r="J30" s="88">
        <v>55.599999999999994</v>
      </c>
      <c r="K30" s="88">
        <v>56.199999999999996</v>
      </c>
      <c r="L30" s="88">
        <v>200.4</v>
      </c>
      <c r="M30" s="88">
        <v>52.2</v>
      </c>
      <c r="N30" s="88">
        <v>58.6</v>
      </c>
      <c r="O30" s="88">
        <v>54.2</v>
      </c>
      <c r="P30" s="88">
        <v>56.3</v>
      </c>
      <c r="Q30" s="88">
        <v>221.3</v>
      </c>
      <c r="R30" s="88">
        <v>50</v>
      </c>
      <c r="S30" s="88">
        <v>40.4</v>
      </c>
      <c r="T30" s="88">
        <v>67.099999999999994</v>
      </c>
      <c r="U30" s="88">
        <v>65.3</v>
      </c>
      <c r="V30" s="88">
        <v>222.8</v>
      </c>
      <c r="W30" s="88">
        <v>56.500000000000007</v>
      </c>
      <c r="X30" s="88">
        <v>55.7</v>
      </c>
      <c r="Y30" s="88">
        <v>78.3</v>
      </c>
      <c r="Z30" s="88">
        <v>76.3</v>
      </c>
      <c r="AA30" s="88">
        <v>266.7</v>
      </c>
      <c r="AB30" s="88">
        <v>68.7</v>
      </c>
      <c r="AC30" s="88">
        <v>75.3</v>
      </c>
      <c r="AD30" s="88">
        <v>82.2</v>
      </c>
      <c r="AE30" s="88">
        <v>81</v>
      </c>
      <c r="AF30" s="88">
        <v>307.2</v>
      </c>
      <c r="AG30" s="88">
        <v>69.099999999999994</v>
      </c>
      <c r="AH30" s="88">
        <v>71.7</v>
      </c>
      <c r="AI30" s="88">
        <v>75.3</v>
      </c>
      <c r="AJ30" s="88">
        <v>62.800000000000011</v>
      </c>
      <c r="AK30" s="88">
        <v>278.89999999999992</v>
      </c>
      <c r="AL30" s="88">
        <v>50.4</v>
      </c>
      <c r="AM30" s="88">
        <v>60.3</v>
      </c>
      <c r="AN30" s="88">
        <v>69.2</v>
      </c>
      <c r="AO30" s="88">
        <f>SUM(AO25:AO29)</f>
        <v>66.125427669289707</v>
      </c>
      <c r="AP30" s="88">
        <f>SUM(AP25:AP29)</f>
        <v>245.8707185244474</v>
      </c>
      <c r="AQ30" s="88">
        <f>SUM(AQ25:AQ29)</f>
        <v>73</v>
      </c>
      <c r="AR30" s="88">
        <v>77.099999999999994</v>
      </c>
      <c r="AS30" s="88">
        <v>81.0778360692332</v>
      </c>
      <c r="AT30" s="88">
        <v>73.8</v>
      </c>
      <c r="AU30" s="88">
        <f>SUM(AU25:AU29)</f>
        <v>305</v>
      </c>
      <c r="AV30" s="88">
        <f>SUM(AV25:AV29)</f>
        <v>67.100000000000009</v>
      </c>
      <c r="AW30" s="88">
        <f>SUM(AW25:AW29)</f>
        <v>63.599999999999987</v>
      </c>
      <c r="AX30" s="88">
        <f>SUM(AX25:AX29)</f>
        <v>97.600000000000009</v>
      </c>
      <c r="AY30" s="89">
        <v>80.7</v>
      </c>
      <c r="AZ30" s="90">
        <v>309</v>
      </c>
      <c r="BA30" s="90">
        <v>60.2</v>
      </c>
      <c r="BB30" s="90">
        <v>17.5</v>
      </c>
      <c r="BC30" s="90">
        <v>74.5</v>
      </c>
      <c r="BD30" s="90">
        <v>50.443826594255292</v>
      </c>
      <c r="BE30" s="90">
        <v>202.46957397656959</v>
      </c>
      <c r="BF30" s="90">
        <v>60.985584242211402</v>
      </c>
    </row>
    <row r="31" spans="1:58" x14ac:dyDescent="0.25">
      <c r="A31" s="22"/>
    </row>
    <row r="32" spans="1:58" x14ac:dyDescent="0.25">
      <c r="A32" s="22"/>
      <c r="B32" s="98" t="s">
        <v>270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</row>
    <row r="33" spans="1:58" x14ac:dyDescent="0.25">
      <c r="A33" s="22"/>
      <c r="B33" s="86" t="s">
        <v>254</v>
      </c>
      <c r="C33" s="88">
        <f>SUM(C34:C35)</f>
        <v>53.3</v>
      </c>
      <c r="D33" s="88">
        <f t="shared" ref="D33:AX33" si="1">SUM(D34:D35)</f>
        <v>56.6</v>
      </c>
      <c r="E33" s="88">
        <f t="shared" si="1"/>
        <v>59.9</v>
      </c>
      <c r="F33" s="88">
        <f t="shared" si="1"/>
        <v>60.2</v>
      </c>
      <c r="G33" s="88">
        <f t="shared" si="1"/>
        <v>230</v>
      </c>
      <c r="H33" s="88">
        <f t="shared" si="1"/>
        <v>58</v>
      </c>
      <c r="I33" s="88">
        <f t="shared" si="1"/>
        <v>61.1</v>
      </c>
      <c r="J33" s="88">
        <f t="shared" si="1"/>
        <v>70</v>
      </c>
      <c r="K33" s="88">
        <f t="shared" si="1"/>
        <v>69.599999999999994</v>
      </c>
      <c r="L33" s="88">
        <f t="shared" si="1"/>
        <v>258.7</v>
      </c>
      <c r="M33" s="88">
        <f t="shared" si="1"/>
        <v>69.300000000000011</v>
      </c>
      <c r="N33" s="88">
        <f t="shared" si="1"/>
        <v>74.600000000000009</v>
      </c>
      <c r="O33" s="88">
        <f t="shared" si="1"/>
        <v>82.3</v>
      </c>
      <c r="P33" s="88">
        <f t="shared" si="1"/>
        <v>78.300000000000011</v>
      </c>
      <c r="Q33" s="88">
        <f t="shared" si="1"/>
        <v>304.5</v>
      </c>
      <c r="R33" s="88">
        <f t="shared" si="1"/>
        <v>83.7</v>
      </c>
      <c r="S33" s="88">
        <f t="shared" si="1"/>
        <v>88.100000000000009</v>
      </c>
      <c r="T33" s="88">
        <f t="shared" si="1"/>
        <v>101.8</v>
      </c>
      <c r="U33" s="88">
        <f t="shared" si="1"/>
        <v>107.10000000000001</v>
      </c>
      <c r="V33" s="88">
        <f t="shared" si="1"/>
        <v>380.7</v>
      </c>
      <c r="W33" s="88">
        <f t="shared" si="1"/>
        <v>95.2</v>
      </c>
      <c r="X33" s="88">
        <f t="shared" si="1"/>
        <v>96.3</v>
      </c>
      <c r="Y33" s="88">
        <f t="shared" si="1"/>
        <v>112.5</v>
      </c>
      <c r="Z33" s="88">
        <f t="shared" si="1"/>
        <v>110.60000000000001</v>
      </c>
      <c r="AA33" s="88">
        <f t="shared" si="1"/>
        <v>414.70000000000005</v>
      </c>
      <c r="AB33" s="88">
        <f t="shared" si="1"/>
        <v>112.30000000000001</v>
      </c>
      <c r="AC33" s="88">
        <f t="shared" si="1"/>
        <v>117.19999999999999</v>
      </c>
      <c r="AD33" s="88">
        <f t="shared" si="1"/>
        <v>129.4</v>
      </c>
      <c r="AE33" s="88">
        <f t="shared" si="1"/>
        <v>125.89999999999999</v>
      </c>
      <c r="AF33" s="88">
        <f t="shared" si="1"/>
        <v>484.8</v>
      </c>
      <c r="AG33" s="88">
        <f t="shared" si="1"/>
        <v>123.89999999999999</v>
      </c>
      <c r="AH33" s="88">
        <f t="shared" si="1"/>
        <v>133</v>
      </c>
      <c r="AI33" s="88">
        <f t="shared" si="1"/>
        <v>138.19999999999999</v>
      </c>
      <c r="AJ33" s="88">
        <f t="shared" si="1"/>
        <v>131.07478465186699</v>
      </c>
      <c r="AK33" s="88">
        <f t="shared" si="1"/>
        <v>526.17478465186696</v>
      </c>
      <c r="AL33" s="88">
        <f t="shared" si="1"/>
        <v>146.6</v>
      </c>
      <c r="AM33" s="88">
        <f t="shared" si="1"/>
        <v>138.9</v>
      </c>
      <c r="AN33" s="88">
        <f t="shared" si="1"/>
        <v>152</v>
      </c>
      <c r="AO33" s="88">
        <f t="shared" si="1"/>
        <v>146.5</v>
      </c>
      <c r="AP33" s="88">
        <f t="shared" si="1"/>
        <v>584</v>
      </c>
      <c r="AQ33" s="88">
        <f t="shared" si="1"/>
        <v>156.19999999999999</v>
      </c>
      <c r="AR33" s="88">
        <f t="shared" si="1"/>
        <v>153.69999999999999</v>
      </c>
      <c r="AS33" s="88">
        <f t="shared" si="1"/>
        <v>170.08983067112899</v>
      </c>
      <c r="AT33" s="88">
        <f t="shared" si="1"/>
        <v>155.4</v>
      </c>
      <c r="AU33" s="88">
        <f t="shared" si="1"/>
        <v>635.29999999999995</v>
      </c>
      <c r="AV33" s="88">
        <f t="shared" si="1"/>
        <v>155.69999999999999</v>
      </c>
      <c r="AW33" s="88">
        <f t="shared" si="1"/>
        <v>144.30000000000001</v>
      </c>
      <c r="AX33" s="88">
        <f t="shared" si="1"/>
        <v>166.1</v>
      </c>
      <c r="AY33" s="88">
        <v>157.6</v>
      </c>
      <c r="AZ33" s="88">
        <v>623.70000000000005</v>
      </c>
      <c r="BA33" s="88">
        <v>143.80000000000001</v>
      </c>
      <c r="BB33" s="88">
        <v>52.6</v>
      </c>
      <c r="BC33" s="88">
        <v>120.2</v>
      </c>
      <c r="BD33" s="88">
        <v>137.832777582804</v>
      </c>
      <c r="BE33" s="88">
        <v>454.3841580640634</v>
      </c>
      <c r="BF33" s="88">
        <v>113.40794509721721</v>
      </c>
    </row>
    <row r="34" spans="1:58" x14ac:dyDescent="0.25">
      <c r="A34" s="22"/>
      <c r="B34" s="100" t="s">
        <v>271</v>
      </c>
      <c r="C34" s="32">
        <v>53.3</v>
      </c>
      <c r="D34" s="32">
        <v>56.6</v>
      </c>
      <c r="E34" s="32">
        <v>59.9</v>
      </c>
      <c r="F34" s="32">
        <v>60.2</v>
      </c>
      <c r="G34" s="32">
        <v>230</v>
      </c>
      <c r="H34" s="97">
        <v>58</v>
      </c>
      <c r="I34" s="32">
        <v>61.1</v>
      </c>
      <c r="J34" s="97">
        <v>70</v>
      </c>
      <c r="K34" s="32">
        <v>69.599999999999994</v>
      </c>
      <c r="L34" s="32">
        <v>258.7</v>
      </c>
      <c r="M34" s="32">
        <v>68.900000000000006</v>
      </c>
      <c r="N34" s="32">
        <v>72.2</v>
      </c>
      <c r="O34" s="32">
        <v>79.5</v>
      </c>
      <c r="P34" s="32">
        <v>76.900000000000006</v>
      </c>
      <c r="Q34" s="32">
        <v>297.5</v>
      </c>
      <c r="R34" s="32">
        <v>79.900000000000006</v>
      </c>
      <c r="S34" s="32">
        <v>81.400000000000006</v>
      </c>
      <c r="T34" s="32">
        <v>93.8</v>
      </c>
      <c r="U34" s="32">
        <v>96.2</v>
      </c>
      <c r="V34" s="32">
        <v>351.3</v>
      </c>
      <c r="W34" s="32">
        <v>88.5</v>
      </c>
      <c r="X34" s="97">
        <v>87</v>
      </c>
      <c r="Y34" s="32">
        <v>101.6</v>
      </c>
      <c r="Z34" s="32">
        <v>99.4</v>
      </c>
      <c r="AA34" s="32">
        <v>376.6</v>
      </c>
      <c r="AB34" s="32">
        <v>102.4</v>
      </c>
      <c r="AC34" s="97">
        <v>101.6</v>
      </c>
      <c r="AD34" s="97">
        <v>113.5</v>
      </c>
      <c r="AE34" s="97">
        <v>112.3</v>
      </c>
      <c r="AF34" s="32">
        <v>429.8</v>
      </c>
      <c r="AG34" s="97">
        <v>110.1</v>
      </c>
      <c r="AH34" s="97">
        <v>113.7</v>
      </c>
      <c r="AI34" s="97">
        <v>122.1</v>
      </c>
      <c r="AJ34" s="97">
        <v>115.974784651867</v>
      </c>
      <c r="AK34" s="97">
        <v>461.874784651867</v>
      </c>
      <c r="AL34" s="97">
        <v>127.5</v>
      </c>
      <c r="AM34" s="97">
        <v>117.7</v>
      </c>
      <c r="AN34" s="97">
        <v>130.80000000000001</v>
      </c>
      <c r="AO34" s="97">
        <v>125.9</v>
      </c>
      <c r="AP34" s="97">
        <v>501.9</v>
      </c>
      <c r="AQ34" s="97">
        <v>136.5</v>
      </c>
      <c r="AR34" s="97">
        <v>131</v>
      </c>
      <c r="AS34" s="97">
        <v>142.447975101129</v>
      </c>
      <c r="AT34" s="97">
        <v>132.6</v>
      </c>
      <c r="AU34" s="97">
        <v>542.5</v>
      </c>
      <c r="AV34" s="97">
        <v>136.6</v>
      </c>
      <c r="AW34" s="97">
        <v>125</v>
      </c>
      <c r="AX34" s="97">
        <v>147.19999999999999</v>
      </c>
      <c r="AY34" s="97">
        <v>138.9</v>
      </c>
      <c r="AZ34" s="97">
        <v>547.79999999999995</v>
      </c>
      <c r="BA34" s="97">
        <v>130.19999999999999</v>
      </c>
      <c r="BB34" s="97">
        <v>38.5</v>
      </c>
      <c r="BC34" s="97">
        <v>102.4</v>
      </c>
      <c r="BD34" s="97">
        <v>121.701267932804</v>
      </c>
      <c r="BE34" s="87">
        <v>392.73546349341319</v>
      </c>
      <c r="BF34" s="97">
        <v>94.5685158792826</v>
      </c>
    </row>
    <row r="35" spans="1:58" x14ac:dyDescent="0.25">
      <c r="A35" s="22"/>
      <c r="B35" s="100" t="s">
        <v>272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0.4</v>
      </c>
      <c r="N35" s="87">
        <v>2.4</v>
      </c>
      <c r="O35" s="87">
        <v>2.8</v>
      </c>
      <c r="P35" s="87">
        <v>1.4</v>
      </c>
      <c r="Q35" s="87">
        <v>7</v>
      </c>
      <c r="R35" s="87">
        <v>3.8</v>
      </c>
      <c r="S35" s="87">
        <v>6.7</v>
      </c>
      <c r="T35" s="87">
        <v>8</v>
      </c>
      <c r="U35" s="87">
        <v>10.9</v>
      </c>
      <c r="V35" s="87">
        <v>29.4</v>
      </c>
      <c r="W35" s="87">
        <v>6.7</v>
      </c>
      <c r="X35" s="87">
        <v>9.3000000000000007</v>
      </c>
      <c r="Y35" s="87">
        <v>10.9</v>
      </c>
      <c r="Z35" s="87">
        <v>11.2</v>
      </c>
      <c r="AA35" s="87">
        <v>38.1</v>
      </c>
      <c r="AB35" s="87">
        <v>9.9</v>
      </c>
      <c r="AC35" s="87">
        <v>15.6</v>
      </c>
      <c r="AD35" s="87">
        <v>15.9</v>
      </c>
      <c r="AE35" s="87">
        <v>13.6</v>
      </c>
      <c r="AF35" s="87">
        <v>55</v>
      </c>
      <c r="AG35" s="87">
        <v>13.8</v>
      </c>
      <c r="AH35" s="87">
        <v>19.3</v>
      </c>
      <c r="AI35" s="87">
        <v>16.100000000000001</v>
      </c>
      <c r="AJ35" s="87">
        <v>15.1</v>
      </c>
      <c r="AK35" s="87">
        <v>64.3</v>
      </c>
      <c r="AL35" s="87">
        <v>19.100000000000001</v>
      </c>
      <c r="AM35" s="87">
        <v>21.2</v>
      </c>
      <c r="AN35" s="87">
        <v>21.2</v>
      </c>
      <c r="AO35" s="87">
        <v>20.6</v>
      </c>
      <c r="AP35" s="87">
        <v>82.1</v>
      </c>
      <c r="AQ35" s="87">
        <v>19.7</v>
      </c>
      <c r="AR35" s="87">
        <v>22.7</v>
      </c>
      <c r="AS35" s="87">
        <v>27.641855570000001</v>
      </c>
      <c r="AT35" s="87">
        <v>22.8</v>
      </c>
      <c r="AU35" s="87">
        <v>92.8</v>
      </c>
      <c r="AV35" s="87">
        <v>19.100000000000001</v>
      </c>
      <c r="AW35" s="87">
        <v>19.3</v>
      </c>
      <c r="AX35" s="87">
        <v>18.899999999999999</v>
      </c>
      <c r="AY35" s="87">
        <v>18.7</v>
      </c>
      <c r="AZ35" s="87">
        <v>75.900000000000006</v>
      </c>
      <c r="BA35" s="87">
        <v>13.6</v>
      </c>
      <c r="BB35" s="87">
        <v>14.1</v>
      </c>
      <c r="BC35" s="87">
        <v>17.8</v>
      </c>
      <c r="BD35" s="87">
        <v>16.131509650000002</v>
      </c>
      <c r="BE35" s="87">
        <v>61.748694570650208</v>
      </c>
      <c r="BF35" s="87">
        <v>18.839429217934601</v>
      </c>
    </row>
    <row r="36" spans="1:58" x14ac:dyDescent="0.25">
      <c r="A36" s="22"/>
      <c r="B36" s="30" t="s">
        <v>273</v>
      </c>
      <c r="C36" s="94">
        <f t="shared" ref="C36:AV36" si="2">C33/C$9</f>
        <v>0.3133450911228689</v>
      </c>
      <c r="D36" s="94">
        <f t="shared" si="2"/>
        <v>0.29962943356273158</v>
      </c>
      <c r="E36" s="94">
        <f t="shared" si="2"/>
        <v>0.30733709594663927</v>
      </c>
      <c r="F36" s="94">
        <f t="shared" si="2"/>
        <v>0.29669788072942338</v>
      </c>
      <c r="G36" s="94">
        <f t="shared" si="2"/>
        <v>0.30391120507399577</v>
      </c>
      <c r="H36" s="94">
        <f t="shared" si="2"/>
        <v>0.28155339805825241</v>
      </c>
      <c r="I36" s="94">
        <f t="shared" si="2"/>
        <v>0.28820754716981134</v>
      </c>
      <c r="J36" s="94">
        <f t="shared" si="2"/>
        <v>0.30674846625766872</v>
      </c>
      <c r="K36" s="94">
        <f t="shared" si="2"/>
        <v>0.30566534914360999</v>
      </c>
      <c r="L36" s="94">
        <f t="shared" si="2"/>
        <v>0.29602929396956168</v>
      </c>
      <c r="M36" s="94">
        <f t="shared" si="2"/>
        <v>0.31643835616438359</v>
      </c>
      <c r="N36" s="94">
        <f t="shared" si="2"/>
        <v>0.32448890822096566</v>
      </c>
      <c r="O36" s="94">
        <f t="shared" si="2"/>
        <v>0.3682326621923937</v>
      </c>
      <c r="P36" s="94">
        <f t="shared" si="2"/>
        <v>0.34893048128342252</v>
      </c>
      <c r="Q36" s="94">
        <f t="shared" si="2"/>
        <v>0.33954058876003568</v>
      </c>
      <c r="R36" s="94">
        <f t="shared" si="2"/>
        <v>0.31313131313131315</v>
      </c>
      <c r="S36" s="94">
        <f t="shared" si="2"/>
        <v>0.32001452960406829</v>
      </c>
      <c r="T36" s="94">
        <f t="shared" si="2"/>
        <v>0.32235592146928432</v>
      </c>
      <c r="U36" s="94">
        <f t="shared" si="2"/>
        <v>0.33828174352495261</v>
      </c>
      <c r="V36" s="94">
        <f t="shared" si="2"/>
        <v>0.32400000000000001</v>
      </c>
      <c r="W36" s="94">
        <f t="shared" si="2"/>
        <v>0.31722759080306562</v>
      </c>
      <c r="X36" s="94">
        <f t="shared" si="2"/>
        <v>0.32699490662139219</v>
      </c>
      <c r="Y36" s="94">
        <f t="shared" si="2"/>
        <v>0.32817969661610269</v>
      </c>
      <c r="Z36" s="94">
        <f t="shared" si="2"/>
        <v>0.30842163970998326</v>
      </c>
      <c r="AA36" s="94">
        <f t="shared" si="2"/>
        <v>0.31995987963891681</v>
      </c>
      <c r="AB36" s="94">
        <f t="shared" si="2"/>
        <v>0.31099418443644422</v>
      </c>
      <c r="AC36" s="94">
        <f t="shared" si="2"/>
        <v>0.30964332892998675</v>
      </c>
      <c r="AD36" s="94">
        <f t="shared" si="2"/>
        <v>0.2867272324396189</v>
      </c>
      <c r="AE36" s="94">
        <f t="shared" si="2"/>
        <v>0.2819708846584546</v>
      </c>
      <c r="AF36" s="94">
        <f t="shared" si="2"/>
        <v>0.29607914987174788</v>
      </c>
      <c r="AG36" s="94">
        <f t="shared" si="2"/>
        <v>0.27962085308056867</v>
      </c>
      <c r="AH36" s="94">
        <f t="shared" si="2"/>
        <v>0.30379168570123344</v>
      </c>
      <c r="AI36" s="94">
        <f t="shared" si="2"/>
        <v>0.324489316741019</v>
      </c>
      <c r="AJ36" s="94">
        <f t="shared" si="2"/>
        <v>0.31431235543841252</v>
      </c>
      <c r="AK36" s="94">
        <f t="shared" si="2"/>
        <v>0.30523752223134754</v>
      </c>
      <c r="AL36" s="94">
        <f t="shared" si="2"/>
        <v>0.40892608089260807</v>
      </c>
      <c r="AM36" s="94">
        <f t="shared" si="2"/>
        <v>0.35442714978310796</v>
      </c>
      <c r="AN36" s="94">
        <f t="shared" si="2"/>
        <v>0.368842513952924</v>
      </c>
      <c r="AO36" s="94">
        <f t="shared" si="2"/>
        <v>0.35566885166302503</v>
      </c>
      <c r="AP36" s="94">
        <f t="shared" si="2"/>
        <v>0.37093495934959347</v>
      </c>
      <c r="AQ36" s="94">
        <f t="shared" si="2"/>
        <v>0.40434895159202688</v>
      </c>
      <c r="AR36" s="94">
        <f t="shared" si="2"/>
        <v>0.36430433752073949</v>
      </c>
      <c r="AS36" s="94">
        <f t="shared" si="2"/>
        <v>0.35520386385859887</v>
      </c>
      <c r="AT36" s="94">
        <f t="shared" si="2"/>
        <v>0.34741784037558687</v>
      </c>
      <c r="AU36" s="94">
        <f t="shared" si="2"/>
        <v>0.36631493974514212</v>
      </c>
      <c r="AV36" s="94">
        <f t="shared" si="2"/>
        <v>0.36480787253983127</v>
      </c>
      <c r="AW36" s="94">
        <f>AW33/AW$9</f>
        <v>0.31146125620548243</v>
      </c>
      <c r="AX36" s="94">
        <f>AX33/AX$9</f>
        <v>0.29191564147627413</v>
      </c>
      <c r="AY36" s="94">
        <v>0.28699999999999998</v>
      </c>
      <c r="AZ36" s="94">
        <v>0.311</v>
      </c>
      <c r="BA36" s="94">
        <v>0.31</v>
      </c>
      <c r="BB36" s="94">
        <v>0.127</v>
      </c>
      <c r="BC36" s="94">
        <v>0.23</v>
      </c>
      <c r="BD36" s="94">
        <v>0.25588440793248385</v>
      </c>
      <c r="BE36" s="94">
        <v>0.23433308621335761</v>
      </c>
      <c r="BF36" s="94">
        <v>0.23158657361081725</v>
      </c>
    </row>
    <row r="37" spans="1:58" x14ac:dyDescent="0.25">
      <c r="A37" s="22"/>
      <c r="B37" s="86" t="s">
        <v>255</v>
      </c>
      <c r="C37" s="89">
        <v>20.6</v>
      </c>
      <c r="D37" s="89">
        <v>20.399999999999999</v>
      </c>
      <c r="E37" s="89">
        <v>22.1</v>
      </c>
      <c r="F37" s="89">
        <v>24</v>
      </c>
      <c r="G37" s="89">
        <v>87.1</v>
      </c>
      <c r="H37" s="89">
        <v>19.2</v>
      </c>
      <c r="I37" s="89">
        <v>19.100000000000001</v>
      </c>
      <c r="J37" s="89">
        <v>27.6</v>
      </c>
      <c r="K37" s="89">
        <v>31.4</v>
      </c>
      <c r="L37" s="89">
        <v>97.300000000000011</v>
      </c>
      <c r="M37" s="89">
        <v>23.3</v>
      </c>
      <c r="N37" s="89">
        <v>25.2</v>
      </c>
      <c r="O37" s="89">
        <v>30.2</v>
      </c>
      <c r="P37" s="89">
        <v>29.900000000000002</v>
      </c>
      <c r="Q37" s="89">
        <v>108.60000000000001</v>
      </c>
      <c r="R37" s="89">
        <v>29.099999999999998</v>
      </c>
      <c r="S37" s="89">
        <v>28</v>
      </c>
      <c r="T37" s="89">
        <v>43.5</v>
      </c>
      <c r="U37" s="89">
        <v>41.2</v>
      </c>
      <c r="V37" s="89">
        <v>141.79999999999998</v>
      </c>
      <c r="W37" s="90">
        <v>34.4</v>
      </c>
      <c r="X37" s="89">
        <v>32</v>
      </c>
      <c r="Y37" s="89">
        <v>42.7</v>
      </c>
      <c r="Z37" s="89">
        <v>34.200000000000003</v>
      </c>
      <c r="AA37" s="89">
        <v>143.4</v>
      </c>
      <c r="AB37" s="90">
        <v>37.799999999999997</v>
      </c>
      <c r="AC37" s="89">
        <v>38.6</v>
      </c>
      <c r="AD37" s="89">
        <v>43.300000000000004</v>
      </c>
      <c r="AE37" s="89">
        <v>43.4</v>
      </c>
      <c r="AF37" s="89">
        <v>163.1</v>
      </c>
      <c r="AG37" s="89">
        <v>34.299999999999997</v>
      </c>
      <c r="AH37" s="89">
        <v>35.700000000000003</v>
      </c>
      <c r="AI37" s="89">
        <v>42.4</v>
      </c>
      <c r="AJ37" s="90">
        <v>34.044976901306953</v>
      </c>
      <c r="AK37" s="90">
        <v>146.44497690130694</v>
      </c>
      <c r="AL37" s="89">
        <v>47.7</v>
      </c>
      <c r="AM37" s="89">
        <v>35.699999999999996</v>
      </c>
      <c r="AN37" s="89">
        <v>45.199999999999996</v>
      </c>
      <c r="AO37" s="90">
        <v>44.3</v>
      </c>
      <c r="AP37" s="90">
        <v>172.9</v>
      </c>
      <c r="AQ37" s="90">
        <v>53.2</v>
      </c>
      <c r="AR37" s="90">
        <v>46.3</v>
      </c>
      <c r="AS37" s="90">
        <v>51.606265581223198</v>
      </c>
      <c r="AT37" s="90">
        <v>50</v>
      </c>
      <c r="AU37" s="90">
        <v>201.1</v>
      </c>
      <c r="AV37" s="90">
        <v>45.8</v>
      </c>
      <c r="AW37" s="90">
        <v>32.200000000000003</v>
      </c>
      <c r="AX37" s="90">
        <v>46.3</v>
      </c>
      <c r="AY37" s="90">
        <v>47.5</v>
      </c>
      <c r="AZ37" s="90">
        <v>171.8</v>
      </c>
      <c r="BA37" s="90">
        <v>43</v>
      </c>
      <c r="BB37" s="90">
        <v>-20.3</v>
      </c>
      <c r="BC37" s="90">
        <v>19</v>
      </c>
      <c r="BD37" s="90">
        <v>8.7000000000000011</v>
      </c>
      <c r="BE37" s="90">
        <v>50.338441360884296</v>
      </c>
      <c r="BF37" s="90">
        <v>21.26282958567251</v>
      </c>
    </row>
    <row r="38" spans="1:58" x14ac:dyDescent="0.25">
      <c r="A38" s="22"/>
      <c r="B38" s="92" t="s">
        <v>256</v>
      </c>
      <c r="C38" s="93">
        <f t="shared" ref="C38:AO38" si="3">IFERROR(C37/C33,"N/A")</f>
        <v>0.38649155722326461</v>
      </c>
      <c r="D38" s="93">
        <f t="shared" si="3"/>
        <v>0.36042402826855119</v>
      </c>
      <c r="E38" s="93">
        <f t="shared" si="3"/>
        <v>0.36894824707846413</v>
      </c>
      <c r="F38" s="93">
        <f t="shared" si="3"/>
        <v>0.39867109634551495</v>
      </c>
      <c r="G38" s="93">
        <f t="shared" si="3"/>
        <v>0.37869565217391304</v>
      </c>
      <c r="H38" s="93">
        <f t="shared" si="3"/>
        <v>0.33103448275862069</v>
      </c>
      <c r="I38" s="93">
        <f t="shared" si="3"/>
        <v>0.31260229132569561</v>
      </c>
      <c r="J38" s="93">
        <f t="shared" si="3"/>
        <v>0.39428571428571429</v>
      </c>
      <c r="K38" s="93">
        <f t="shared" si="3"/>
        <v>0.45114942528735635</v>
      </c>
      <c r="L38" s="93">
        <f t="shared" si="3"/>
        <v>0.37611132586006962</v>
      </c>
      <c r="M38" s="93">
        <f t="shared" si="3"/>
        <v>0.3362193362193362</v>
      </c>
      <c r="N38" s="93">
        <f t="shared" si="3"/>
        <v>0.33780160857908842</v>
      </c>
      <c r="O38" s="93">
        <f t="shared" si="3"/>
        <v>0.36695018226002429</v>
      </c>
      <c r="P38" s="93">
        <f t="shared" si="3"/>
        <v>0.38186462324393355</v>
      </c>
      <c r="Q38" s="93">
        <f t="shared" si="3"/>
        <v>0.35665024630541875</v>
      </c>
      <c r="R38" s="93">
        <f t="shared" si="3"/>
        <v>0.3476702508960573</v>
      </c>
      <c r="S38" s="93">
        <f t="shared" si="3"/>
        <v>0.31782065834279227</v>
      </c>
      <c r="T38" s="93">
        <f t="shared" si="3"/>
        <v>0.42730844793713163</v>
      </c>
      <c r="U38" s="93">
        <f t="shared" si="3"/>
        <v>0.38468720821662</v>
      </c>
      <c r="V38" s="93">
        <f t="shared" si="3"/>
        <v>0.37247176254268449</v>
      </c>
      <c r="W38" s="93">
        <f t="shared" si="3"/>
        <v>0.36134453781512604</v>
      </c>
      <c r="X38" s="93">
        <f t="shared" si="3"/>
        <v>0.33229491173416409</v>
      </c>
      <c r="Y38" s="93">
        <f t="shared" si="3"/>
        <v>0.37955555555555559</v>
      </c>
      <c r="Z38" s="93">
        <f t="shared" si="3"/>
        <v>0.3092224231464738</v>
      </c>
      <c r="AA38" s="93">
        <f t="shared" si="3"/>
        <v>0.34579213889558713</v>
      </c>
      <c r="AB38" s="93">
        <f t="shared" si="3"/>
        <v>0.33659839715048973</v>
      </c>
      <c r="AC38" s="93">
        <f t="shared" si="3"/>
        <v>0.32935153583617754</v>
      </c>
      <c r="AD38" s="93">
        <f t="shared" si="3"/>
        <v>0.33462132921174653</v>
      </c>
      <c r="AE38" s="93">
        <f t="shared" si="3"/>
        <v>0.34471803018268471</v>
      </c>
      <c r="AF38" s="93">
        <f t="shared" si="3"/>
        <v>0.33642739273927391</v>
      </c>
      <c r="AG38" s="93">
        <f t="shared" si="3"/>
        <v>0.2768361581920904</v>
      </c>
      <c r="AH38" s="93">
        <f t="shared" si="3"/>
        <v>0.26842105263157895</v>
      </c>
      <c r="AI38" s="93">
        <f t="shared" si="3"/>
        <v>0.30680173661360349</v>
      </c>
      <c r="AJ38" s="93">
        <f t="shared" si="3"/>
        <v>0.25973704241994361</v>
      </c>
      <c r="AK38" s="93">
        <f t="shared" si="3"/>
        <v>0.27832002059581656</v>
      </c>
      <c r="AL38" s="93">
        <f t="shared" si="3"/>
        <v>0.32537517053206005</v>
      </c>
      <c r="AM38" s="93">
        <f t="shared" si="3"/>
        <v>0.25701943844492436</v>
      </c>
      <c r="AN38" s="93">
        <f t="shared" si="3"/>
        <v>0.29736842105263156</v>
      </c>
      <c r="AO38" s="93">
        <f t="shared" si="3"/>
        <v>0.3023890784982935</v>
      </c>
      <c r="AP38" s="93">
        <f>IFERROR(AP37/AP33,"N/A")</f>
        <v>0.29606164383561645</v>
      </c>
      <c r="AQ38" s="93">
        <f>IFERROR(AQ37/AQ33,"N/A")</f>
        <v>0.34058898847631247</v>
      </c>
      <c r="AR38" s="93">
        <f>IFERROR(AR37/AR33,"N/A")</f>
        <v>0.30123617436564737</v>
      </c>
      <c r="AS38" s="93">
        <v>0.30340594365694101</v>
      </c>
      <c r="AT38" s="93">
        <f>AT37/AT33</f>
        <v>0.32175032175032175</v>
      </c>
      <c r="AU38" s="93">
        <f>IFERROR(AU37/AU33,"N/A")</f>
        <v>0.31654336533920985</v>
      </c>
      <c r="AV38" s="93">
        <f>IFERROR(AV37/AV33,"N/A")</f>
        <v>0.29415542710340398</v>
      </c>
      <c r="AW38" s="93">
        <f>IFERROR(AW37/AW33,"N/A")</f>
        <v>0.22314622314622315</v>
      </c>
      <c r="AX38" s="93">
        <v>0.27900000000000003</v>
      </c>
      <c r="AY38" s="94">
        <v>0.30099999999999999</v>
      </c>
      <c r="AZ38" s="94">
        <v>0.27500000000000002</v>
      </c>
      <c r="BA38" s="94">
        <v>0.29899999999999999</v>
      </c>
      <c r="BB38" s="94">
        <v>-0.38600000000000001</v>
      </c>
      <c r="BC38" s="94">
        <v>0.158</v>
      </c>
      <c r="BD38" s="94">
        <v>6.3119964297123854E-2</v>
      </c>
      <c r="BE38" s="94">
        <v>0.1107838829050618</v>
      </c>
      <c r="BF38" s="94">
        <v>0.18848977038112522</v>
      </c>
    </row>
    <row r="39" spans="1:58" x14ac:dyDescent="0.25">
      <c r="A39" s="22"/>
      <c r="B39" s="6" t="s">
        <v>274</v>
      </c>
      <c r="C39" s="94">
        <f t="shared" ref="C39:AO39" si="4">C37/C$10</f>
        <v>0.54933333333333334</v>
      </c>
      <c r="D39" s="94">
        <f t="shared" si="4"/>
        <v>0.52307692307692299</v>
      </c>
      <c r="E39" s="94">
        <f t="shared" si="4"/>
        <v>0.49330357142857151</v>
      </c>
      <c r="F39" s="94">
        <f t="shared" si="4"/>
        <v>0.44444444444444442</v>
      </c>
      <c r="G39" s="94">
        <f t="shared" si="4"/>
        <v>0.49686252139189951</v>
      </c>
      <c r="H39" s="94">
        <f t="shared" si="4"/>
        <v>0.44547563805104406</v>
      </c>
      <c r="I39" s="94">
        <f t="shared" si="4"/>
        <v>0.41885964912280704</v>
      </c>
      <c r="J39" s="94">
        <f t="shared" si="4"/>
        <v>0.49640287769784175</v>
      </c>
      <c r="K39" s="94">
        <f t="shared" si="4"/>
        <v>0.55871886120996439</v>
      </c>
      <c r="L39" s="94">
        <f t="shared" si="4"/>
        <v>0.48552894211576852</v>
      </c>
      <c r="M39" s="94">
        <f t="shared" si="4"/>
        <v>0.44636015325670497</v>
      </c>
      <c r="N39" s="94">
        <f t="shared" si="4"/>
        <v>0.43003412969283272</v>
      </c>
      <c r="O39" s="94">
        <f t="shared" si="4"/>
        <v>0.55719557195571956</v>
      </c>
      <c r="P39" s="94">
        <f t="shared" si="4"/>
        <v>0.53108348134991124</v>
      </c>
      <c r="Q39" s="94">
        <f t="shared" si="4"/>
        <v>0.49073655671034794</v>
      </c>
      <c r="R39" s="94">
        <f t="shared" si="4"/>
        <v>0.58199999999999996</v>
      </c>
      <c r="S39" s="94">
        <f t="shared" si="4"/>
        <v>0.69306930693069313</v>
      </c>
      <c r="T39" s="94">
        <f t="shared" si="4"/>
        <v>0.64828614008941887</v>
      </c>
      <c r="U39" s="94">
        <f t="shared" si="4"/>
        <v>0.63093415007656972</v>
      </c>
      <c r="V39" s="94">
        <f t="shared" si="4"/>
        <v>0.63644524236983835</v>
      </c>
      <c r="W39" s="94">
        <f t="shared" si="4"/>
        <v>0.60884955752212389</v>
      </c>
      <c r="X39" s="94">
        <f t="shared" si="4"/>
        <v>0.57450628366247758</v>
      </c>
      <c r="Y39" s="94">
        <f t="shared" si="4"/>
        <v>0.54533844189016611</v>
      </c>
      <c r="Z39" s="94">
        <f t="shared" si="4"/>
        <v>0.44881889763779531</v>
      </c>
      <c r="AA39" s="94">
        <f t="shared" si="4"/>
        <v>0.53768278965129368</v>
      </c>
      <c r="AB39" s="94">
        <f t="shared" si="4"/>
        <v>0.55021834061135366</v>
      </c>
      <c r="AC39" s="94">
        <f t="shared" si="4"/>
        <v>0.51261620185922974</v>
      </c>
      <c r="AD39" s="94">
        <f t="shared" si="4"/>
        <v>0.52676399026763998</v>
      </c>
      <c r="AE39" s="94">
        <f t="shared" si="4"/>
        <v>0.53580246913580243</v>
      </c>
      <c r="AF39" s="94">
        <f t="shared" si="4"/>
        <v>0.53092447916666663</v>
      </c>
      <c r="AG39" s="94">
        <f t="shared" si="4"/>
        <v>0.49638205499276411</v>
      </c>
      <c r="AH39" s="94">
        <f t="shared" si="4"/>
        <v>0.497907949790795</v>
      </c>
      <c r="AI39" s="94">
        <f t="shared" si="4"/>
        <v>0.56308100929614879</v>
      </c>
      <c r="AJ39" s="94">
        <f t="shared" si="4"/>
        <v>0.54185361493252093</v>
      </c>
      <c r="AK39" s="94">
        <f t="shared" si="4"/>
        <v>0.52502302508856125</v>
      </c>
      <c r="AL39" s="94">
        <f t="shared" si="4"/>
        <v>0.94642857142857151</v>
      </c>
      <c r="AM39" s="94">
        <f t="shared" si="4"/>
        <v>0.59203980099502485</v>
      </c>
      <c r="AN39" s="94">
        <f t="shared" si="4"/>
        <v>0.65317919075144504</v>
      </c>
      <c r="AO39" s="94">
        <f t="shared" si="4"/>
        <v>0.67019667170953101</v>
      </c>
      <c r="AP39" s="94">
        <f>AP37/AP$10</f>
        <v>0.70313135420902806</v>
      </c>
      <c r="AQ39" s="94">
        <f>AQ37/AQ$10</f>
        <v>0.72876712328767124</v>
      </c>
      <c r="AR39" s="94">
        <f>AR37/AR$10</f>
        <v>0.60051880674448765</v>
      </c>
      <c r="AS39" s="94">
        <v>0.63568426445779647</v>
      </c>
      <c r="AT39" s="94">
        <f>AT37/AT10</f>
        <v>0.6775067750677507</v>
      </c>
      <c r="AU39" s="94">
        <f>AU37/AU$10</f>
        <v>0.65944215972231657</v>
      </c>
      <c r="AV39" s="94">
        <f>AV37/AV$10</f>
        <v>0.68256333830104321</v>
      </c>
      <c r="AW39" s="94">
        <f>AW37/AW$10</f>
        <v>0.50628930817610063</v>
      </c>
      <c r="AX39" s="94">
        <f>AX37/AX$10</f>
        <v>0.47438524590163933</v>
      </c>
      <c r="AY39" s="94">
        <v>0.58899999999999997</v>
      </c>
      <c r="AZ39" s="94">
        <v>0.55600000000000005</v>
      </c>
      <c r="BA39" s="94">
        <v>0.71399999999999997</v>
      </c>
      <c r="BB39" s="94">
        <v>-1.1599999999999999</v>
      </c>
      <c r="BC39" s="94">
        <v>0.255</v>
      </c>
      <c r="BD39" s="94">
        <v>0.17258521892334716</v>
      </c>
      <c r="BE39" s="94">
        <v>0.24761442937611017</v>
      </c>
      <c r="BF39" s="94">
        <v>0.34865337193827128</v>
      </c>
    </row>
    <row r="40" spans="1:58" x14ac:dyDescent="0.25">
      <c r="A40" s="22"/>
      <c r="B40" s="5" t="s">
        <v>275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</row>
    <row r="41" spans="1:58" x14ac:dyDescent="0.25">
      <c r="A41" s="22"/>
      <c r="B41" s="101" t="s">
        <v>276</v>
      </c>
      <c r="C41" s="87">
        <v>3.9</v>
      </c>
      <c r="D41" s="87">
        <v>3.6</v>
      </c>
      <c r="E41" s="87">
        <v>3.9</v>
      </c>
      <c r="F41" s="87">
        <v>4</v>
      </c>
      <c r="G41" s="87">
        <v>15.4</v>
      </c>
      <c r="H41" s="87">
        <v>3.4</v>
      </c>
      <c r="I41" s="87">
        <v>3.4</v>
      </c>
      <c r="J41" s="87">
        <v>3.8</v>
      </c>
      <c r="K41" s="87">
        <v>3.7</v>
      </c>
      <c r="L41" s="87">
        <v>14.3</v>
      </c>
      <c r="M41" s="87">
        <v>3.7</v>
      </c>
      <c r="N41" s="87">
        <v>3.8</v>
      </c>
      <c r="O41" s="87">
        <v>4.2</v>
      </c>
      <c r="P41" s="87">
        <v>4</v>
      </c>
      <c r="Q41" s="87">
        <v>15.7</v>
      </c>
      <c r="R41" s="87">
        <v>4</v>
      </c>
      <c r="S41" s="87">
        <v>4.2</v>
      </c>
      <c r="T41" s="87">
        <v>4.5999999999999996</v>
      </c>
      <c r="U41" s="87">
        <v>4.5</v>
      </c>
      <c r="V41" s="87">
        <v>17.299999999999997</v>
      </c>
      <c r="W41" s="87">
        <v>4.4000000000000004</v>
      </c>
      <c r="X41" s="87">
        <v>4.5</v>
      </c>
      <c r="Y41" s="87">
        <v>5.4</v>
      </c>
      <c r="Z41" s="87">
        <v>5.5</v>
      </c>
      <c r="AA41" s="87">
        <v>19.8</v>
      </c>
      <c r="AB41" s="87">
        <v>6</v>
      </c>
      <c r="AC41" s="87">
        <v>5.7</v>
      </c>
      <c r="AD41" s="87">
        <v>6.1</v>
      </c>
      <c r="AE41" s="87">
        <v>5.5</v>
      </c>
      <c r="AF41" s="87">
        <v>23.3</v>
      </c>
      <c r="AG41" s="87">
        <v>5.6</v>
      </c>
      <c r="AH41" s="87">
        <v>5.5</v>
      </c>
      <c r="AI41" s="87">
        <v>5.8</v>
      </c>
      <c r="AJ41" s="87">
        <v>5.4</v>
      </c>
      <c r="AK41" s="87">
        <v>22.226999999999997</v>
      </c>
      <c r="AL41" s="87">
        <v>6</v>
      </c>
      <c r="AM41" s="87">
        <v>5.9</v>
      </c>
      <c r="AN41" s="87">
        <v>6.6</v>
      </c>
      <c r="AO41" s="87">
        <v>6.1</v>
      </c>
      <c r="AP41" s="87">
        <v>24.6</v>
      </c>
      <c r="AQ41" s="87">
        <v>6.7</v>
      </c>
      <c r="AR41" s="87">
        <v>6.5</v>
      </c>
      <c r="AS41" s="87">
        <v>6.8460000000000001</v>
      </c>
      <c r="AT41" s="87">
        <v>6.4</v>
      </c>
      <c r="AU41" s="87">
        <v>26.4</v>
      </c>
      <c r="AV41" s="87">
        <v>6.6</v>
      </c>
      <c r="AW41" s="87">
        <v>6.1</v>
      </c>
      <c r="AX41" s="87">
        <v>6.7</v>
      </c>
      <c r="AY41" s="87">
        <v>6.5</v>
      </c>
      <c r="AZ41" s="87">
        <v>25.9</v>
      </c>
      <c r="BA41" s="87">
        <v>5.9</v>
      </c>
      <c r="BB41" s="87">
        <v>1.3</v>
      </c>
      <c r="BC41" s="87">
        <v>3.4</v>
      </c>
      <c r="BD41" s="87">
        <v>5.2239089999999999</v>
      </c>
      <c r="BE41" s="87">
        <v>15.882981999999998</v>
      </c>
      <c r="BF41" s="87">
        <v>4.080178000000001</v>
      </c>
    </row>
    <row r="42" spans="1:58" x14ac:dyDescent="0.25">
      <c r="A42" s="22"/>
      <c r="B42" s="101" t="s">
        <v>277</v>
      </c>
      <c r="C42" s="87">
        <v>0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1.5</v>
      </c>
      <c r="N42" s="87">
        <v>10.199999999999999</v>
      </c>
      <c r="O42" s="87">
        <v>14</v>
      </c>
      <c r="P42" s="87">
        <v>11.7</v>
      </c>
      <c r="Q42" s="87">
        <v>37.4</v>
      </c>
      <c r="R42" s="87">
        <v>22.4</v>
      </c>
      <c r="S42" s="87">
        <v>33.4</v>
      </c>
      <c r="T42" s="87">
        <v>38.9</v>
      </c>
      <c r="U42" s="87">
        <v>43.5</v>
      </c>
      <c r="V42" s="87">
        <v>138.19999999999999</v>
      </c>
      <c r="W42" s="87">
        <v>48.1</v>
      </c>
      <c r="X42" s="87">
        <v>56.8</v>
      </c>
      <c r="Y42" s="87">
        <v>71.5</v>
      </c>
      <c r="Z42" s="87">
        <v>78.5</v>
      </c>
      <c r="AA42" s="87">
        <v>254.8</v>
      </c>
      <c r="AB42" s="87">
        <v>82.7</v>
      </c>
      <c r="AC42" s="87">
        <v>116.9</v>
      </c>
      <c r="AD42" s="87">
        <v>120.7</v>
      </c>
      <c r="AE42" s="87">
        <v>95.1</v>
      </c>
      <c r="AF42" s="87">
        <v>415.4</v>
      </c>
      <c r="AG42" s="87">
        <v>105.2</v>
      </c>
      <c r="AH42" s="87">
        <v>134.80000000000001</v>
      </c>
      <c r="AI42" s="87">
        <v>123</v>
      </c>
      <c r="AJ42" s="87">
        <v>114.2</v>
      </c>
      <c r="AK42" s="87">
        <v>477.15899999999999</v>
      </c>
      <c r="AL42" s="87">
        <v>118.1</v>
      </c>
      <c r="AM42" s="87">
        <v>125.1</v>
      </c>
      <c r="AN42" s="87">
        <v>126.3</v>
      </c>
      <c r="AO42" s="87">
        <v>123.2</v>
      </c>
      <c r="AP42" s="87">
        <v>492.8</v>
      </c>
      <c r="AQ42" s="87">
        <v>119.8</v>
      </c>
      <c r="AR42" s="87">
        <v>148.4</v>
      </c>
      <c r="AS42" s="87">
        <v>183.60900000000001</v>
      </c>
      <c r="AT42" s="87">
        <v>159.4</v>
      </c>
      <c r="AU42" s="87">
        <v>611.20000000000005</v>
      </c>
      <c r="AV42" s="87">
        <v>158</v>
      </c>
      <c r="AW42" s="87">
        <v>160.19999999999999</v>
      </c>
      <c r="AX42" s="87">
        <v>170.1</v>
      </c>
      <c r="AY42" s="87">
        <v>166.8</v>
      </c>
      <c r="AZ42" s="87">
        <v>655</v>
      </c>
      <c r="BA42" s="87">
        <v>179.6</v>
      </c>
      <c r="BB42" s="87">
        <v>196.8</v>
      </c>
      <c r="BC42" s="87">
        <v>262.2</v>
      </c>
      <c r="BD42" s="87">
        <v>233.321</v>
      </c>
      <c r="BE42" s="87">
        <v>871.96500000000003</v>
      </c>
      <c r="BF42" s="87">
        <v>289.23871999999994</v>
      </c>
    </row>
    <row r="43" spans="1:58" x14ac:dyDescent="0.25">
      <c r="A43" s="22"/>
    </row>
    <row r="44" spans="1:58" x14ac:dyDescent="0.25">
      <c r="A44" s="22"/>
      <c r="B44" s="102" t="s">
        <v>278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</row>
    <row r="45" spans="1:58" x14ac:dyDescent="0.25">
      <c r="A45" s="22"/>
      <c r="B45" s="86" t="s">
        <v>254</v>
      </c>
      <c r="C45" s="88">
        <v>40.200000000000003</v>
      </c>
      <c r="D45" s="88">
        <v>48.7</v>
      </c>
      <c r="E45" s="88">
        <v>36.799999999999997</v>
      </c>
      <c r="F45" s="88">
        <v>38.200000000000003</v>
      </c>
      <c r="G45" s="88">
        <v>163.9</v>
      </c>
      <c r="H45" s="88">
        <v>47.3</v>
      </c>
      <c r="I45" s="88">
        <v>52.3</v>
      </c>
      <c r="J45" s="88">
        <v>54.3</v>
      </c>
      <c r="K45" s="88">
        <v>58.7</v>
      </c>
      <c r="L45" s="88">
        <v>212.59999999999997</v>
      </c>
      <c r="M45" s="88">
        <v>46.2</v>
      </c>
      <c r="N45" s="88">
        <v>54</v>
      </c>
      <c r="O45" s="88">
        <v>43.4</v>
      </c>
      <c r="P45" s="88">
        <v>40.9</v>
      </c>
      <c r="Q45" s="88">
        <v>184.5</v>
      </c>
      <c r="R45" s="88">
        <v>42.8</v>
      </c>
      <c r="S45" s="88">
        <v>47.6</v>
      </c>
      <c r="T45" s="88">
        <v>55.3</v>
      </c>
      <c r="U45" s="88">
        <v>58.4</v>
      </c>
      <c r="V45" s="88">
        <v>204.1</v>
      </c>
      <c r="W45" s="88">
        <v>39.200000000000003</v>
      </c>
      <c r="X45" s="88">
        <v>48.5</v>
      </c>
      <c r="Y45" s="88">
        <v>45.4</v>
      </c>
      <c r="Z45" s="88">
        <v>52</v>
      </c>
      <c r="AA45" s="88">
        <v>185.1</v>
      </c>
      <c r="AB45" s="32">
        <v>49.6</v>
      </c>
      <c r="AC45" s="88">
        <v>62.4</v>
      </c>
      <c r="AD45" s="88">
        <v>74.7</v>
      </c>
      <c r="AE45" s="88">
        <v>121.1</v>
      </c>
      <c r="AF45" s="88">
        <v>307.8</v>
      </c>
      <c r="AG45" s="89">
        <v>126.5</v>
      </c>
      <c r="AH45" s="90">
        <v>103</v>
      </c>
      <c r="AI45" s="89">
        <v>105.5</v>
      </c>
      <c r="AJ45" s="90">
        <v>104.472847885988</v>
      </c>
      <c r="AK45" s="90">
        <v>439.47284788598802</v>
      </c>
      <c r="AL45" s="90">
        <v>74.2</v>
      </c>
      <c r="AM45" s="90">
        <v>91.9</v>
      </c>
      <c r="AN45" s="90">
        <v>93.1</v>
      </c>
      <c r="AO45" s="90">
        <v>100.2</v>
      </c>
      <c r="AP45" s="90">
        <v>359.4</v>
      </c>
      <c r="AQ45" s="90">
        <v>81.5</v>
      </c>
      <c r="AR45" s="90">
        <v>91.5</v>
      </c>
      <c r="AS45" s="90">
        <v>109.091280045809</v>
      </c>
      <c r="AT45" s="90">
        <v>103.9</v>
      </c>
      <c r="AU45" s="90">
        <v>386</v>
      </c>
      <c r="AV45" s="90">
        <v>101.5</v>
      </c>
      <c r="AW45" s="90">
        <v>125.3</v>
      </c>
      <c r="AX45" s="90">
        <v>99.5</v>
      </c>
      <c r="AY45" s="90">
        <v>121.5</v>
      </c>
      <c r="AZ45" s="90">
        <v>447.7</v>
      </c>
      <c r="BA45" s="90">
        <v>75.400000000000006</v>
      </c>
      <c r="BB45" s="90">
        <v>125.4</v>
      </c>
      <c r="BC45" s="90">
        <v>139.5</v>
      </c>
      <c r="BD45" s="90">
        <v>126.67783077995499</v>
      </c>
      <c r="BE45" s="90">
        <v>467.0031659856603</v>
      </c>
      <c r="BF45" s="90">
        <v>132.29025350634799</v>
      </c>
    </row>
    <row r="46" spans="1:58" x14ac:dyDescent="0.25">
      <c r="A46" s="22"/>
      <c r="B46" s="30" t="s">
        <v>279</v>
      </c>
      <c r="C46" s="94">
        <f t="shared" ref="C46:AG46" si="5">C45/C$9</f>
        <v>0.23633156966490301</v>
      </c>
      <c r="D46" s="94">
        <f t="shared" si="5"/>
        <v>0.25780836421386977</v>
      </c>
      <c r="E46" s="94">
        <f t="shared" si="5"/>
        <v>0.18881477680861977</v>
      </c>
      <c r="F46" s="94">
        <f t="shared" si="5"/>
        <v>0.18827008378511584</v>
      </c>
      <c r="G46" s="94">
        <f t="shared" si="5"/>
        <v>0.21656976744186049</v>
      </c>
      <c r="H46" s="94">
        <f t="shared" si="5"/>
        <v>0.22961165048543689</v>
      </c>
      <c r="I46" s="94">
        <f t="shared" si="5"/>
        <v>0.24669811320754714</v>
      </c>
      <c r="J46" s="94">
        <f t="shared" si="5"/>
        <v>0.23794916739702016</v>
      </c>
      <c r="K46" s="94">
        <f t="shared" si="5"/>
        <v>0.2577953447518665</v>
      </c>
      <c r="L46" s="94">
        <f t="shared" si="5"/>
        <v>0.24327726284471901</v>
      </c>
      <c r="M46" s="94">
        <f t="shared" si="5"/>
        <v>0.21095890410958906</v>
      </c>
      <c r="N46" s="94">
        <f t="shared" si="5"/>
        <v>0.23488473249238798</v>
      </c>
      <c r="O46" s="94">
        <f t="shared" si="5"/>
        <v>0.19418344519015659</v>
      </c>
      <c r="P46" s="94">
        <f t="shared" si="5"/>
        <v>0.18226381461675578</v>
      </c>
      <c r="Q46" s="94">
        <f t="shared" si="5"/>
        <v>0.20573148974130243</v>
      </c>
      <c r="R46" s="94">
        <f t="shared" si="5"/>
        <v>0.16011971567527122</v>
      </c>
      <c r="S46" s="94">
        <f t="shared" si="5"/>
        <v>0.17290228841264074</v>
      </c>
      <c r="T46" s="94">
        <f t="shared" si="5"/>
        <v>0.17511082963901201</v>
      </c>
      <c r="U46" s="94">
        <f t="shared" si="5"/>
        <v>0.18445988629185089</v>
      </c>
      <c r="V46" s="94">
        <f t="shared" si="5"/>
        <v>0.17370212765957446</v>
      </c>
      <c r="W46" s="94">
        <f t="shared" si="5"/>
        <v>0.13062312562479172</v>
      </c>
      <c r="X46" s="94">
        <f t="shared" si="5"/>
        <v>0.16468590831918506</v>
      </c>
      <c r="Y46" s="94">
        <f t="shared" si="5"/>
        <v>0.13243873978996498</v>
      </c>
      <c r="Z46" s="94">
        <f t="shared" si="5"/>
        <v>0.14500836586726157</v>
      </c>
      <c r="AA46" s="94">
        <f t="shared" si="5"/>
        <v>0.14281305454826018</v>
      </c>
      <c r="AB46" s="94">
        <f t="shared" si="5"/>
        <v>0.13735807255607865</v>
      </c>
      <c r="AC46" s="94">
        <f t="shared" si="5"/>
        <v>0.16486129458388374</v>
      </c>
      <c r="AD46" s="94">
        <f t="shared" si="5"/>
        <v>0.1655218258364724</v>
      </c>
      <c r="AE46" s="94">
        <f t="shared" si="5"/>
        <v>0.27122060470324749</v>
      </c>
      <c r="AF46" s="94">
        <f t="shared" si="5"/>
        <v>0.18798094540124588</v>
      </c>
      <c r="AG46" s="94">
        <f t="shared" si="5"/>
        <v>0.28548860302414802</v>
      </c>
      <c r="AH46" s="94">
        <f>AH45/AH$9</f>
        <v>0.23526724531749657</v>
      </c>
      <c r="AI46" s="94">
        <v>0.248</v>
      </c>
      <c r="AJ46" s="94">
        <v>0.25052192140249413</v>
      </c>
      <c r="AK46" s="94">
        <v>0.25494114710461907</v>
      </c>
      <c r="AL46" s="94">
        <v>0.20699999999999999</v>
      </c>
      <c r="AM46" s="94">
        <v>0.23400000000000001</v>
      </c>
      <c r="AN46" s="94">
        <v>0.22600000000000001</v>
      </c>
      <c r="AO46" s="94">
        <v>0.24299999999999999</v>
      </c>
      <c r="AP46" s="94">
        <v>0.22800000000000001</v>
      </c>
      <c r="AQ46" s="94">
        <f>AQ45/AQ9</f>
        <v>0.21097592544654414</v>
      </c>
      <c r="AR46" s="94">
        <f>AR45/AR9</f>
        <v>0.21687603697558663</v>
      </c>
      <c r="AS46" s="94">
        <v>0.22781870046349087</v>
      </c>
      <c r="AT46" s="94">
        <f>AT45/AT9</f>
        <v>0.23228258439526045</v>
      </c>
      <c r="AU46" s="94">
        <v>0.223</v>
      </c>
      <c r="AV46" s="94">
        <v>0.23799999999999999</v>
      </c>
      <c r="AW46" s="94">
        <v>0.27</v>
      </c>
      <c r="AX46" s="94">
        <v>0.17499999999999999</v>
      </c>
      <c r="AY46" s="94">
        <v>0.221</v>
      </c>
      <c r="AZ46" s="94">
        <v>0.223</v>
      </c>
      <c r="BA46" s="94">
        <v>0.16300000000000001</v>
      </c>
      <c r="BB46" s="94">
        <v>0.30199999999999999</v>
      </c>
      <c r="BC46" s="94">
        <v>0.26700000000000002</v>
      </c>
      <c r="BD46" s="94">
        <v>0.2351754226807676</v>
      </c>
      <c r="BE46" s="94">
        <v>0.24084090788526039</v>
      </c>
      <c r="BF46" s="94">
        <v>0.27014550440340618</v>
      </c>
    </row>
    <row r="47" spans="1:58" x14ac:dyDescent="0.25">
      <c r="A47" s="22"/>
      <c r="B47" s="86" t="s">
        <v>255</v>
      </c>
      <c r="C47" s="88">
        <v>11.7</v>
      </c>
      <c r="D47" s="88">
        <v>10.7</v>
      </c>
      <c r="E47" s="88">
        <v>7.8</v>
      </c>
      <c r="F47" s="88">
        <v>11.3</v>
      </c>
      <c r="G47" s="88">
        <v>41.5</v>
      </c>
      <c r="H47" s="88">
        <v>8.8000000000000007</v>
      </c>
      <c r="I47" s="88">
        <v>11.2</v>
      </c>
      <c r="J47" s="88">
        <v>11</v>
      </c>
      <c r="K47" s="88">
        <v>9.6</v>
      </c>
      <c r="L47" s="88">
        <v>40.6</v>
      </c>
      <c r="M47" s="88">
        <v>12.9</v>
      </c>
      <c r="N47" s="88">
        <v>17.8</v>
      </c>
      <c r="O47" s="88">
        <v>10.5</v>
      </c>
      <c r="P47" s="88">
        <v>13.9</v>
      </c>
      <c r="Q47" s="88">
        <v>55.1</v>
      </c>
      <c r="R47" s="88">
        <v>9.9</v>
      </c>
      <c r="S47" s="88">
        <v>8.8000000000000007</v>
      </c>
      <c r="T47" s="88">
        <v>13.5</v>
      </c>
      <c r="U47" s="88">
        <v>15.5</v>
      </c>
      <c r="V47" s="88">
        <v>47.7</v>
      </c>
      <c r="W47" s="88">
        <v>9.6999999999999993</v>
      </c>
      <c r="X47" s="88">
        <v>11.5</v>
      </c>
      <c r="Y47" s="89">
        <v>9.1</v>
      </c>
      <c r="Z47" s="89">
        <v>21.5</v>
      </c>
      <c r="AA47" s="89">
        <v>51.7</v>
      </c>
      <c r="AB47" s="90">
        <v>12</v>
      </c>
      <c r="AC47" s="88">
        <v>18.3</v>
      </c>
      <c r="AD47" s="88">
        <v>17.2</v>
      </c>
      <c r="AE47" s="88">
        <v>31.9</v>
      </c>
      <c r="AF47" s="89">
        <v>79.400000000000006</v>
      </c>
      <c r="AG47" s="89">
        <v>23.9</v>
      </c>
      <c r="AH47" s="90">
        <v>22</v>
      </c>
      <c r="AI47" s="89">
        <v>18.3</v>
      </c>
      <c r="AJ47" s="89">
        <v>15.3</v>
      </c>
      <c r="AK47" s="89">
        <v>79.5</v>
      </c>
      <c r="AL47" s="89">
        <v>8</v>
      </c>
      <c r="AM47" s="89">
        <v>17.100000000000001</v>
      </c>
      <c r="AN47" s="89">
        <v>19.3</v>
      </c>
      <c r="AO47" s="89">
        <v>17.8</v>
      </c>
      <c r="AP47" s="89">
        <v>62.2</v>
      </c>
      <c r="AQ47" s="90">
        <v>10</v>
      </c>
      <c r="AR47" s="90">
        <v>12.9</v>
      </c>
      <c r="AS47" s="90">
        <v>9.8555998310090516</v>
      </c>
      <c r="AT47" s="90">
        <v>13.9</v>
      </c>
      <c r="AU47" s="89">
        <v>46.6</v>
      </c>
      <c r="AV47" s="90">
        <v>19.2</v>
      </c>
      <c r="AW47" s="90">
        <v>22.3</v>
      </c>
      <c r="AX47" s="90">
        <v>13.7</v>
      </c>
      <c r="AY47" s="90">
        <v>9.8000000000000007</v>
      </c>
      <c r="AZ47" s="90">
        <v>65.099999999999994</v>
      </c>
      <c r="BA47" s="90">
        <v>8.5</v>
      </c>
      <c r="BB47" s="90">
        <v>20.3</v>
      </c>
      <c r="BC47" s="90">
        <v>29.1</v>
      </c>
      <c r="BD47" s="90">
        <v>29.895731739982299</v>
      </c>
      <c r="BE47" s="90">
        <v>87.794716339456215</v>
      </c>
      <c r="BF47" s="90">
        <v>29.626800955036899</v>
      </c>
    </row>
    <row r="48" spans="1:58" x14ac:dyDescent="0.25">
      <c r="A48" s="22"/>
      <c r="B48" s="92" t="s">
        <v>256</v>
      </c>
      <c r="C48" s="104">
        <f t="shared" ref="C48:AC48" si="6">IFERROR((C47-C53)/C45,"N/A")</f>
        <v>0.29104477611940294</v>
      </c>
      <c r="D48" s="104">
        <f t="shared" si="6"/>
        <v>0.21971252566735111</v>
      </c>
      <c r="E48" s="104">
        <f t="shared" si="6"/>
        <v>0.19293478260869565</v>
      </c>
      <c r="F48" s="104">
        <f t="shared" si="6"/>
        <v>0.27486910994764396</v>
      </c>
      <c r="G48" s="105">
        <f t="shared" si="6"/>
        <v>0.24405125076266015</v>
      </c>
      <c r="H48" s="104">
        <f t="shared" si="6"/>
        <v>0.16279069767441864</v>
      </c>
      <c r="I48" s="104">
        <f t="shared" si="6"/>
        <v>0.19120458891013387</v>
      </c>
      <c r="J48" s="104">
        <f t="shared" si="6"/>
        <v>0.18047882136279927</v>
      </c>
      <c r="K48" s="104">
        <f t="shared" si="6"/>
        <v>0.12947189097103917</v>
      </c>
      <c r="L48" s="105">
        <f t="shared" si="6"/>
        <v>0.16509877704609599</v>
      </c>
      <c r="M48" s="104">
        <f t="shared" si="6"/>
        <v>0.21428571428571427</v>
      </c>
      <c r="N48" s="104">
        <f t="shared" si="6"/>
        <v>0.27037037037037037</v>
      </c>
      <c r="O48" s="104">
        <f t="shared" si="6"/>
        <v>0.1889400921658986</v>
      </c>
      <c r="P48" s="104">
        <f t="shared" si="6"/>
        <v>0.30073349633251839</v>
      </c>
      <c r="Q48" s="104">
        <f t="shared" si="6"/>
        <v>0.24390243902439024</v>
      </c>
      <c r="R48" s="104">
        <f t="shared" si="6"/>
        <v>0.18224299065420563</v>
      </c>
      <c r="S48" s="104">
        <f t="shared" si="6"/>
        <v>0.16806722689075629</v>
      </c>
      <c r="T48" s="104">
        <f t="shared" si="6"/>
        <v>0.20614828209764921</v>
      </c>
      <c r="U48" s="104">
        <f t="shared" si="6"/>
        <v>0.22945205479452055</v>
      </c>
      <c r="V48" s="104">
        <f t="shared" si="6"/>
        <v>0.19892209701126901</v>
      </c>
      <c r="W48" s="104">
        <f t="shared" si="6"/>
        <v>0.17346938775510201</v>
      </c>
      <c r="X48" s="104">
        <f t="shared" si="6"/>
        <v>0.20824742268041235</v>
      </c>
      <c r="Y48" s="104">
        <f t="shared" si="6"/>
        <v>0.15198237885462554</v>
      </c>
      <c r="Z48" s="104">
        <f t="shared" si="6"/>
        <v>0.34423076923076923</v>
      </c>
      <c r="AA48" s="104">
        <f t="shared" si="6"/>
        <v>0.22528363047001623</v>
      </c>
      <c r="AB48" s="104">
        <f t="shared" si="6"/>
        <v>0.19758064516129034</v>
      </c>
      <c r="AC48" s="104">
        <f t="shared" si="6"/>
        <v>0.26282051282051289</v>
      </c>
      <c r="AD48" s="104">
        <f>IFERROR((AD47-AD53)/AD45,"N/A")</f>
        <v>0.20749665327978581</v>
      </c>
      <c r="AE48" s="104">
        <f>IFERROR((AE47-AE53)/AE45,"N/A")</f>
        <v>0.22130470685383979</v>
      </c>
      <c r="AF48" s="104">
        <f>IFERROR((AF47-AF53)/AF45,"N/A")</f>
        <v>0.22254710851202078</v>
      </c>
      <c r="AG48" s="104">
        <f>IFERROR((AG47-AG53)/AG45,"N/A")</f>
        <v>0.1691699604743083</v>
      </c>
      <c r="AH48" s="104">
        <f>IFERROR((AH47-AH53)/AH45,"N/A")</f>
        <v>0.19223300970873788</v>
      </c>
      <c r="AI48" s="104">
        <v>0.17299999999999999</v>
      </c>
      <c r="AJ48" s="104">
        <v>0.14644953506672859</v>
      </c>
      <c r="AK48" s="104">
        <v>0.1702039167147939</v>
      </c>
      <c r="AL48" s="104">
        <v>0.10800000000000001</v>
      </c>
      <c r="AM48" s="104">
        <v>0.186</v>
      </c>
      <c r="AN48" s="104">
        <v>0.20699999999999999</v>
      </c>
      <c r="AO48" s="104">
        <v>0.17799999999999999</v>
      </c>
      <c r="AP48" s="104">
        <v>0.17299999999999999</v>
      </c>
      <c r="AQ48" s="104">
        <f>AQ47/AQ45</f>
        <v>0.12269938650306748</v>
      </c>
      <c r="AR48" s="104">
        <f>AR47/AR45</f>
        <v>0.14098360655737704</v>
      </c>
      <c r="AS48" s="104">
        <v>9.1342691247829733E-2</v>
      </c>
      <c r="AT48" s="104">
        <f>AT47/AT45</f>
        <v>0.13378248315688163</v>
      </c>
      <c r="AU48" s="104">
        <v>0.121</v>
      </c>
      <c r="AV48" s="104">
        <v>0.189</v>
      </c>
      <c r="AW48" s="104">
        <v>0.17799999999999999</v>
      </c>
      <c r="AX48" s="104">
        <v>0.13800000000000001</v>
      </c>
      <c r="AY48" s="94">
        <v>8.1000000000000003E-2</v>
      </c>
      <c r="AZ48" s="94">
        <v>0.14499999999999999</v>
      </c>
      <c r="BA48" s="94">
        <v>0.113</v>
      </c>
      <c r="BB48" s="94">
        <v>0.16200000000000001</v>
      </c>
      <c r="BC48" s="94">
        <v>0.20899999999999999</v>
      </c>
      <c r="BD48" s="94">
        <v>0.23599813444794859</v>
      </c>
      <c r="BE48" s="94">
        <v>0.1879959767599349</v>
      </c>
      <c r="BF48" s="94">
        <v>0.22395301369359949</v>
      </c>
    </row>
    <row r="49" spans="1:58" x14ac:dyDescent="0.25">
      <c r="A49" s="22"/>
      <c r="B49" s="6" t="s">
        <v>274</v>
      </c>
      <c r="C49" s="94">
        <f>C47/C$10</f>
        <v>0.312</v>
      </c>
      <c r="D49" s="94">
        <f t="shared" ref="D49:AF49" si="7">D47/D$10</f>
        <v>0.27435897435897433</v>
      </c>
      <c r="E49" s="94">
        <f t="shared" si="7"/>
        <v>0.17410714285714288</v>
      </c>
      <c r="F49" s="94">
        <f t="shared" si="7"/>
        <v>0.20925925925925928</v>
      </c>
      <c r="G49" s="106">
        <f t="shared" si="7"/>
        <v>0.23673702224757556</v>
      </c>
      <c r="H49" s="94">
        <f t="shared" si="7"/>
        <v>0.20417633410672856</v>
      </c>
      <c r="I49" s="94">
        <f t="shared" si="7"/>
        <v>0.24561403508771928</v>
      </c>
      <c r="J49" s="94">
        <f t="shared" si="7"/>
        <v>0.19784172661870503</v>
      </c>
      <c r="K49" s="94">
        <f t="shared" si="7"/>
        <v>0.17081850533807827</v>
      </c>
      <c r="L49" s="106">
        <f t="shared" si="7"/>
        <v>0.20259481037924151</v>
      </c>
      <c r="M49" s="94">
        <f t="shared" si="7"/>
        <v>0.2471264367816092</v>
      </c>
      <c r="N49" s="94">
        <f t="shared" si="7"/>
        <v>0.30375426621160412</v>
      </c>
      <c r="O49" s="94">
        <f t="shared" si="7"/>
        <v>0.19372693726937268</v>
      </c>
      <c r="P49" s="94">
        <f t="shared" si="7"/>
        <v>0.24689165186500889</v>
      </c>
      <c r="Q49" s="106">
        <f t="shared" si="7"/>
        <v>0.24898328061455038</v>
      </c>
      <c r="R49" s="94">
        <f t="shared" si="7"/>
        <v>0.19800000000000001</v>
      </c>
      <c r="S49" s="94">
        <f t="shared" si="7"/>
        <v>0.21782178217821785</v>
      </c>
      <c r="T49" s="94">
        <f t="shared" si="7"/>
        <v>0.20119225037257826</v>
      </c>
      <c r="U49" s="94">
        <f t="shared" si="7"/>
        <v>0.23736600306278716</v>
      </c>
      <c r="V49" s="106">
        <f t="shared" si="7"/>
        <v>0.21409335727109516</v>
      </c>
      <c r="W49" s="94">
        <f t="shared" si="7"/>
        <v>0.17168141592920352</v>
      </c>
      <c r="X49" s="94">
        <f t="shared" si="7"/>
        <v>0.20646319569120286</v>
      </c>
      <c r="Y49" s="94">
        <f t="shared" si="7"/>
        <v>0.11621966794380588</v>
      </c>
      <c r="Z49" s="94">
        <f t="shared" si="7"/>
        <v>0.28215223097112863</v>
      </c>
      <c r="AA49" s="94">
        <f t="shared" si="7"/>
        <v>0.19385076865391829</v>
      </c>
      <c r="AB49" s="94">
        <f t="shared" si="7"/>
        <v>0.17467248908296942</v>
      </c>
      <c r="AC49" s="94">
        <f t="shared" si="7"/>
        <v>0.24302788844621515</v>
      </c>
      <c r="AD49" s="94">
        <f t="shared" si="7"/>
        <v>0.20924574209245742</v>
      </c>
      <c r="AE49" s="94">
        <f t="shared" si="7"/>
        <v>0.39382716049382716</v>
      </c>
      <c r="AF49" s="94">
        <f t="shared" si="7"/>
        <v>0.25846354166666669</v>
      </c>
      <c r="AG49" s="94">
        <f>AG47/AG$10</f>
        <v>0.34587554269175108</v>
      </c>
      <c r="AH49" s="94">
        <f>AH47/AH$10</f>
        <v>0.30683403068340304</v>
      </c>
      <c r="AI49" s="94">
        <v>0.24299999999999999</v>
      </c>
      <c r="AJ49" s="94">
        <v>0.24351199686522071</v>
      </c>
      <c r="AK49" s="94">
        <v>0.28501715373050884</v>
      </c>
      <c r="AL49" s="94">
        <v>0.159</v>
      </c>
      <c r="AM49" s="94">
        <v>0.28399999999999997</v>
      </c>
      <c r="AN49" s="94">
        <v>0.27899999999999997</v>
      </c>
      <c r="AO49" s="94">
        <v>0.26900000000000002</v>
      </c>
      <c r="AP49" s="94">
        <v>0.253</v>
      </c>
      <c r="AQ49" s="94">
        <f>AQ47/AQ10</f>
        <v>0.13698630136986301</v>
      </c>
      <c r="AR49" s="94">
        <f>AR47/AR10</f>
        <v>0.16731517509727628</v>
      </c>
      <c r="AS49" s="94">
        <v>0.12159192800572434</v>
      </c>
      <c r="AT49" s="94">
        <v>0.188</v>
      </c>
      <c r="AU49" s="94">
        <v>0.153</v>
      </c>
      <c r="AV49" s="94">
        <v>0.28599999999999998</v>
      </c>
      <c r="AW49" s="94">
        <v>0.35099999999999998</v>
      </c>
      <c r="AX49" s="94">
        <v>0.14000000000000001</v>
      </c>
      <c r="AY49" s="94">
        <v>0.121</v>
      </c>
      <c r="AZ49" s="94">
        <v>0.21099999999999999</v>
      </c>
      <c r="BA49" s="94">
        <v>0.14099999999999999</v>
      </c>
      <c r="BB49" s="94">
        <v>1.1599999999999999</v>
      </c>
      <c r="BC49" s="94">
        <v>0.39100000000000001</v>
      </c>
      <c r="BD49" s="94">
        <v>0.59305303531247155</v>
      </c>
      <c r="BE49" s="94">
        <v>0.43360566427732411</v>
      </c>
      <c r="BF49" s="94">
        <v>0.48480006772371947</v>
      </c>
    </row>
    <row r="50" spans="1:58" x14ac:dyDescent="0.25">
      <c r="A50" s="22"/>
      <c r="B50" s="5" t="s">
        <v>280</v>
      </c>
      <c r="C50" s="88">
        <v>12</v>
      </c>
      <c r="D50" s="88">
        <v>12.1</v>
      </c>
      <c r="E50" s="88">
        <v>8.8000000000000007</v>
      </c>
      <c r="F50" s="88">
        <v>9.5</v>
      </c>
      <c r="G50" s="88">
        <v>42.400000000000006</v>
      </c>
      <c r="H50" s="88">
        <v>14.4</v>
      </c>
      <c r="I50" s="88">
        <v>17.2</v>
      </c>
      <c r="J50" s="88">
        <v>20.5</v>
      </c>
      <c r="K50" s="88">
        <v>28.4</v>
      </c>
      <c r="L50" s="88">
        <v>80.5</v>
      </c>
      <c r="M50" s="88">
        <v>20.8</v>
      </c>
      <c r="N50" s="88">
        <v>21</v>
      </c>
      <c r="O50" s="88">
        <v>13.5</v>
      </c>
      <c r="P50" s="88">
        <v>14.4</v>
      </c>
      <c r="Q50" s="88">
        <v>69.7</v>
      </c>
      <c r="R50" s="88">
        <v>18.2</v>
      </c>
      <c r="S50" s="88">
        <v>25.8</v>
      </c>
      <c r="T50" s="88">
        <v>33.299999999999997</v>
      </c>
      <c r="U50" s="88">
        <v>25.1</v>
      </c>
      <c r="V50" s="88">
        <v>102.4</v>
      </c>
      <c r="W50" s="88">
        <v>20.399999999999999</v>
      </c>
      <c r="X50" s="88">
        <v>28.1</v>
      </c>
      <c r="Y50" s="89">
        <v>24.2</v>
      </c>
      <c r="Z50" s="89">
        <v>20.399999999999999</v>
      </c>
      <c r="AA50" s="89">
        <v>93</v>
      </c>
      <c r="AB50" s="89">
        <v>22.8</v>
      </c>
      <c r="AC50" s="88">
        <v>27</v>
      </c>
      <c r="AD50" s="88">
        <v>29.3</v>
      </c>
      <c r="AE50" s="88">
        <v>35.200000000000003</v>
      </c>
      <c r="AF50" s="89">
        <v>114.2</v>
      </c>
      <c r="AG50" s="89">
        <v>103.7</v>
      </c>
      <c r="AH50" s="89">
        <v>94.1</v>
      </c>
      <c r="AI50" s="89">
        <v>101</v>
      </c>
      <c r="AJ50" s="89">
        <v>104.8</v>
      </c>
      <c r="AK50" s="90">
        <v>403.60300000000001</v>
      </c>
      <c r="AL50" s="90">
        <v>75</v>
      </c>
      <c r="AM50" s="89">
        <v>100.2</v>
      </c>
      <c r="AN50" s="89">
        <v>105.4</v>
      </c>
      <c r="AO50" s="89">
        <v>107.9</v>
      </c>
      <c r="AP50" s="89">
        <v>388.4</v>
      </c>
      <c r="AQ50" s="89">
        <v>101.5</v>
      </c>
      <c r="AR50" s="90">
        <v>107.3</v>
      </c>
      <c r="AS50" s="90">
        <v>84.46</v>
      </c>
      <c r="AT50" s="90">
        <v>81.8</v>
      </c>
      <c r="AU50" s="89">
        <v>375.1</v>
      </c>
      <c r="AV50" s="90">
        <v>84.4</v>
      </c>
      <c r="AW50" s="90">
        <v>107.6</v>
      </c>
      <c r="AX50" s="90">
        <v>94.2</v>
      </c>
      <c r="AY50" s="90">
        <v>121</v>
      </c>
      <c r="AZ50" s="90">
        <v>407.2</v>
      </c>
      <c r="BA50" s="90">
        <v>54</v>
      </c>
      <c r="BB50" s="90">
        <v>84.3</v>
      </c>
      <c r="BC50" s="90">
        <v>84</v>
      </c>
      <c r="BD50" s="90">
        <v>60.712007</v>
      </c>
      <c r="BE50" s="90">
        <v>283.02775399999996</v>
      </c>
      <c r="BF50" s="90">
        <v>73.399362999999994</v>
      </c>
    </row>
    <row r="51" spans="1:58" x14ac:dyDescent="0.25">
      <c r="A51" s="22"/>
      <c r="B51" s="107" t="s">
        <v>281</v>
      </c>
      <c r="C51" s="108">
        <v>0</v>
      </c>
      <c r="D51" s="108">
        <v>0</v>
      </c>
      <c r="E51" s="108">
        <v>0.7</v>
      </c>
      <c r="F51" s="108">
        <v>0.8</v>
      </c>
      <c r="G51" s="108">
        <v>1.5</v>
      </c>
      <c r="H51" s="108">
        <v>1.1000000000000001</v>
      </c>
      <c r="I51" s="108">
        <v>1.2</v>
      </c>
      <c r="J51" s="108">
        <v>1.2</v>
      </c>
      <c r="K51" s="108">
        <v>2</v>
      </c>
      <c r="L51" s="108">
        <v>5.5</v>
      </c>
      <c r="M51" s="108">
        <v>1.4</v>
      </c>
      <c r="N51" s="108">
        <v>1.9</v>
      </c>
      <c r="O51" s="108">
        <v>1.6</v>
      </c>
      <c r="P51" s="108">
        <v>1.4</v>
      </c>
      <c r="Q51" s="108">
        <v>6.3000000000000007</v>
      </c>
      <c r="R51" s="108">
        <v>2.1</v>
      </c>
      <c r="S51" s="108">
        <v>0.8</v>
      </c>
      <c r="T51" s="108">
        <v>2.1</v>
      </c>
      <c r="U51" s="108">
        <v>2.1</v>
      </c>
      <c r="V51" s="108">
        <v>7.1</v>
      </c>
      <c r="W51" s="108">
        <v>2.9</v>
      </c>
      <c r="X51" s="108">
        <v>1.4</v>
      </c>
      <c r="Y51" s="109">
        <v>2.2000000000000002</v>
      </c>
      <c r="Z51" s="109">
        <v>3.6</v>
      </c>
      <c r="AA51" s="109">
        <v>10</v>
      </c>
      <c r="AB51" s="109">
        <v>2.2000000000000002</v>
      </c>
      <c r="AC51" s="108">
        <v>1.9</v>
      </c>
      <c r="AD51" s="108">
        <v>1.7</v>
      </c>
      <c r="AE51" s="108">
        <v>5.0999999999999996</v>
      </c>
      <c r="AF51" s="109">
        <v>10.9</v>
      </c>
      <c r="AG51" s="109">
        <v>2.5</v>
      </c>
      <c r="AH51" s="109">
        <v>2.2000000000000002</v>
      </c>
      <c r="AI51" s="110">
        <v>0</v>
      </c>
      <c r="AJ51" s="109">
        <v>0</v>
      </c>
      <c r="AK51" s="109">
        <v>4.7</v>
      </c>
      <c r="AL51" s="109">
        <v>0</v>
      </c>
      <c r="AM51" s="109">
        <v>0</v>
      </c>
      <c r="AN51" s="109">
        <v>0</v>
      </c>
      <c r="AO51" s="109">
        <v>0</v>
      </c>
      <c r="AP51" s="109">
        <v>0</v>
      </c>
      <c r="AQ51" s="109">
        <v>0</v>
      </c>
      <c r="AR51" s="109">
        <v>0</v>
      </c>
      <c r="AS51" s="109">
        <v>0</v>
      </c>
      <c r="AT51" s="109">
        <v>0</v>
      </c>
      <c r="AU51" s="109">
        <v>0</v>
      </c>
      <c r="AV51" s="109">
        <v>0</v>
      </c>
      <c r="AW51" s="109">
        <v>0</v>
      </c>
      <c r="AX51" s="109">
        <v>0</v>
      </c>
      <c r="AY51" s="109">
        <v>0</v>
      </c>
      <c r="AZ51" s="109">
        <v>0</v>
      </c>
      <c r="BA51" s="109">
        <v>0</v>
      </c>
      <c r="BB51" s="109">
        <v>0</v>
      </c>
      <c r="BC51" s="109">
        <v>0</v>
      </c>
      <c r="BD51" s="109">
        <v>0</v>
      </c>
      <c r="BE51" s="109">
        <v>0</v>
      </c>
      <c r="BF51" s="109">
        <v>0</v>
      </c>
    </row>
    <row r="52" spans="1:58" x14ac:dyDescent="0.25">
      <c r="A52" s="22"/>
      <c r="B52" s="107" t="s">
        <v>282</v>
      </c>
      <c r="C52" s="108">
        <v>0</v>
      </c>
      <c r="D52" s="108">
        <v>0</v>
      </c>
      <c r="E52" s="108">
        <v>0</v>
      </c>
      <c r="F52" s="108">
        <v>0</v>
      </c>
      <c r="G52" s="108">
        <v>0</v>
      </c>
      <c r="H52" s="108">
        <v>0</v>
      </c>
      <c r="I52" s="108">
        <v>0</v>
      </c>
      <c r="J52" s="108">
        <v>0</v>
      </c>
      <c r="K52" s="108">
        <v>0</v>
      </c>
      <c r="L52" s="108">
        <v>0</v>
      </c>
      <c r="M52" s="108">
        <v>1.6</v>
      </c>
      <c r="N52" s="108">
        <v>1.3</v>
      </c>
      <c r="O52" s="108">
        <v>0.7</v>
      </c>
      <c r="P52" s="108">
        <v>0.2</v>
      </c>
      <c r="Q52" s="108">
        <v>3.8000000000000007</v>
      </c>
      <c r="R52" s="108">
        <v>0</v>
      </c>
      <c r="S52" s="108">
        <v>0</v>
      </c>
      <c r="T52" s="108">
        <v>0</v>
      </c>
      <c r="U52" s="108">
        <v>0</v>
      </c>
      <c r="V52" s="108">
        <v>0</v>
      </c>
      <c r="W52" s="108">
        <v>0</v>
      </c>
      <c r="X52" s="108">
        <v>0</v>
      </c>
      <c r="Y52" s="109">
        <v>0</v>
      </c>
      <c r="Z52" s="109">
        <v>0</v>
      </c>
      <c r="AA52" s="108">
        <v>0</v>
      </c>
      <c r="AB52" s="108">
        <v>0</v>
      </c>
      <c r="AC52" s="108">
        <v>0</v>
      </c>
      <c r="AD52" s="108">
        <v>0</v>
      </c>
      <c r="AE52" s="108">
        <v>0</v>
      </c>
      <c r="AF52" s="108">
        <v>0</v>
      </c>
      <c r="AG52" s="108">
        <v>0</v>
      </c>
      <c r="AH52" s="108">
        <v>0</v>
      </c>
      <c r="AI52" s="108">
        <v>0</v>
      </c>
      <c r="AJ52" s="109">
        <v>0</v>
      </c>
      <c r="AK52" s="109">
        <v>0</v>
      </c>
      <c r="AL52" s="108">
        <v>0</v>
      </c>
      <c r="AM52" s="108">
        <v>0</v>
      </c>
      <c r="AN52" s="108">
        <v>0</v>
      </c>
      <c r="AO52" s="108">
        <v>0</v>
      </c>
      <c r="AP52" s="108">
        <v>0</v>
      </c>
      <c r="AQ52" s="108">
        <v>0</v>
      </c>
      <c r="AR52" s="108">
        <v>0</v>
      </c>
      <c r="AS52" s="108">
        <v>0</v>
      </c>
      <c r="AT52" s="108">
        <v>0</v>
      </c>
      <c r="AU52" s="108">
        <v>0</v>
      </c>
      <c r="AV52" s="108">
        <v>0</v>
      </c>
      <c r="AW52" s="108">
        <v>0</v>
      </c>
      <c r="AX52" s="108">
        <v>0</v>
      </c>
      <c r="AY52" s="108">
        <v>0</v>
      </c>
      <c r="AZ52" s="109">
        <v>0</v>
      </c>
      <c r="BA52" s="109">
        <v>0</v>
      </c>
      <c r="BB52" s="109">
        <v>0</v>
      </c>
      <c r="BC52" s="109">
        <v>0</v>
      </c>
      <c r="BD52" s="109">
        <v>0</v>
      </c>
      <c r="BE52" s="109">
        <v>0</v>
      </c>
      <c r="BF52" s="109">
        <v>0</v>
      </c>
    </row>
    <row r="53" spans="1:58" x14ac:dyDescent="0.25">
      <c r="A53" s="22"/>
      <c r="B53" s="107" t="s">
        <v>283</v>
      </c>
      <c r="C53" s="108">
        <v>0</v>
      </c>
      <c r="D53" s="108">
        <v>0</v>
      </c>
      <c r="E53" s="108">
        <v>0.7</v>
      </c>
      <c r="F53" s="108">
        <v>0.8</v>
      </c>
      <c r="G53" s="108">
        <v>1.5</v>
      </c>
      <c r="H53" s="108">
        <v>1.1000000000000001</v>
      </c>
      <c r="I53" s="108">
        <v>1.2</v>
      </c>
      <c r="J53" s="108">
        <v>1.2</v>
      </c>
      <c r="K53" s="108">
        <v>2</v>
      </c>
      <c r="L53" s="108">
        <v>5.5</v>
      </c>
      <c r="M53" s="108">
        <v>3</v>
      </c>
      <c r="N53" s="108">
        <v>3.2</v>
      </c>
      <c r="O53" s="108">
        <v>2.2999999999999998</v>
      </c>
      <c r="P53" s="108">
        <v>1.5999999999999999</v>
      </c>
      <c r="Q53" s="108">
        <v>10.100000000000001</v>
      </c>
      <c r="R53" s="108">
        <v>2.1</v>
      </c>
      <c r="S53" s="108">
        <v>0.8</v>
      </c>
      <c r="T53" s="108">
        <v>2.1</v>
      </c>
      <c r="U53" s="108">
        <v>2.1</v>
      </c>
      <c r="V53" s="108">
        <v>7.1</v>
      </c>
      <c r="W53" s="108">
        <v>2.9</v>
      </c>
      <c r="X53" s="108">
        <v>1.4</v>
      </c>
      <c r="Y53" s="108">
        <v>2.2000000000000002</v>
      </c>
      <c r="Z53" s="108">
        <v>3.6</v>
      </c>
      <c r="AA53" s="108">
        <v>10</v>
      </c>
      <c r="AB53" s="108">
        <v>2.2000000000000002</v>
      </c>
      <c r="AC53" s="108">
        <v>1.9</v>
      </c>
      <c r="AD53" s="108">
        <v>1.7</v>
      </c>
      <c r="AE53" s="108">
        <v>5.0999999999999996</v>
      </c>
      <c r="AF53" s="108">
        <v>10.9</v>
      </c>
      <c r="AG53" s="108">
        <v>2.5</v>
      </c>
      <c r="AH53" s="108">
        <v>2.2000000000000002</v>
      </c>
      <c r="AI53" s="108">
        <v>0</v>
      </c>
      <c r="AJ53" s="109">
        <v>0</v>
      </c>
      <c r="AK53" s="109">
        <v>4.7</v>
      </c>
      <c r="AL53" s="108">
        <v>0</v>
      </c>
      <c r="AM53" s="108">
        <v>0</v>
      </c>
      <c r="AN53" s="108">
        <v>0</v>
      </c>
      <c r="AO53" s="108">
        <v>0</v>
      </c>
      <c r="AP53" s="108">
        <v>0</v>
      </c>
      <c r="AQ53" s="108">
        <v>0</v>
      </c>
      <c r="AR53" s="108">
        <v>0</v>
      </c>
      <c r="AS53" s="108">
        <v>0</v>
      </c>
      <c r="AT53" s="108">
        <v>0</v>
      </c>
      <c r="AU53" s="108">
        <v>0</v>
      </c>
      <c r="AV53" s="108">
        <v>0</v>
      </c>
      <c r="AW53" s="108">
        <v>0</v>
      </c>
      <c r="AX53" s="108">
        <v>0</v>
      </c>
      <c r="AY53" s="108">
        <v>0</v>
      </c>
      <c r="AZ53" s="109">
        <v>0</v>
      </c>
      <c r="BA53" s="109">
        <v>0</v>
      </c>
      <c r="BB53" s="109">
        <v>0</v>
      </c>
      <c r="BC53" s="109">
        <v>0</v>
      </c>
      <c r="BD53" s="109">
        <v>0</v>
      </c>
      <c r="BE53" s="109">
        <v>0</v>
      </c>
      <c r="BF53" s="109">
        <v>0</v>
      </c>
    </row>
    <row r="54" spans="1:58" x14ac:dyDescent="0.25">
      <c r="A54" s="22"/>
      <c r="B54" s="107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9"/>
      <c r="AK54" s="109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</row>
    <row r="55" spans="1:58" x14ac:dyDescent="0.25">
      <c r="A55" s="22"/>
      <c r="B55" s="111" t="s">
        <v>284</v>
      </c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</row>
    <row r="56" spans="1:58" x14ac:dyDescent="0.25">
      <c r="A56" s="22"/>
      <c r="B56" s="86" t="s">
        <v>254</v>
      </c>
      <c r="C56" s="89">
        <v>76.599999999999994</v>
      </c>
      <c r="D56" s="89">
        <v>83.6</v>
      </c>
      <c r="E56" s="89">
        <v>98.2</v>
      </c>
      <c r="F56" s="89">
        <v>104.5</v>
      </c>
      <c r="G56" s="89">
        <v>362.9</v>
      </c>
      <c r="H56" s="89">
        <v>100.7</v>
      </c>
      <c r="I56" s="89">
        <v>98.6</v>
      </c>
      <c r="J56" s="89">
        <v>103.9</v>
      </c>
      <c r="K56" s="89">
        <v>99.4</v>
      </c>
      <c r="L56" s="89">
        <v>402.6</v>
      </c>
      <c r="M56" s="89">
        <v>103.5</v>
      </c>
      <c r="N56" s="89">
        <v>101.3</v>
      </c>
      <c r="O56" s="89">
        <v>97.7</v>
      </c>
      <c r="P56" s="89">
        <v>105.2</v>
      </c>
      <c r="Q56" s="89">
        <v>407.7</v>
      </c>
      <c r="R56" s="89">
        <v>140.80000000000001</v>
      </c>
      <c r="S56" s="89">
        <v>139.6</v>
      </c>
      <c r="T56" s="89">
        <v>158.69999999999999</v>
      </c>
      <c r="U56" s="89">
        <v>151.1</v>
      </c>
      <c r="V56" s="89">
        <v>590.19999999999993</v>
      </c>
      <c r="W56" s="89">
        <v>165.7</v>
      </c>
      <c r="X56" s="89">
        <v>149.69999999999999</v>
      </c>
      <c r="Y56" s="89">
        <v>184.9</v>
      </c>
      <c r="Z56" s="89">
        <v>196</v>
      </c>
      <c r="AA56" s="89">
        <v>696.3</v>
      </c>
      <c r="AB56" s="89">
        <v>199.2</v>
      </c>
      <c r="AC56" s="89">
        <v>198.9</v>
      </c>
      <c r="AD56" s="89">
        <v>247.2</v>
      </c>
      <c r="AE56" s="89">
        <v>199.5</v>
      </c>
      <c r="AF56" s="89">
        <v>844.8</v>
      </c>
      <c r="AG56" s="89">
        <v>192.7</v>
      </c>
      <c r="AH56" s="89">
        <v>201.8</v>
      </c>
      <c r="AI56" s="89">
        <v>182.2</v>
      </c>
      <c r="AJ56" s="90">
        <v>181.47315071783299</v>
      </c>
      <c r="AK56" s="90">
        <v>758.1731507178331</v>
      </c>
      <c r="AL56" s="89">
        <v>137.80000000000001</v>
      </c>
      <c r="AM56" s="89">
        <v>161.1</v>
      </c>
      <c r="AN56" s="89">
        <v>167</v>
      </c>
      <c r="AO56" s="90">
        <v>165.1</v>
      </c>
      <c r="AP56" s="90">
        <v>631</v>
      </c>
      <c r="AQ56" s="90">
        <v>148.69999999999999</v>
      </c>
      <c r="AR56" s="90">
        <v>176.7</v>
      </c>
      <c r="AS56" s="90">
        <v>199.67018561591701</v>
      </c>
      <c r="AT56" s="90">
        <v>188</v>
      </c>
      <c r="AU56" s="90">
        <v>713</v>
      </c>
      <c r="AV56" s="90">
        <v>169.7</v>
      </c>
      <c r="AW56" s="90">
        <v>193.8</v>
      </c>
      <c r="AX56" s="90">
        <v>303.39999999999998</v>
      </c>
      <c r="AY56" s="90">
        <v>269.7</v>
      </c>
      <c r="AZ56" s="90">
        <v>936.6</v>
      </c>
      <c r="BA56" s="90">
        <v>244.5</v>
      </c>
      <c r="BB56" s="90">
        <v>236.6</v>
      </c>
      <c r="BC56" s="90">
        <v>262.39999999999998</v>
      </c>
      <c r="BD56" s="90">
        <v>274.24189765148697</v>
      </c>
      <c r="BE56" s="90">
        <v>1017.7121648826019</v>
      </c>
      <c r="BF56" s="90">
        <v>244.034747740797</v>
      </c>
    </row>
    <row r="57" spans="1:58" x14ac:dyDescent="0.25">
      <c r="A57" s="22"/>
      <c r="B57" s="30" t="s">
        <v>273</v>
      </c>
      <c r="C57" s="94">
        <f t="shared" ref="C57:AH57" si="8">C56/C$9</f>
        <v>0.45032333921222806</v>
      </c>
      <c r="D57" s="94">
        <f t="shared" si="8"/>
        <v>0.44256220222339859</v>
      </c>
      <c r="E57" s="94">
        <f t="shared" si="8"/>
        <v>0.50384812724474093</v>
      </c>
      <c r="F57" s="94">
        <f t="shared" si="8"/>
        <v>0.51503203548546084</v>
      </c>
      <c r="G57" s="94">
        <f t="shared" si="8"/>
        <v>0.47951902748414377</v>
      </c>
      <c r="H57" s="94">
        <f t="shared" si="8"/>
        <v>0.48883495145631067</v>
      </c>
      <c r="I57" s="94">
        <f t="shared" si="8"/>
        <v>0.46509433962264146</v>
      </c>
      <c r="J57" s="94">
        <f t="shared" si="8"/>
        <v>0.45530236634531118</v>
      </c>
      <c r="K57" s="94">
        <f t="shared" si="8"/>
        <v>0.43653930610452352</v>
      </c>
      <c r="L57" s="94">
        <f t="shared" si="8"/>
        <v>0.46069344318571914</v>
      </c>
      <c r="M57" s="94">
        <f t="shared" si="8"/>
        <v>0.4726027397260274</v>
      </c>
      <c r="N57" s="94">
        <f t="shared" si="8"/>
        <v>0.44062635928664634</v>
      </c>
      <c r="O57" s="94">
        <f t="shared" si="8"/>
        <v>0.43713646532438483</v>
      </c>
      <c r="P57" s="94">
        <f t="shared" si="8"/>
        <v>0.46880570409982175</v>
      </c>
      <c r="Q57" s="94">
        <f t="shared" si="8"/>
        <v>0.45461641391614632</v>
      </c>
      <c r="R57" s="94">
        <f t="shared" si="8"/>
        <v>0.52674897119341568</v>
      </c>
      <c r="S57" s="94">
        <f t="shared" si="8"/>
        <v>0.50708318198329094</v>
      </c>
      <c r="T57" s="94">
        <f t="shared" si="8"/>
        <v>0.50253324889170359</v>
      </c>
      <c r="U57" s="94">
        <f t="shared" si="8"/>
        <v>0.47725837018319639</v>
      </c>
      <c r="V57" s="94">
        <f t="shared" si="8"/>
        <v>0.50229787234042544</v>
      </c>
      <c r="W57" s="94">
        <f t="shared" si="8"/>
        <v>0.55214928357214255</v>
      </c>
      <c r="X57" s="94">
        <f t="shared" si="8"/>
        <v>0.50831918505942275</v>
      </c>
      <c r="Y57" s="94">
        <f t="shared" si="8"/>
        <v>0.5393815635939323</v>
      </c>
      <c r="Z57" s="94">
        <f t="shared" si="8"/>
        <v>0.54656999442275511</v>
      </c>
      <c r="AA57" s="94">
        <f t="shared" si="8"/>
        <v>0.53722706581282309</v>
      </c>
      <c r="AB57" s="94">
        <f t="shared" si="8"/>
        <v>0.5516477430074771</v>
      </c>
      <c r="AC57" s="94">
        <f t="shared" si="8"/>
        <v>0.52549537648612943</v>
      </c>
      <c r="AD57" s="94">
        <f t="shared" si="8"/>
        <v>0.5477509417239087</v>
      </c>
      <c r="AE57" s="94">
        <f t="shared" si="8"/>
        <v>0.44680851063829785</v>
      </c>
      <c r="AF57" s="94">
        <f t="shared" si="8"/>
        <v>0.51593990472700613</v>
      </c>
      <c r="AG57" s="94">
        <f t="shared" si="8"/>
        <v>0.4348905438952832</v>
      </c>
      <c r="AH57" s="94">
        <f t="shared" si="8"/>
        <v>0.46094106898127002</v>
      </c>
      <c r="AI57" s="94">
        <v>0.42699999999999999</v>
      </c>
      <c r="AJ57" s="94">
        <v>0.43516572315909335</v>
      </c>
      <c r="AK57" s="94">
        <v>0.43982133066403345</v>
      </c>
      <c r="AL57" s="94">
        <v>0.38400000000000001</v>
      </c>
      <c r="AM57" s="94">
        <v>0.41099999999999998</v>
      </c>
      <c r="AN57" s="94">
        <v>0.40500000000000003</v>
      </c>
      <c r="AO57" s="94">
        <v>0.40100000000000002</v>
      </c>
      <c r="AP57" s="94">
        <v>0.40100000000000002</v>
      </c>
      <c r="AQ57" s="94">
        <f>AQ56/AQ9</f>
        <v>0.384933989127621</v>
      </c>
      <c r="AR57" s="94">
        <f>AR56/AR9</f>
        <v>0.41881962550367385</v>
      </c>
      <c r="AS57" s="94">
        <v>0.41697743567791029</v>
      </c>
      <c r="AT57" s="94">
        <v>0.42</v>
      </c>
      <c r="AU57" s="94">
        <v>0.41099999999999998</v>
      </c>
      <c r="AV57" s="94">
        <v>0.39799999999999996</v>
      </c>
      <c r="AW57" s="94">
        <v>0.41799999999999998</v>
      </c>
      <c r="AX57" s="94">
        <v>0.53300000000000003</v>
      </c>
      <c r="AY57" s="94">
        <v>0.49099999999999999</v>
      </c>
      <c r="AZ57" s="94">
        <v>0.46600000000000003</v>
      </c>
      <c r="BA57" s="94">
        <v>0.52700000000000002</v>
      </c>
      <c r="BB57" s="94">
        <v>0.57099999999999995</v>
      </c>
      <c r="BC57" s="94">
        <v>0.503</v>
      </c>
      <c r="BD57" s="94">
        <v>0.50912581783149458</v>
      </c>
      <c r="BE57" s="94">
        <v>0.52485023573421741</v>
      </c>
      <c r="BF57" s="94">
        <v>0.49833520061424752</v>
      </c>
    </row>
    <row r="58" spans="1:58" x14ac:dyDescent="0.25">
      <c r="A58" s="22"/>
      <c r="B58" s="86" t="s">
        <v>255</v>
      </c>
      <c r="C58" s="89">
        <v>5.2</v>
      </c>
      <c r="D58" s="89">
        <v>7.9</v>
      </c>
      <c r="E58" s="89">
        <v>14.9</v>
      </c>
      <c r="F58" s="89">
        <v>18.7</v>
      </c>
      <c r="G58" s="89">
        <v>46.7</v>
      </c>
      <c r="H58" s="89">
        <v>15.1</v>
      </c>
      <c r="I58" s="89">
        <v>15.3</v>
      </c>
      <c r="J58" s="89">
        <v>16.899999999999999</v>
      </c>
      <c r="K58" s="89">
        <v>15.2</v>
      </c>
      <c r="L58" s="89">
        <v>62.5</v>
      </c>
      <c r="M58" s="90">
        <v>16</v>
      </c>
      <c r="N58" s="89">
        <v>15.6</v>
      </c>
      <c r="O58" s="89">
        <v>13.5</v>
      </c>
      <c r="P58" s="89">
        <v>12.5</v>
      </c>
      <c r="Q58" s="89">
        <v>57.6</v>
      </c>
      <c r="R58" s="90">
        <v>11</v>
      </c>
      <c r="S58" s="89">
        <v>3.6</v>
      </c>
      <c r="T58" s="90">
        <v>10</v>
      </c>
      <c r="U58" s="89">
        <v>8.6</v>
      </c>
      <c r="V58" s="89">
        <v>33.200000000000003</v>
      </c>
      <c r="W58" s="89">
        <v>12.4</v>
      </c>
      <c r="X58" s="89">
        <v>12.2</v>
      </c>
      <c r="Y58" s="89">
        <v>26.5</v>
      </c>
      <c r="Z58" s="89">
        <v>20.5</v>
      </c>
      <c r="AA58" s="89">
        <v>71.599999999999994</v>
      </c>
      <c r="AB58" s="89">
        <v>18.899999999999999</v>
      </c>
      <c r="AC58" s="89">
        <v>18.399999999999999</v>
      </c>
      <c r="AD58" s="89">
        <v>21.7</v>
      </c>
      <c r="AE58" s="89">
        <v>5.7</v>
      </c>
      <c r="AF58" s="89">
        <v>64.7</v>
      </c>
      <c r="AG58" s="89">
        <v>10.9</v>
      </c>
      <c r="AH58" s="90">
        <v>14</v>
      </c>
      <c r="AI58" s="90">
        <v>14.6</v>
      </c>
      <c r="AJ58" s="90">
        <v>13.49868</v>
      </c>
      <c r="AK58" s="90">
        <v>52.99868</v>
      </c>
      <c r="AL58" s="90">
        <v>-5.3</v>
      </c>
      <c r="AM58" s="90">
        <v>7.4</v>
      </c>
      <c r="AN58" s="90">
        <v>4.7</v>
      </c>
      <c r="AO58" s="90">
        <v>4</v>
      </c>
      <c r="AP58" s="90">
        <v>10.8</v>
      </c>
      <c r="AQ58" s="90">
        <v>9.8000000000000007</v>
      </c>
      <c r="AR58" s="90">
        <v>17.899999999999999</v>
      </c>
      <c r="AS58" s="90">
        <v>19.5928558398649</v>
      </c>
      <c r="AT58" s="90">
        <v>10</v>
      </c>
      <c r="AU58" s="90">
        <v>57.3</v>
      </c>
      <c r="AV58" s="90">
        <v>2.1</v>
      </c>
      <c r="AW58" s="90">
        <v>9</v>
      </c>
      <c r="AX58" s="90">
        <v>37.6</v>
      </c>
      <c r="AY58" s="90">
        <v>23.4</v>
      </c>
      <c r="AZ58" s="90">
        <v>72.099999999999994</v>
      </c>
      <c r="BA58" s="90">
        <v>8.6999999999999993</v>
      </c>
      <c r="BB58" s="90">
        <v>17.5</v>
      </c>
      <c r="BC58" s="90">
        <v>26.4</v>
      </c>
      <c r="BD58" s="90">
        <v>11.814147241971899</v>
      </c>
      <c r="BE58" s="90">
        <v>64.442786625203951</v>
      </c>
      <c r="BF58" s="90">
        <v>10.1126573931581</v>
      </c>
    </row>
    <row r="59" spans="1:58" x14ac:dyDescent="0.25">
      <c r="A59" s="22"/>
      <c r="B59" s="92" t="s">
        <v>256</v>
      </c>
      <c r="C59" s="93">
        <f>IFERROR(C58/C56,"N/A")</f>
        <v>6.7885117493472591E-2</v>
      </c>
      <c r="D59" s="93">
        <f t="shared" ref="D59:AF59" si="9">IFERROR(D58/D56,"N/A")</f>
        <v>9.44976076555024E-2</v>
      </c>
      <c r="E59" s="93">
        <f t="shared" si="9"/>
        <v>0.15173116089613034</v>
      </c>
      <c r="F59" s="93">
        <f t="shared" si="9"/>
        <v>0.17894736842105263</v>
      </c>
      <c r="G59" s="106">
        <f t="shared" si="9"/>
        <v>0.12868558831634061</v>
      </c>
      <c r="H59" s="93">
        <f t="shared" si="9"/>
        <v>0.14995034756703077</v>
      </c>
      <c r="I59" s="93">
        <f t="shared" si="9"/>
        <v>0.15517241379310345</v>
      </c>
      <c r="J59" s="93">
        <f t="shared" si="9"/>
        <v>0.16265640038498555</v>
      </c>
      <c r="K59" s="93">
        <f t="shared" si="9"/>
        <v>0.15291750503018106</v>
      </c>
      <c r="L59" s="106">
        <f t="shared" si="9"/>
        <v>0.15524093392945851</v>
      </c>
      <c r="M59" s="93">
        <f t="shared" si="9"/>
        <v>0.15458937198067632</v>
      </c>
      <c r="N59" s="93">
        <f t="shared" si="9"/>
        <v>0.15399802566633761</v>
      </c>
      <c r="O59" s="93">
        <f t="shared" si="9"/>
        <v>0.13817809621289662</v>
      </c>
      <c r="P59" s="93">
        <f t="shared" si="9"/>
        <v>0.1188212927756654</v>
      </c>
      <c r="Q59" s="93">
        <f t="shared" si="9"/>
        <v>0.141280353200883</v>
      </c>
      <c r="R59" s="93">
        <f t="shared" si="9"/>
        <v>7.8125E-2</v>
      </c>
      <c r="S59" s="93">
        <f t="shared" si="9"/>
        <v>2.5787965616045846E-2</v>
      </c>
      <c r="T59" s="93">
        <f t="shared" si="9"/>
        <v>6.3011972274732209E-2</v>
      </c>
      <c r="U59" s="93">
        <f t="shared" si="9"/>
        <v>5.6915949702183985E-2</v>
      </c>
      <c r="V59" s="93">
        <f t="shared" si="9"/>
        <v>5.6252117926126749E-2</v>
      </c>
      <c r="W59" s="93">
        <f t="shared" si="9"/>
        <v>7.4834037417018717E-2</v>
      </c>
      <c r="X59" s="93">
        <f t="shared" si="9"/>
        <v>8.1496325985303944E-2</v>
      </c>
      <c r="Y59" s="93">
        <f t="shared" si="9"/>
        <v>0.14332071389940507</v>
      </c>
      <c r="Z59" s="93">
        <f t="shared" si="9"/>
        <v>0.10459183673469388</v>
      </c>
      <c r="AA59" s="93">
        <f t="shared" si="9"/>
        <v>0.10282924026999857</v>
      </c>
      <c r="AB59" s="93">
        <f t="shared" si="9"/>
        <v>9.4879518072289157E-2</v>
      </c>
      <c r="AC59" s="93">
        <f t="shared" si="9"/>
        <v>9.2508798391151323E-2</v>
      </c>
      <c r="AD59" s="93">
        <f t="shared" si="9"/>
        <v>8.7783171521035597E-2</v>
      </c>
      <c r="AE59" s="93">
        <f t="shared" si="9"/>
        <v>2.8571428571428574E-2</v>
      </c>
      <c r="AF59" s="93">
        <f t="shared" si="9"/>
        <v>7.6586174242424254E-2</v>
      </c>
      <c r="AG59" s="93">
        <f>IFERROR(AG58/AG56,"N/A")</f>
        <v>5.6564608199273489E-2</v>
      </c>
      <c r="AH59" s="93">
        <f>IFERROR(AH58/AH56,"N/A")</f>
        <v>6.9375619425173438E-2</v>
      </c>
      <c r="AI59" s="93">
        <v>0.08</v>
      </c>
      <c r="AJ59" s="93">
        <v>7.4383896166484054E-2</v>
      </c>
      <c r="AK59" s="93">
        <v>6.9903134857547011E-2</v>
      </c>
      <c r="AL59" s="93">
        <v>-3.7999999999999999E-2</v>
      </c>
      <c r="AM59" s="93">
        <v>4.5999999999999999E-2</v>
      </c>
      <c r="AN59" s="93">
        <v>2.7999999999999997E-2</v>
      </c>
      <c r="AO59" s="93">
        <v>2.4E-2</v>
      </c>
      <c r="AP59" s="93">
        <v>1.7000000000000001E-2</v>
      </c>
      <c r="AQ59" s="93">
        <f>AQ58/AQ56</f>
        <v>6.5904505716207137E-2</v>
      </c>
      <c r="AR59" s="93">
        <f>AR58/AR56</f>
        <v>0.10130164119977363</v>
      </c>
      <c r="AS59" s="93">
        <v>9.812609618921006E-2</v>
      </c>
      <c r="AT59" s="93">
        <v>5.2999999999999999E-2</v>
      </c>
      <c r="AU59" s="93">
        <v>0.08</v>
      </c>
      <c r="AV59" s="93">
        <v>1.2E-2</v>
      </c>
      <c r="AW59" s="93">
        <v>4.5999999999999999E-2</v>
      </c>
      <c r="AX59" s="93">
        <v>0.124</v>
      </c>
      <c r="AY59" s="93">
        <v>8.6999999999999994E-2</v>
      </c>
      <c r="AZ59" s="94">
        <v>7.6999999999999999E-2</v>
      </c>
      <c r="BA59" s="94">
        <v>3.5999999999999997E-2</v>
      </c>
      <c r="BB59" s="94">
        <v>7.3999999999999996E-2</v>
      </c>
      <c r="BC59" s="94">
        <v>0.10100000000000001</v>
      </c>
      <c r="BD59" s="94">
        <v>4.3079293656965549E-2</v>
      </c>
      <c r="BE59" s="94">
        <v>6.3321230549148191E-2</v>
      </c>
      <c r="BF59" s="94">
        <v>4.1439415848677913E-2</v>
      </c>
    </row>
    <row r="60" spans="1:58" x14ac:dyDescent="0.25">
      <c r="A60" s="22"/>
      <c r="B60" s="6" t="s">
        <v>274</v>
      </c>
      <c r="C60" s="94">
        <f t="shared" ref="C60:AH60" si="10">C58/C$10</f>
        <v>0.13866666666666666</v>
      </c>
      <c r="D60" s="106">
        <f t="shared" si="10"/>
        <v>0.20256410256410257</v>
      </c>
      <c r="E60" s="106">
        <f t="shared" si="10"/>
        <v>0.33258928571428575</v>
      </c>
      <c r="F60" s="106">
        <f t="shared" si="10"/>
        <v>0.34629629629629627</v>
      </c>
      <c r="G60" s="106">
        <f t="shared" si="10"/>
        <v>0.26640045636052484</v>
      </c>
      <c r="H60" s="106">
        <f t="shared" si="10"/>
        <v>0.35034802784222735</v>
      </c>
      <c r="I60" s="106">
        <f t="shared" si="10"/>
        <v>0.33552631578947367</v>
      </c>
      <c r="J60" s="106">
        <f t="shared" si="10"/>
        <v>0.30395683453237404</v>
      </c>
      <c r="K60" s="106">
        <f t="shared" si="10"/>
        <v>0.27046263345195726</v>
      </c>
      <c r="L60" s="106">
        <f t="shared" si="10"/>
        <v>0.31187624750498999</v>
      </c>
      <c r="M60" s="106">
        <f t="shared" si="10"/>
        <v>0.3065134099616858</v>
      </c>
      <c r="N60" s="106">
        <f t="shared" si="10"/>
        <v>0.2662116040955631</v>
      </c>
      <c r="O60" s="106">
        <f t="shared" si="10"/>
        <v>0.24907749077490773</v>
      </c>
      <c r="P60" s="106">
        <f t="shared" si="10"/>
        <v>0.22202486678507993</v>
      </c>
      <c r="Q60" s="106">
        <f t="shared" si="10"/>
        <v>0.26028016267510168</v>
      </c>
      <c r="R60" s="106">
        <f t="shared" si="10"/>
        <v>0.22</v>
      </c>
      <c r="S60" s="106">
        <f t="shared" si="10"/>
        <v>8.9108910891089119E-2</v>
      </c>
      <c r="T60" s="106">
        <f t="shared" si="10"/>
        <v>0.1490312965722802</v>
      </c>
      <c r="U60" s="106">
        <f t="shared" si="10"/>
        <v>0.13169984686064318</v>
      </c>
      <c r="V60" s="106">
        <f t="shared" si="10"/>
        <v>0.14901256732495513</v>
      </c>
      <c r="W60" s="106">
        <f t="shared" si="10"/>
        <v>0.21946902654867256</v>
      </c>
      <c r="X60" s="106">
        <f t="shared" si="10"/>
        <v>0.21903052064631953</v>
      </c>
      <c r="Y60" s="106">
        <f t="shared" si="10"/>
        <v>0.3384418901660281</v>
      </c>
      <c r="Z60" s="106">
        <f t="shared" si="10"/>
        <v>0.26902887139107612</v>
      </c>
      <c r="AA60" s="106">
        <f t="shared" si="10"/>
        <v>0.26846644169478812</v>
      </c>
      <c r="AB60" s="106">
        <f t="shared" si="10"/>
        <v>0.27510917030567683</v>
      </c>
      <c r="AC60" s="106">
        <f t="shared" si="10"/>
        <v>0.24435590969455509</v>
      </c>
      <c r="AD60" s="106">
        <f t="shared" si="10"/>
        <v>0.26399026763990263</v>
      </c>
      <c r="AE60" s="106">
        <f t="shared" si="10"/>
        <v>7.0370370370370375E-2</v>
      </c>
      <c r="AF60" s="106">
        <f t="shared" si="10"/>
        <v>0.21061197916666669</v>
      </c>
      <c r="AG60" s="106">
        <f t="shared" si="10"/>
        <v>0.15774240231548484</v>
      </c>
      <c r="AH60" s="106">
        <f t="shared" si="10"/>
        <v>0.19525801952580193</v>
      </c>
      <c r="AI60" s="106">
        <v>0.19400000000000001</v>
      </c>
      <c r="AJ60" s="106">
        <v>0.21484251776762206</v>
      </c>
      <c r="AK60" s="106">
        <v>0.19000670346005086</v>
      </c>
      <c r="AL60" s="106">
        <v>-0.105</v>
      </c>
      <c r="AM60" s="106">
        <v>0.123</v>
      </c>
      <c r="AN60" s="106">
        <v>6.8000000000000005E-2</v>
      </c>
      <c r="AO60" s="106">
        <v>6.0999999999999999E-2</v>
      </c>
      <c r="AP60" s="106">
        <v>4.3999999999999997E-2</v>
      </c>
      <c r="AQ60" s="106">
        <f>AQ58/AQ10</f>
        <v>0.13424657534246576</v>
      </c>
      <c r="AR60" s="106">
        <f>AR58/AR10</f>
        <v>0.23216601815823606</v>
      </c>
      <c r="AS60" s="106">
        <v>0.24172380753647915</v>
      </c>
      <c r="AT60" s="106">
        <v>0.13500000000000001</v>
      </c>
      <c r="AU60" s="106">
        <v>0.188</v>
      </c>
      <c r="AV60" s="106">
        <v>3.1E-2</v>
      </c>
      <c r="AW60" s="106">
        <v>0.14299999999999999</v>
      </c>
      <c r="AX60" s="106">
        <v>0.38500000000000001</v>
      </c>
      <c r="AY60" s="106">
        <v>0.28999999999999998</v>
      </c>
      <c r="AZ60" s="94">
        <v>0.23300000000000001</v>
      </c>
      <c r="BA60" s="94">
        <v>0.14499999999999999</v>
      </c>
      <c r="BB60" s="94">
        <v>1</v>
      </c>
      <c r="BC60" s="94">
        <v>0.35399999999999998</v>
      </c>
      <c r="BD60" s="94">
        <v>0.23436174576418137</v>
      </c>
      <c r="BE60" s="94">
        <v>0.31827379217746316</v>
      </c>
      <c r="BF60" s="94">
        <v>0.16582045607687376</v>
      </c>
    </row>
    <row r="61" spans="1:58" x14ac:dyDescent="0.25">
      <c r="B61" s="5" t="s">
        <v>280</v>
      </c>
      <c r="C61" s="88">
        <v>33.200000000000003</v>
      </c>
      <c r="D61" s="88">
        <v>47.8</v>
      </c>
      <c r="E61" s="88">
        <v>44.6</v>
      </c>
      <c r="F61" s="88">
        <v>45.4</v>
      </c>
      <c r="G61" s="88">
        <v>171</v>
      </c>
      <c r="H61" s="88">
        <v>48.9</v>
      </c>
      <c r="I61" s="88">
        <v>44.7</v>
      </c>
      <c r="J61" s="88">
        <v>51</v>
      </c>
      <c r="K61" s="88">
        <v>41.3</v>
      </c>
      <c r="L61" s="88">
        <v>185.89999999999998</v>
      </c>
      <c r="M61" s="88">
        <v>49.3</v>
      </c>
      <c r="N61" s="88">
        <v>41.2</v>
      </c>
      <c r="O61" s="88">
        <v>37</v>
      </c>
      <c r="P61" s="88">
        <v>35.700000000000003</v>
      </c>
      <c r="Q61" s="88">
        <v>163.19999999999999</v>
      </c>
      <c r="R61" s="88">
        <v>35.1</v>
      </c>
      <c r="S61" s="88">
        <v>40.4</v>
      </c>
      <c r="T61" s="88">
        <v>43.8</v>
      </c>
      <c r="U61" s="88">
        <v>37</v>
      </c>
      <c r="V61" s="88">
        <v>156.30000000000001</v>
      </c>
      <c r="W61" s="88">
        <v>297.8</v>
      </c>
      <c r="X61" s="89">
        <v>230.1</v>
      </c>
      <c r="Y61" s="88">
        <v>193.2</v>
      </c>
      <c r="Z61" s="88">
        <v>172.7</v>
      </c>
      <c r="AA61" s="88">
        <v>893.8</v>
      </c>
      <c r="AB61" s="88">
        <v>166.9</v>
      </c>
      <c r="AC61" s="89">
        <v>100.5</v>
      </c>
      <c r="AD61" s="89">
        <v>148.19999999999999</v>
      </c>
      <c r="AE61" s="89">
        <v>102</v>
      </c>
      <c r="AF61" s="88">
        <v>517.6</v>
      </c>
      <c r="AG61" s="89">
        <v>93.7</v>
      </c>
      <c r="AH61" s="89">
        <v>103.7</v>
      </c>
      <c r="AI61" s="89">
        <v>103.3</v>
      </c>
      <c r="AJ61" s="89">
        <v>92.199999999999989</v>
      </c>
      <c r="AK61" s="90">
        <v>392.88899999999995</v>
      </c>
      <c r="AL61" s="89">
        <v>65.3</v>
      </c>
      <c r="AM61" s="89">
        <v>95.1</v>
      </c>
      <c r="AN61" s="89">
        <v>95.8</v>
      </c>
      <c r="AO61" s="89">
        <v>93.6</v>
      </c>
      <c r="AP61" s="89">
        <v>349.9</v>
      </c>
      <c r="AQ61" s="89">
        <v>84.5</v>
      </c>
      <c r="AR61" s="89">
        <v>83.6</v>
      </c>
      <c r="AS61" s="90">
        <v>92.319000000000003</v>
      </c>
      <c r="AT61" s="90">
        <v>92.8</v>
      </c>
      <c r="AU61" s="89">
        <v>353.4</v>
      </c>
      <c r="AV61" s="89">
        <v>74.8</v>
      </c>
      <c r="AW61" s="89">
        <v>74.8</v>
      </c>
      <c r="AX61" s="89">
        <v>78.400000000000006</v>
      </c>
      <c r="AY61" s="89">
        <v>98</v>
      </c>
      <c r="AZ61" s="89">
        <v>326.3</v>
      </c>
      <c r="BA61" s="89">
        <v>71.2</v>
      </c>
      <c r="BB61" s="90">
        <v>60</v>
      </c>
      <c r="BC61" s="90">
        <v>65.599999999999994</v>
      </c>
      <c r="BD61" s="90">
        <v>76.831446000000014</v>
      </c>
      <c r="BE61" s="90">
        <v>273.72416500000003</v>
      </c>
      <c r="BF61" s="90">
        <v>60.547815999999997</v>
      </c>
    </row>
    <row r="62" spans="1:58" x14ac:dyDescent="0.25">
      <c r="A62" s="22"/>
    </row>
    <row r="63" spans="1:58" x14ac:dyDescent="0.25">
      <c r="A63" s="22"/>
    </row>
    <row r="64" spans="1:58" x14ac:dyDescent="0.25">
      <c r="A64" s="22"/>
    </row>
    <row r="65" spans="1:1" x14ac:dyDescent="0.25">
      <c r="A65" s="22"/>
    </row>
    <row r="67" spans="1:1" x14ac:dyDescent="0.25">
      <c r="A67" s="22"/>
    </row>
    <row r="68" spans="1:1" x14ac:dyDescent="0.25">
      <c r="A68" s="22"/>
    </row>
    <row r="69" spans="1:1" x14ac:dyDescent="0.25">
      <c r="A69" s="22"/>
    </row>
    <row r="70" spans="1:1" x14ac:dyDescent="0.25">
      <c r="A70" s="22"/>
    </row>
    <row r="71" spans="1:1" x14ac:dyDescent="0.25">
      <c r="A71" s="22"/>
    </row>
    <row r="72" spans="1:1" x14ac:dyDescent="0.25">
      <c r="A72" s="22"/>
    </row>
    <row r="73" spans="1:1" x14ac:dyDescent="0.25">
      <c r="A73" s="22"/>
    </row>
    <row r="75" spans="1:1" x14ac:dyDescent="0.25">
      <c r="A75" s="22"/>
    </row>
    <row r="79" spans="1:1" x14ac:dyDescent="0.25">
      <c r="A79" s="22"/>
    </row>
    <row r="80" spans="1:1" x14ac:dyDescent="0.25">
      <c r="A80" s="22"/>
    </row>
    <row r="81" spans="1:1" x14ac:dyDescent="0.25">
      <c r="A81" s="22"/>
    </row>
    <row r="82" spans="1:1" x14ac:dyDescent="0.25">
      <c r="A82" s="22"/>
    </row>
    <row r="83" spans="1:1" x14ac:dyDescent="0.25">
      <c r="A83" s="22"/>
    </row>
    <row r="87" spans="1:1" x14ac:dyDescent="0.25">
      <c r="A87" s="22"/>
    </row>
    <row r="88" spans="1:1" x14ac:dyDescent="0.25">
      <c r="A88" s="22"/>
    </row>
    <row r="89" spans="1:1" x14ac:dyDescent="0.25">
      <c r="A89" s="22"/>
    </row>
    <row r="90" spans="1:1" x14ac:dyDescent="0.25">
      <c r="A90" s="22"/>
    </row>
    <row r="91" spans="1:1" x14ac:dyDescent="0.25">
      <c r="A91" s="22"/>
    </row>
  </sheetData>
  <pageMargins left="0" right="0" top="0" bottom="0" header="0" footer="0"/>
  <pageSetup paperSize="9" scale="4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2">
    <pageSetUpPr fitToPage="1"/>
  </sheetPr>
  <dimension ref="A1:AH106"/>
  <sheetViews>
    <sheetView showGridLines="0" zoomScale="60" zoomScaleNormal="60" workbookViewId="0">
      <pane xSplit="2" ySplit="7" topLeftCell="R8" activePane="bottomRight" state="frozen"/>
      <selection activeCell="R26" sqref="R26"/>
      <selection pane="topRight" activeCell="R26" sqref="R26"/>
      <selection pane="bottomLeft" activeCell="R26" sqref="R26"/>
      <selection pane="bottomRight"/>
    </sheetView>
  </sheetViews>
  <sheetFormatPr defaultRowHeight="15" outlineLevelCol="1" x14ac:dyDescent="0.25"/>
  <cols>
    <col min="1" max="1" width="1.5703125" style="1" customWidth="1"/>
    <col min="2" max="2" width="42.28515625" style="30" bestFit="1" customWidth="1"/>
    <col min="3" max="6" width="9.140625" style="6" customWidth="1" outlineLevel="1"/>
    <col min="7" max="7" width="9.140625" style="6" customWidth="1"/>
    <col min="8" max="11" width="9.140625" style="6" customWidth="1" outlineLevel="1"/>
    <col min="12" max="12" width="9.140625" style="6" customWidth="1"/>
    <col min="13" max="16" width="9.140625" style="6" customWidth="1" outlineLevel="1"/>
    <col min="17" max="17" width="9.140625" style="6" customWidth="1"/>
    <col min="18" max="21" width="9.7109375" customWidth="1" outlineLevel="1"/>
    <col min="22" max="22" width="10.140625" bestFit="1" customWidth="1"/>
    <col min="23" max="26" width="9.7109375" customWidth="1" outlineLevel="1"/>
    <col min="27" max="29" width="9.7109375" bestFit="1" customWidth="1"/>
    <col min="30" max="30" width="9.5703125" bestFit="1" customWidth="1"/>
    <col min="33" max="33" width="11.7109375" bestFit="1" customWidth="1"/>
  </cols>
  <sheetData>
    <row r="1" spans="1:34" s="22" customFormat="1" ht="8.25" customHeight="1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34" x14ac:dyDescent="0.25">
      <c r="A2" s="22"/>
    </row>
    <row r="3" spans="1:34" x14ac:dyDescent="0.25">
      <c r="A3" s="22"/>
    </row>
    <row r="4" spans="1:34" x14ac:dyDescent="0.25">
      <c r="A4" s="22"/>
    </row>
    <row r="5" spans="1:34" x14ac:dyDescent="0.25">
      <c r="A5" s="22"/>
    </row>
    <row r="6" spans="1:34" x14ac:dyDescent="0.25">
      <c r="A6" s="22"/>
    </row>
    <row r="7" spans="1:34" ht="18" customHeight="1" x14ac:dyDescent="0.25">
      <c r="A7" s="22"/>
      <c r="B7" s="84" t="s">
        <v>285</v>
      </c>
      <c r="C7" s="85" t="s">
        <v>69</v>
      </c>
      <c r="D7" s="85" t="s">
        <v>70</v>
      </c>
      <c r="E7" s="85" t="s">
        <v>72</v>
      </c>
      <c r="F7" s="85" t="s">
        <v>73</v>
      </c>
      <c r="G7" s="85">
        <v>2016</v>
      </c>
      <c r="H7" s="85" t="s">
        <v>74</v>
      </c>
      <c r="I7" s="85" t="s">
        <v>75</v>
      </c>
      <c r="J7" s="85" t="s">
        <v>77</v>
      </c>
      <c r="K7" s="85" t="s">
        <v>79</v>
      </c>
      <c r="L7" s="85">
        <v>2017</v>
      </c>
      <c r="M7" s="85" t="s">
        <v>80</v>
      </c>
      <c r="N7" s="85" t="s">
        <v>81</v>
      </c>
      <c r="O7" s="85" t="s">
        <v>82</v>
      </c>
      <c r="P7" s="85" t="s">
        <v>84</v>
      </c>
      <c r="Q7" s="85">
        <v>2018</v>
      </c>
      <c r="R7" s="85" t="s">
        <v>244</v>
      </c>
      <c r="S7" s="85" t="s">
        <v>245</v>
      </c>
      <c r="T7" s="85" t="s">
        <v>246</v>
      </c>
      <c r="U7" s="85" t="s">
        <v>247</v>
      </c>
      <c r="V7" s="85" t="s">
        <v>126</v>
      </c>
      <c r="W7" s="85" t="s">
        <v>248</v>
      </c>
      <c r="X7" s="85" t="s">
        <v>249</v>
      </c>
      <c r="Y7" s="85" t="s">
        <v>250</v>
      </c>
      <c r="Z7" s="85" t="s">
        <v>251</v>
      </c>
      <c r="AA7" s="85" t="s">
        <v>252</v>
      </c>
      <c r="AB7" s="85" t="s">
        <v>253</v>
      </c>
      <c r="AC7" s="85" t="s">
        <v>286</v>
      </c>
      <c r="AD7" s="85" t="s">
        <v>287</v>
      </c>
      <c r="AE7" s="85" t="s">
        <v>288</v>
      </c>
      <c r="AF7" s="85" t="s">
        <v>289</v>
      </c>
      <c r="AG7" s="85" t="s">
        <v>290</v>
      </c>
    </row>
    <row r="8" spans="1:34" x14ac:dyDescent="0.25">
      <c r="A8" s="22"/>
      <c r="C8" s="40"/>
      <c r="D8" s="40"/>
      <c r="E8" s="40"/>
      <c r="F8" s="113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114"/>
      <c r="S8" s="114"/>
      <c r="T8" s="114"/>
      <c r="U8" s="114"/>
      <c r="V8" s="40"/>
      <c r="W8" s="114"/>
      <c r="X8" s="114"/>
      <c r="Y8" s="114"/>
      <c r="Z8" s="114"/>
      <c r="AA8" s="115"/>
    </row>
    <row r="9" spans="1:34" x14ac:dyDescent="0.25">
      <c r="B9" s="86" t="s">
        <v>254</v>
      </c>
      <c r="C9" s="88">
        <v>443.1</v>
      </c>
      <c r="D9" s="88">
        <v>437.8</v>
      </c>
      <c r="E9" s="88">
        <v>425.9</v>
      </c>
      <c r="F9" s="88">
        <v>417.020783255688</v>
      </c>
      <c r="G9" s="88">
        <v>1723.820783255688</v>
      </c>
      <c r="H9" s="88">
        <v>358.5</v>
      </c>
      <c r="I9" s="88">
        <v>391.9</v>
      </c>
      <c r="J9" s="89">
        <v>412.1</v>
      </c>
      <c r="K9" s="90">
        <v>411.9</v>
      </c>
      <c r="L9" s="88">
        <v>1574.4</v>
      </c>
      <c r="M9" s="90">
        <v>386.3</v>
      </c>
      <c r="N9" s="90">
        <v>421.9</v>
      </c>
      <c r="O9" s="90">
        <v>478.85129633285499</v>
      </c>
      <c r="P9" s="90">
        <v>447.3</v>
      </c>
      <c r="Q9" s="88">
        <v>1734.3</v>
      </c>
      <c r="R9" s="90">
        <v>426.8</v>
      </c>
      <c r="S9" s="90">
        <v>463.3</v>
      </c>
      <c r="T9" s="90">
        <v>569</v>
      </c>
      <c r="U9" s="90">
        <v>548.79999999999995</v>
      </c>
      <c r="V9" s="91">
        <v>2008</v>
      </c>
      <c r="W9" s="90">
        <v>463.7</v>
      </c>
      <c r="X9" s="90">
        <v>414.6</v>
      </c>
      <c r="Y9" s="90">
        <v>522.1</v>
      </c>
      <c r="Z9" s="90">
        <v>538.70000000000005</v>
      </c>
      <c r="AA9" s="90">
        <v>1939.0525060142459</v>
      </c>
      <c r="AB9" s="90">
        <v>489.7</v>
      </c>
      <c r="AC9" s="90">
        <v>541.12116090000006</v>
      </c>
      <c r="AD9" s="90">
        <v>583.42600000000004</v>
      </c>
      <c r="AE9" s="90">
        <v>583.70000000000005</v>
      </c>
      <c r="AF9" s="90">
        <f>SUM(AB9:AE9)</f>
        <v>2197.9471609000002</v>
      </c>
      <c r="AG9" s="90">
        <v>579.70000000000005</v>
      </c>
    </row>
    <row r="10" spans="1:34" x14ac:dyDescent="0.25">
      <c r="A10" s="22"/>
      <c r="B10" s="86" t="s">
        <v>267</v>
      </c>
      <c r="C10" s="89">
        <v>69.099999999999994</v>
      </c>
      <c r="D10" s="89">
        <v>71.7</v>
      </c>
      <c r="E10" s="89">
        <v>75.3</v>
      </c>
      <c r="F10" s="90">
        <v>62.830580000000005</v>
      </c>
      <c r="G10" s="90">
        <v>278.93058000000002</v>
      </c>
      <c r="H10" s="89">
        <v>50.4</v>
      </c>
      <c r="I10" s="89">
        <v>60.3</v>
      </c>
      <c r="J10" s="89">
        <v>69.2</v>
      </c>
      <c r="K10" s="90">
        <v>66.099999999999994</v>
      </c>
      <c r="L10" s="90">
        <v>245.9</v>
      </c>
      <c r="M10" s="90">
        <v>73</v>
      </c>
      <c r="N10" s="90">
        <v>77.099999999999994</v>
      </c>
      <c r="O10" s="90">
        <v>81.054721252097153</v>
      </c>
      <c r="P10" s="90">
        <v>73.8</v>
      </c>
      <c r="Q10" s="90">
        <f>SUM(M10:P10)</f>
        <v>304.95472125209716</v>
      </c>
      <c r="R10" s="90">
        <v>67.099999999999994</v>
      </c>
      <c r="S10" s="90">
        <v>63.6</v>
      </c>
      <c r="T10" s="90">
        <v>97.6</v>
      </c>
      <c r="U10" s="90">
        <v>80.7</v>
      </c>
      <c r="V10" s="90">
        <v>309</v>
      </c>
      <c r="W10" s="90">
        <v>60.2</v>
      </c>
      <c r="X10" s="90">
        <v>17.5</v>
      </c>
      <c r="Y10" s="90">
        <v>74.5</v>
      </c>
      <c r="Z10" s="90">
        <v>50.409878981954193</v>
      </c>
      <c r="AA10" s="90">
        <v>202.4759443255445</v>
      </c>
      <c r="AB10" s="90">
        <v>60.985584242211402</v>
      </c>
      <c r="AC10" s="90">
        <v>73.400000000000006</v>
      </c>
      <c r="AD10" s="90">
        <v>98.5</v>
      </c>
      <c r="AE10" s="90">
        <v>101.60169911300167</v>
      </c>
      <c r="AF10" s="90">
        <f>SUM(AB10:AE10)</f>
        <v>334.48728335521309</v>
      </c>
      <c r="AG10" s="90">
        <v>102.94370608308081</v>
      </c>
    </row>
    <row r="11" spans="1:34" x14ac:dyDescent="0.25">
      <c r="A11" s="22"/>
      <c r="B11" s="92" t="s">
        <v>256</v>
      </c>
      <c r="C11" s="93">
        <f>C10/C9</f>
        <v>0.1559467388851275</v>
      </c>
      <c r="D11" s="93">
        <f>D10/D9</f>
        <v>0.16377341251713112</v>
      </c>
      <c r="E11" s="93">
        <f>E10/E9</f>
        <v>0.17680206621272598</v>
      </c>
      <c r="F11" s="93">
        <f t="shared" ref="F11:P11" si="0">F10/F9</f>
        <v>0.15066534456503738</v>
      </c>
      <c r="G11" s="93">
        <f t="shared" si="0"/>
        <v>0.16180950056374119</v>
      </c>
      <c r="H11" s="93">
        <f t="shared" si="0"/>
        <v>0.14058577405857739</v>
      </c>
      <c r="I11" s="93">
        <f t="shared" si="0"/>
        <v>0.15386578208726717</v>
      </c>
      <c r="J11" s="93">
        <f t="shared" si="0"/>
        <v>0.16792040766804173</v>
      </c>
      <c r="K11" s="93">
        <f t="shared" si="0"/>
        <v>0.16047584365137169</v>
      </c>
      <c r="L11" s="93">
        <f t="shared" si="0"/>
        <v>0.1561864837398374</v>
      </c>
      <c r="M11" s="93">
        <f t="shared" si="0"/>
        <v>0.18897230132021745</v>
      </c>
      <c r="N11" s="93">
        <f>N10/N9</f>
        <v>0.18274472623844512</v>
      </c>
      <c r="O11" s="93">
        <f t="shared" si="0"/>
        <v>0.16926908598312554</v>
      </c>
      <c r="P11" s="93">
        <f t="shared" si="0"/>
        <v>0.16498993963782696</v>
      </c>
      <c r="Q11" s="93">
        <f>Q10/Q9</f>
        <v>0.17583735296782399</v>
      </c>
      <c r="R11" s="93">
        <v>0.157</v>
      </c>
      <c r="S11" s="93">
        <v>0.13700000000000001</v>
      </c>
      <c r="T11" s="93">
        <v>0.17199999999999999</v>
      </c>
      <c r="U11" s="93">
        <v>0.14699999999999999</v>
      </c>
      <c r="V11" s="93">
        <v>0.154</v>
      </c>
      <c r="W11" s="93">
        <v>0.13</v>
      </c>
      <c r="X11" s="93">
        <v>4.2000000000000003E-2</v>
      </c>
      <c r="Y11" s="93">
        <v>0.14299999999999999</v>
      </c>
      <c r="Z11" s="93">
        <v>9.3585156328263683E-2</v>
      </c>
      <c r="AA11" s="93">
        <v>0.10442004210692422</v>
      </c>
      <c r="AB11" s="93">
        <v>0.12453662291650276</v>
      </c>
      <c r="AC11" s="93">
        <v>0.16087501287167594</v>
      </c>
      <c r="AD11" s="93">
        <v>0.16883032295441067</v>
      </c>
      <c r="AE11" s="93">
        <v>0.17406492909542859</v>
      </c>
      <c r="AF11" s="93">
        <f>AF10/AF9</f>
        <v>0.15218167629573476</v>
      </c>
      <c r="AG11" s="93">
        <v>0.17758100066082594</v>
      </c>
      <c r="AH11" s="116"/>
    </row>
    <row r="12" spans="1:34" x14ac:dyDescent="0.25">
      <c r="A12" s="22"/>
      <c r="B12" s="86" t="s">
        <v>291</v>
      </c>
      <c r="C12" s="89">
        <v>11.8</v>
      </c>
      <c r="D12" s="89">
        <v>-1.4</v>
      </c>
      <c r="E12" s="90">
        <v>50</v>
      </c>
      <c r="F12" s="90">
        <v>27.899999999999974</v>
      </c>
      <c r="G12" s="90">
        <v>88.300000000000168</v>
      </c>
      <c r="H12" s="90">
        <v>7.6</v>
      </c>
      <c r="I12" s="90">
        <v>3.2</v>
      </c>
      <c r="J12" s="90">
        <v>15.8</v>
      </c>
      <c r="K12" s="90">
        <v>1.1000000000000001</v>
      </c>
      <c r="L12" s="90">
        <v>27.7</v>
      </c>
      <c r="M12" s="90">
        <v>19.7</v>
      </c>
      <c r="N12" s="90">
        <v>13.5</v>
      </c>
      <c r="O12" s="90">
        <v>23.8</v>
      </c>
      <c r="P12" s="90">
        <v>43.1</v>
      </c>
      <c r="Q12" s="90">
        <v>100.1</v>
      </c>
      <c r="R12" s="90">
        <v>13.7</v>
      </c>
      <c r="S12" s="90">
        <v>6.3</v>
      </c>
      <c r="T12" s="90">
        <v>31.7</v>
      </c>
      <c r="U12" s="90">
        <v>35.5</v>
      </c>
      <c r="V12" s="90">
        <v>87.2</v>
      </c>
      <c r="W12" s="90">
        <v>2.1</v>
      </c>
      <c r="X12" s="90">
        <v>-148.1</v>
      </c>
      <c r="Y12" s="90">
        <v>-2.4</v>
      </c>
      <c r="Z12" s="90">
        <v>-54</v>
      </c>
      <c r="AA12" s="90">
        <v>-202.39999999999998</v>
      </c>
      <c r="AB12" s="90">
        <v>-5</v>
      </c>
      <c r="AC12" s="90">
        <v>-17.600000000000001</v>
      </c>
      <c r="AD12" s="90">
        <v>52.258000000000003</v>
      </c>
      <c r="AE12" s="90">
        <v>30</v>
      </c>
      <c r="AF12" s="90">
        <f>SUM(AB12:AE12)</f>
        <v>59.658000000000001</v>
      </c>
      <c r="AG12" s="90">
        <v>-18.100000000000001</v>
      </c>
    </row>
    <row r="13" spans="1:34" x14ac:dyDescent="0.25">
      <c r="A13" s="22"/>
      <c r="B13" s="92" t="s">
        <v>256</v>
      </c>
      <c r="C13" s="93">
        <v>2.7000000000000003E-2</v>
      </c>
      <c r="D13" s="93">
        <v>-3.0000000000000001E-3</v>
      </c>
      <c r="E13" s="93">
        <v>0.11700000000000001</v>
      </c>
      <c r="F13" s="93">
        <v>6.6903140371528308E-2</v>
      </c>
      <c r="G13" s="93">
        <v>5.1223422328876139E-2</v>
      </c>
      <c r="H13" s="93">
        <v>2.1000000000000001E-2</v>
      </c>
      <c r="I13" s="93">
        <v>8.0000000000000002E-3</v>
      </c>
      <c r="J13" s="93">
        <v>3.8</v>
      </c>
      <c r="K13" s="93">
        <v>3.0000000000000001E-3</v>
      </c>
      <c r="L13" s="93">
        <v>1.7999999999999999E-2</v>
      </c>
      <c r="M13" s="93">
        <v>5.0999999999999997E-2</v>
      </c>
      <c r="N13" s="93">
        <v>3.2000000000000001E-2</v>
      </c>
      <c r="O13" s="93">
        <v>0.05</v>
      </c>
      <c r="P13" s="93">
        <v>9.6000000000000002E-2</v>
      </c>
      <c r="Q13" s="93">
        <v>5.8000000000000003E-2</v>
      </c>
      <c r="R13" s="93">
        <v>3.2000000000000001E-2</v>
      </c>
      <c r="S13" s="93">
        <v>1.4E-2</v>
      </c>
      <c r="T13" s="93">
        <v>5.6000000000000001E-2</v>
      </c>
      <c r="U13" s="93">
        <v>6.5000000000000002E-2</v>
      </c>
      <c r="V13" s="93">
        <v>4.2999999999999997E-2</v>
      </c>
      <c r="W13" s="96">
        <f>W12/W9</f>
        <v>4.5287901660556401E-3</v>
      </c>
      <c r="X13" s="96">
        <v>-0.35699999999999998</v>
      </c>
      <c r="Y13" s="96">
        <v>-5.0000000000000001E-3</v>
      </c>
      <c r="Z13" s="96">
        <f t="shared" ref="Z13:AG13" si="1">Z12/Z9</f>
        <v>-0.10024132170038982</v>
      </c>
      <c r="AA13" s="96">
        <f t="shared" si="1"/>
        <v>-0.10438087641888383</v>
      </c>
      <c r="AB13" s="96">
        <f t="shared" si="1"/>
        <v>-1.0210332856851134E-2</v>
      </c>
      <c r="AC13" s="117">
        <f t="shared" si="1"/>
        <v>-3.2525063279224643E-2</v>
      </c>
      <c r="AD13" s="117">
        <v>8.9570913877681138E-2</v>
      </c>
      <c r="AE13" s="117">
        <f t="shared" si="1"/>
        <v>5.1396265204728453E-2</v>
      </c>
      <c r="AF13" s="117">
        <f t="shared" si="1"/>
        <v>2.7142599722721112E-2</v>
      </c>
      <c r="AG13" s="117">
        <f t="shared" si="1"/>
        <v>-3.1223046403312058E-2</v>
      </c>
    </row>
    <row r="14" spans="1:34" x14ac:dyDescent="0.25">
      <c r="A14" s="22"/>
      <c r="B14" s="86" t="s">
        <v>292</v>
      </c>
      <c r="C14" s="90">
        <f t="shared" ref="C14:AB14" si="2">C9-C10</f>
        <v>374</v>
      </c>
      <c r="D14" s="90">
        <f t="shared" si="2"/>
        <v>366.1</v>
      </c>
      <c r="E14" s="90">
        <f t="shared" si="2"/>
        <v>350.59999999999997</v>
      </c>
      <c r="F14" s="90">
        <f t="shared" si="2"/>
        <v>354.190203255688</v>
      </c>
      <c r="G14" s="90">
        <f t="shared" si="2"/>
        <v>1444.890203255688</v>
      </c>
      <c r="H14" s="90">
        <f t="shared" si="2"/>
        <v>308.10000000000002</v>
      </c>
      <c r="I14" s="90">
        <f t="shared" si="2"/>
        <v>331.59999999999997</v>
      </c>
      <c r="J14" s="90">
        <f t="shared" si="2"/>
        <v>342.90000000000003</v>
      </c>
      <c r="K14" s="90">
        <f t="shared" si="2"/>
        <v>345.79999999999995</v>
      </c>
      <c r="L14" s="90">
        <f t="shared" si="2"/>
        <v>1328.5</v>
      </c>
      <c r="M14" s="90">
        <f t="shared" si="2"/>
        <v>313.3</v>
      </c>
      <c r="N14" s="90">
        <f t="shared" si="2"/>
        <v>344.79999999999995</v>
      </c>
      <c r="O14" s="90">
        <f t="shared" si="2"/>
        <v>397.79657508075786</v>
      </c>
      <c r="P14" s="90">
        <f t="shared" si="2"/>
        <v>373.5</v>
      </c>
      <c r="Q14" s="90">
        <f t="shared" si="2"/>
        <v>1429.3452787479027</v>
      </c>
      <c r="R14" s="90">
        <f t="shared" si="2"/>
        <v>359.70000000000005</v>
      </c>
      <c r="S14" s="90">
        <f t="shared" si="2"/>
        <v>399.7</v>
      </c>
      <c r="T14" s="90">
        <f t="shared" si="2"/>
        <v>471.4</v>
      </c>
      <c r="U14" s="90">
        <f t="shared" si="2"/>
        <v>468.09999999999997</v>
      </c>
      <c r="V14" s="90">
        <f t="shared" si="2"/>
        <v>1699</v>
      </c>
      <c r="W14" s="90">
        <f t="shared" si="2"/>
        <v>403.5</v>
      </c>
      <c r="X14" s="90">
        <f t="shared" si="2"/>
        <v>397.1</v>
      </c>
      <c r="Y14" s="90">
        <f t="shared" si="2"/>
        <v>447.6</v>
      </c>
      <c r="Z14" s="90">
        <f t="shared" si="2"/>
        <v>488.29012101804585</v>
      </c>
      <c r="AA14" s="90">
        <f t="shared" si="2"/>
        <v>1736.5765616887013</v>
      </c>
      <c r="AB14" s="90">
        <f t="shared" si="2"/>
        <v>428.71441575778857</v>
      </c>
      <c r="AC14" s="90">
        <f>AC9-AC10</f>
        <v>467.72116090000009</v>
      </c>
      <c r="AD14" s="90">
        <v>484.92600000000004</v>
      </c>
      <c r="AE14" s="90">
        <f>AE9-AE10</f>
        <v>482.09830088699835</v>
      </c>
      <c r="AF14" s="90">
        <f>SUM(AB14:AE14)</f>
        <v>1863.4598775447871</v>
      </c>
      <c r="AG14" s="90">
        <f>AG9-AG10</f>
        <v>476.75629391691922</v>
      </c>
    </row>
    <row r="15" spans="1:34" x14ac:dyDescent="0.25">
      <c r="A15" s="22"/>
    </row>
    <row r="16" spans="1:34" x14ac:dyDescent="0.25">
      <c r="A16" s="22"/>
      <c r="B16" s="86" t="s">
        <v>258</v>
      </c>
    </row>
    <row r="17" spans="1:33" x14ac:dyDescent="0.25">
      <c r="A17" s="22"/>
      <c r="B17" s="86" t="s">
        <v>259</v>
      </c>
      <c r="C17" s="89">
        <v>11.8</v>
      </c>
      <c r="D17" s="89">
        <v>-1.4</v>
      </c>
      <c r="E17" s="90">
        <v>50</v>
      </c>
      <c r="F17" s="89">
        <v>27.899999999999974</v>
      </c>
      <c r="G17" s="89">
        <v>88.300000000000168</v>
      </c>
      <c r="H17" s="89">
        <v>7.6</v>
      </c>
      <c r="I17" s="89">
        <v>3.2</v>
      </c>
      <c r="J17" s="89">
        <v>15.8</v>
      </c>
      <c r="K17" s="89">
        <v>1.1000000000000001</v>
      </c>
      <c r="L17" s="89">
        <v>27.700000000000003</v>
      </c>
      <c r="M17" s="89">
        <v>19.7</v>
      </c>
      <c r="N17" s="89">
        <v>13.5</v>
      </c>
      <c r="O17" s="89">
        <v>23.8</v>
      </c>
      <c r="P17" s="89">
        <v>43.1</v>
      </c>
      <c r="Q17" s="89">
        <v>100.1</v>
      </c>
      <c r="R17" s="89">
        <v>13.7</v>
      </c>
      <c r="S17" s="89">
        <v>6.3</v>
      </c>
      <c r="T17" s="89">
        <v>31.7</v>
      </c>
      <c r="U17" s="89">
        <v>2.6</v>
      </c>
      <c r="V17" s="89">
        <v>54.3</v>
      </c>
      <c r="W17" s="89">
        <v>2.1</v>
      </c>
      <c r="X17" s="89">
        <v>-148.1</v>
      </c>
      <c r="Y17" s="89">
        <v>-2.4</v>
      </c>
      <c r="Z17" s="90">
        <v>-54</v>
      </c>
      <c r="AA17" s="89">
        <v>-202.4</v>
      </c>
      <c r="AB17" s="89">
        <v>-5</v>
      </c>
      <c r="AC17" s="90">
        <f>AC12</f>
        <v>-17.600000000000001</v>
      </c>
      <c r="AD17" s="90">
        <v>52.258000000000003</v>
      </c>
      <c r="AE17" s="90">
        <f>AE12</f>
        <v>30</v>
      </c>
      <c r="AF17" s="90">
        <f>AF12</f>
        <v>59.658000000000001</v>
      </c>
      <c r="AG17" s="90">
        <f>AG12</f>
        <v>-18.100000000000001</v>
      </c>
    </row>
    <row r="18" spans="1:33" x14ac:dyDescent="0.25">
      <c r="A18" s="22"/>
      <c r="B18" s="30" t="s">
        <v>260</v>
      </c>
      <c r="C18" s="97">
        <v>0</v>
      </c>
      <c r="D18" s="97">
        <v>-0.2</v>
      </c>
      <c r="E18" s="97">
        <v>0.1</v>
      </c>
      <c r="F18" s="32">
        <v>-5</v>
      </c>
      <c r="G18" s="32">
        <v>20.999999999999993</v>
      </c>
      <c r="H18" s="97">
        <v>0.4</v>
      </c>
      <c r="I18" s="97">
        <v>0.3</v>
      </c>
      <c r="J18" s="97">
        <v>-0.4</v>
      </c>
      <c r="K18" s="97">
        <v>-0.1</v>
      </c>
      <c r="L18" s="97">
        <v>9.9999999999999922E-2</v>
      </c>
      <c r="M18" s="97">
        <v>0.6</v>
      </c>
      <c r="N18" s="97">
        <v>0</v>
      </c>
      <c r="O18" s="97">
        <v>0.4</v>
      </c>
      <c r="P18" s="97">
        <v>-1</v>
      </c>
      <c r="Q18" s="97">
        <v>0</v>
      </c>
      <c r="R18" s="97">
        <v>0.4</v>
      </c>
      <c r="S18" s="97">
        <v>0.6</v>
      </c>
      <c r="T18" s="97">
        <v>0.9</v>
      </c>
      <c r="U18" s="97">
        <v>-2.5</v>
      </c>
      <c r="V18" s="97">
        <v>-0.6</v>
      </c>
      <c r="W18" s="97">
        <v>-1.1000000000000001</v>
      </c>
      <c r="X18" s="97">
        <v>0</v>
      </c>
      <c r="Y18" s="97">
        <v>2</v>
      </c>
      <c r="Z18" s="97">
        <v>-0.1</v>
      </c>
      <c r="AA18" s="97">
        <v>0.79999999999999993</v>
      </c>
      <c r="AB18" s="97">
        <v>2.2000000000000002</v>
      </c>
      <c r="AC18" s="97">
        <v>-0.7</v>
      </c>
      <c r="AD18" s="97">
        <v>0.46164000000013039</v>
      </c>
      <c r="AE18" s="97">
        <v>-3.9</v>
      </c>
      <c r="AF18" s="97">
        <f>SUM(AB18:AE18)</f>
        <v>-1.9383599999998693</v>
      </c>
      <c r="AG18" s="97">
        <v>1.6</v>
      </c>
    </row>
    <row r="19" spans="1:33" x14ac:dyDescent="0.25">
      <c r="A19" s="22"/>
      <c r="B19" s="30" t="s">
        <v>261</v>
      </c>
      <c r="C19" s="97">
        <v>7.3</v>
      </c>
      <c r="D19" s="97">
        <v>-2.1</v>
      </c>
      <c r="E19" s="97">
        <v>20.8</v>
      </c>
      <c r="F19" s="32">
        <v>0.3</v>
      </c>
      <c r="G19" s="32">
        <v>9.999999999999995E-2</v>
      </c>
      <c r="H19" s="97">
        <v>-0.8</v>
      </c>
      <c r="I19" s="97">
        <v>4.3</v>
      </c>
      <c r="J19" s="97">
        <v>10.199999999999999</v>
      </c>
      <c r="K19" s="97">
        <v>22.9</v>
      </c>
      <c r="L19" s="97">
        <v>36.6</v>
      </c>
      <c r="M19" s="97">
        <v>11.9</v>
      </c>
      <c r="N19" s="97">
        <v>9.4</v>
      </c>
      <c r="O19" s="97">
        <v>11.2</v>
      </c>
      <c r="P19" s="97">
        <v>-6.2</v>
      </c>
      <c r="Q19" s="97">
        <v>26.3</v>
      </c>
      <c r="R19" s="97">
        <v>8.9</v>
      </c>
      <c r="S19" s="97">
        <v>5</v>
      </c>
      <c r="T19" s="97">
        <v>11.9</v>
      </c>
      <c r="U19" s="97">
        <v>-9.6999999999999993</v>
      </c>
      <c r="V19" s="97">
        <v>16.100000000000001</v>
      </c>
      <c r="W19" s="97">
        <v>7.4</v>
      </c>
      <c r="X19" s="97">
        <v>-10.9</v>
      </c>
      <c r="Y19" s="97">
        <v>-2.4</v>
      </c>
      <c r="Z19" s="97">
        <v>13.100000000000001</v>
      </c>
      <c r="AA19" s="97">
        <v>7.2000000000000011</v>
      </c>
      <c r="AB19" s="97">
        <v>4.3</v>
      </c>
      <c r="AC19" s="97">
        <v>-4.3999999999999995</v>
      </c>
      <c r="AD19" s="97">
        <v>6.0449999999999999</v>
      </c>
      <c r="AE19" s="97">
        <v>3.8000000000000003</v>
      </c>
      <c r="AF19" s="97">
        <f t="shared" ref="AF19:AF25" si="3">SUM(AB19:AE19)</f>
        <v>9.745000000000001</v>
      </c>
      <c r="AG19" s="97">
        <v>-7.9</v>
      </c>
    </row>
    <row r="20" spans="1:33" x14ac:dyDescent="0.25">
      <c r="A20" s="22"/>
      <c r="B20" s="30" t="s">
        <v>262</v>
      </c>
      <c r="C20" s="97">
        <v>19.100000000000001</v>
      </c>
      <c r="D20" s="97">
        <v>9.1</v>
      </c>
      <c r="E20" s="97">
        <v>12.1</v>
      </c>
      <c r="F20" s="32">
        <v>5.5</v>
      </c>
      <c r="G20" s="32">
        <v>45.800000000000004</v>
      </c>
      <c r="H20" s="97">
        <v>1.9</v>
      </c>
      <c r="I20" s="97">
        <v>14.1</v>
      </c>
      <c r="J20" s="97">
        <v>7.9</v>
      </c>
      <c r="K20" s="97">
        <v>5.3</v>
      </c>
      <c r="L20" s="97">
        <v>29.200000000000003</v>
      </c>
      <c r="M20" s="97">
        <v>4.5</v>
      </c>
      <c r="N20" s="97">
        <v>14.1</v>
      </c>
      <c r="O20" s="97">
        <v>14.1</v>
      </c>
      <c r="P20" s="97">
        <v>-5.6</v>
      </c>
      <c r="Q20" s="97">
        <v>26.2</v>
      </c>
      <c r="R20" s="97">
        <v>10.7</v>
      </c>
      <c r="S20" s="97">
        <v>18</v>
      </c>
      <c r="T20" s="97">
        <v>16.3</v>
      </c>
      <c r="U20" s="97">
        <v>15.5</v>
      </c>
      <c r="V20" s="97">
        <v>60.6</v>
      </c>
      <c r="W20" s="97">
        <v>24</v>
      </c>
      <c r="X20" s="97">
        <v>10.999999999999996</v>
      </c>
      <c r="Y20" s="97">
        <v>33.1</v>
      </c>
      <c r="Z20" s="97">
        <v>16.999999999999996</v>
      </c>
      <c r="AA20" s="97">
        <v>85.1</v>
      </c>
      <c r="AB20" s="97">
        <v>18.599999999999998</v>
      </c>
      <c r="AC20" s="97">
        <v>31.6</v>
      </c>
      <c r="AD20" s="97">
        <v>-1.0899999999999963</v>
      </c>
      <c r="AE20" s="97">
        <v>19.100000000000001</v>
      </c>
      <c r="AF20" s="97">
        <f t="shared" si="3"/>
        <v>68.210000000000008</v>
      </c>
      <c r="AG20" s="97">
        <v>84.800000000000011</v>
      </c>
    </row>
    <row r="21" spans="1:33" x14ac:dyDescent="0.25">
      <c r="A21" s="22"/>
      <c r="B21" s="30" t="s">
        <v>263</v>
      </c>
      <c r="C21" s="32">
        <v>28.9</v>
      </c>
      <c r="D21" s="97">
        <v>27</v>
      </c>
      <c r="E21" s="97">
        <v>27</v>
      </c>
      <c r="F21" s="32">
        <v>29.200000000000003</v>
      </c>
      <c r="G21" s="32">
        <v>112.1</v>
      </c>
      <c r="H21" s="32">
        <v>28.2</v>
      </c>
      <c r="I21" s="32">
        <v>29.9</v>
      </c>
      <c r="J21" s="32">
        <v>25.9</v>
      </c>
      <c r="K21" s="32">
        <v>29</v>
      </c>
      <c r="L21" s="32">
        <v>113</v>
      </c>
      <c r="M21" s="32">
        <v>28.8</v>
      </c>
      <c r="N21" s="32">
        <v>31.3</v>
      </c>
      <c r="O21" s="97">
        <v>28.000000000000004</v>
      </c>
      <c r="P21" s="97">
        <v>29</v>
      </c>
      <c r="Q21" s="32">
        <v>117.1</v>
      </c>
      <c r="R21" s="97">
        <v>32.799999999999997</v>
      </c>
      <c r="S21" s="97">
        <v>34.299999999999997</v>
      </c>
      <c r="T21" s="97">
        <v>34.1</v>
      </c>
      <c r="U21" s="97">
        <v>34.1</v>
      </c>
      <c r="V21" s="97">
        <v>135.30000000000001</v>
      </c>
      <c r="W21" s="97">
        <v>34.4</v>
      </c>
      <c r="X21" s="97">
        <v>37.200000000000003</v>
      </c>
      <c r="Y21" s="97">
        <v>45</v>
      </c>
      <c r="Z21" s="97">
        <v>41.500000000000007</v>
      </c>
      <c r="AA21" s="97">
        <v>152.1</v>
      </c>
      <c r="AB21" s="97">
        <v>36.4</v>
      </c>
      <c r="AC21" s="97">
        <v>36.600000000000009</v>
      </c>
      <c r="AD21" s="97">
        <v>37.137</v>
      </c>
      <c r="AE21" s="97">
        <v>43.1</v>
      </c>
      <c r="AF21" s="97">
        <f t="shared" si="3"/>
        <v>153.23699999999999</v>
      </c>
      <c r="AG21" s="97">
        <v>38.4</v>
      </c>
    </row>
    <row r="22" spans="1:33" x14ac:dyDescent="0.25">
      <c r="A22" s="22"/>
      <c r="B22" s="30" t="s">
        <v>265</v>
      </c>
      <c r="C22" s="87">
        <v>6.4</v>
      </c>
      <c r="D22" s="87">
        <v>42.3</v>
      </c>
      <c r="E22" s="87">
        <v>-30.7</v>
      </c>
      <c r="F22" s="87">
        <v>9.9</v>
      </c>
      <c r="G22" s="87">
        <v>27.999999999999993</v>
      </c>
      <c r="H22" s="87">
        <v>17.2</v>
      </c>
      <c r="I22" s="87">
        <v>12.7</v>
      </c>
      <c r="J22" s="87">
        <v>14.1</v>
      </c>
      <c r="K22" s="87">
        <v>10.9</v>
      </c>
      <c r="L22" s="87">
        <v>54.9</v>
      </c>
      <c r="M22" s="87">
        <v>11.7</v>
      </c>
      <c r="N22" s="87">
        <v>12.7</v>
      </c>
      <c r="O22" s="87">
        <v>4.7</v>
      </c>
      <c r="P22" s="87">
        <v>16.899999999999999</v>
      </c>
      <c r="Q22" s="87">
        <v>46</v>
      </c>
      <c r="R22" s="97">
        <v>4.4000000000000004</v>
      </c>
      <c r="S22" s="97">
        <v>2.8</v>
      </c>
      <c r="T22" s="97">
        <v>6.9</v>
      </c>
      <c r="U22" s="97">
        <v>47.5</v>
      </c>
      <c r="V22" s="97">
        <v>61.6</v>
      </c>
      <c r="W22" s="97">
        <v>-2.6</v>
      </c>
      <c r="X22" s="97">
        <v>130.9</v>
      </c>
      <c r="Y22" s="97">
        <v>11.3</v>
      </c>
      <c r="Z22" s="97">
        <v>39.5</v>
      </c>
      <c r="AA22" s="97">
        <v>179.10000000000002</v>
      </c>
      <c r="AB22" s="97">
        <v>10.4</v>
      </c>
      <c r="AC22" s="97">
        <v>32</v>
      </c>
      <c r="AD22" s="97">
        <v>5.1509999999999998</v>
      </c>
      <c r="AE22" s="97">
        <v>12.6</v>
      </c>
      <c r="AF22" s="97">
        <f t="shared" si="3"/>
        <v>60.151000000000003</v>
      </c>
      <c r="AG22" s="97">
        <v>8.3000000000000007</v>
      </c>
    </row>
    <row r="23" spans="1:33" x14ac:dyDescent="0.25">
      <c r="A23" s="22"/>
      <c r="B23" s="30" t="s">
        <v>268</v>
      </c>
      <c r="C23" s="87">
        <v>-5.7</v>
      </c>
      <c r="D23" s="87">
        <v>-4.4000000000000004</v>
      </c>
      <c r="E23" s="87">
        <v>-4</v>
      </c>
      <c r="F23" s="87">
        <v>-5.0000000000000036</v>
      </c>
      <c r="G23" s="87">
        <v>-19.099999999999994</v>
      </c>
      <c r="H23" s="87">
        <v>-4.0999999999999996</v>
      </c>
      <c r="I23" s="87">
        <v>-4.2</v>
      </c>
      <c r="J23" s="87">
        <v>-4.5999999999999996</v>
      </c>
      <c r="K23" s="87">
        <v>-4.2745723307102992</v>
      </c>
      <c r="L23" s="87">
        <v>-17.2292814755526</v>
      </c>
      <c r="M23" s="87">
        <v>-4.2</v>
      </c>
      <c r="N23" s="87">
        <v>-5</v>
      </c>
      <c r="O23" s="87">
        <v>-1.1221639307668041</v>
      </c>
      <c r="P23" s="87">
        <v>-3</v>
      </c>
      <c r="Q23" s="87">
        <v>-13.4</v>
      </c>
      <c r="R23" s="97">
        <v>-4</v>
      </c>
      <c r="S23" s="97">
        <v>-3.9</v>
      </c>
      <c r="T23" s="97">
        <v>-4.2</v>
      </c>
      <c r="U23" s="97">
        <v>-3.7</v>
      </c>
      <c r="V23" s="97">
        <v>-15.9</v>
      </c>
      <c r="W23" s="97">
        <v>-4.2</v>
      </c>
      <c r="X23" s="97">
        <v>-4.3</v>
      </c>
      <c r="Y23" s="97">
        <v>-11.4</v>
      </c>
      <c r="Z23" s="97">
        <v>-4.5561734057447083</v>
      </c>
      <c r="AA23" s="97">
        <v>-18.630426023430402</v>
      </c>
      <c r="AB23" s="97">
        <v>-5.9144157577885998</v>
      </c>
      <c r="AC23" s="97">
        <v>-4.5068818324179105</v>
      </c>
      <c r="AD23" s="97">
        <v>-2.2387875035087972</v>
      </c>
      <c r="AE23" s="97">
        <v>-4.6983008869983038</v>
      </c>
      <c r="AF23" s="97">
        <f t="shared" si="3"/>
        <v>-17.358385980713614</v>
      </c>
      <c r="AG23" s="97">
        <v>-4.556293916919202</v>
      </c>
    </row>
    <row r="24" spans="1:33" x14ac:dyDescent="0.25">
      <c r="A24" s="22"/>
      <c r="B24" s="17" t="s">
        <v>269</v>
      </c>
      <c r="C24" s="87">
        <v>1.3</v>
      </c>
      <c r="D24" s="87">
        <v>1.4</v>
      </c>
      <c r="E24" s="87">
        <v>0</v>
      </c>
      <c r="F24" s="87">
        <v>0</v>
      </c>
      <c r="G24" s="87">
        <v>2.7</v>
      </c>
      <c r="H24" s="87">
        <v>0</v>
      </c>
      <c r="I24" s="87">
        <v>0</v>
      </c>
      <c r="J24" s="87">
        <v>0.3</v>
      </c>
      <c r="K24" s="87">
        <v>1.3</v>
      </c>
      <c r="L24" s="87">
        <v>1.6</v>
      </c>
      <c r="M24" s="87">
        <v>0</v>
      </c>
      <c r="N24" s="87">
        <v>1.2</v>
      </c>
      <c r="O24" s="87">
        <v>0.8</v>
      </c>
      <c r="P24" s="87">
        <v>0.6</v>
      </c>
      <c r="Q24" s="87">
        <v>2.7</v>
      </c>
      <c r="R24" s="97">
        <v>0.2</v>
      </c>
      <c r="S24" s="97">
        <v>0.5</v>
      </c>
      <c r="T24" s="97">
        <v>0</v>
      </c>
      <c r="U24" s="97">
        <v>-3.1</v>
      </c>
      <c r="V24" s="97">
        <v>-2.4</v>
      </c>
      <c r="W24" s="97">
        <v>0.2</v>
      </c>
      <c r="X24" s="97">
        <v>1.7</v>
      </c>
      <c r="Y24" s="97">
        <v>-0.7</v>
      </c>
      <c r="Z24" s="97">
        <v>-2</v>
      </c>
      <c r="AA24" s="97">
        <v>-0.8</v>
      </c>
      <c r="AB24" s="97">
        <v>0</v>
      </c>
      <c r="AC24" s="97">
        <v>0.4</v>
      </c>
      <c r="AD24" s="97">
        <v>0.68100000000000005</v>
      </c>
      <c r="AE24" s="97">
        <v>1.6</v>
      </c>
      <c r="AF24" s="97">
        <f t="shared" si="3"/>
        <v>2.681</v>
      </c>
      <c r="AG24" s="97">
        <v>0.4</v>
      </c>
    </row>
    <row r="25" spans="1:33" x14ac:dyDescent="0.25">
      <c r="A25" s="22"/>
      <c r="B25" s="86" t="s">
        <v>267</v>
      </c>
      <c r="C25" s="88">
        <v>69.099999999999994</v>
      </c>
      <c r="D25" s="88">
        <v>71.7</v>
      </c>
      <c r="E25" s="88">
        <v>75.3</v>
      </c>
      <c r="F25" s="88">
        <v>62.800000000000011</v>
      </c>
      <c r="G25" s="88">
        <v>278.89999999999992</v>
      </c>
      <c r="H25" s="88">
        <v>50.4</v>
      </c>
      <c r="I25" s="88">
        <v>60.3</v>
      </c>
      <c r="J25" s="88">
        <v>69.2</v>
      </c>
      <c r="K25" s="88">
        <f>SUM(K22:K24)</f>
        <v>7.925427669289701</v>
      </c>
      <c r="L25" s="88">
        <f t="shared" ref="L25:AG25" si="4">SUM(L17:L24)</f>
        <v>245.8707185244474</v>
      </c>
      <c r="M25" s="88">
        <f t="shared" si="4"/>
        <v>73</v>
      </c>
      <c r="N25" s="88">
        <f t="shared" si="4"/>
        <v>77.2</v>
      </c>
      <c r="O25" s="88">
        <f t="shared" si="4"/>
        <v>81.877836069233197</v>
      </c>
      <c r="P25" s="88">
        <f t="shared" si="4"/>
        <v>73.799999999999983</v>
      </c>
      <c r="Q25" s="88">
        <f t="shared" si="4"/>
        <v>305</v>
      </c>
      <c r="R25" s="88">
        <f t="shared" si="4"/>
        <v>67.100000000000009</v>
      </c>
      <c r="S25" s="88">
        <f t="shared" si="4"/>
        <v>63.599999999999987</v>
      </c>
      <c r="T25" s="88">
        <f t="shared" si="4"/>
        <v>97.600000000000009</v>
      </c>
      <c r="U25" s="88">
        <f t="shared" si="4"/>
        <v>80.7</v>
      </c>
      <c r="V25" s="88">
        <f t="shared" si="4"/>
        <v>309.00000000000011</v>
      </c>
      <c r="W25" s="88">
        <f t="shared" si="4"/>
        <v>60.2</v>
      </c>
      <c r="X25" s="88">
        <f t="shared" si="4"/>
        <v>17.500000000000007</v>
      </c>
      <c r="Y25" s="88">
        <f t="shared" si="4"/>
        <v>74.499999999999986</v>
      </c>
      <c r="Z25" s="88">
        <f t="shared" si="4"/>
        <v>50.443826594255292</v>
      </c>
      <c r="AA25" s="88">
        <f t="shared" si="4"/>
        <v>202.46957397656959</v>
      </c>
      <c r="AB25" s="88">
        <f t="shared" si="4"/>
        <v>60.985584242211402</v>
      </c>
      <c r="AC25" s="88">
        <f t="shared" si="4"/>
        <v>73.393118167582116</v>
      </c>
      <c r="AD25" s="88">
        <v>98.40485249649133</v>
      </c>
      <c r="AE25" s="88">
        <f t="shared" si="4"/>
        <v>101.60169911300167</v>
      </c>
      <c r="AF25" s="88">
        <f t="shared" si="3"/>
        <v>334.38525401928655</v>
      </c>
      <c r="AG25" s="88">
        <f t="shared" si="4"/>
        <v>102.94370608308081</v>
      </c>
    </row>
    <row r="26" spans="1:33" x14ac:dyDescent="0.25">
      <c r="A26" s="22"/>
    </row>
    <row r="27" spans="1:33" ht="18" customHeight="1" x14ac:dyDescent="0.25">
      <c r="A27" s="22"/>
      <c r="B27" s="118" t="s">
        <v>293</v>
      </c>
      <c r="C27" s="119" t="s">
        <v>69</v>
      </c>
      <c r="D27" s="119" t="s">
        <v>70</v>
      </c>
      <c r="E27" s="119" t="s">
        <v>72</v>
      </c>
      <c r="F27" s="119" t="s">
        <v>73</v>
      </c>
      <c r="G27" s="119">
        <v>2016</v>
      </c>
      <c r="H27" s="119" t="s">
        <v>74</v>
      </c>
      <c r="I27" s="119" t="s">
        <v>75</v>
      </c>
      <c r="J27" s="119" t="s">
        <v>77</v>
      </c>
      <c r="K27" s="119" t="s">
        <v>79</v>
      </c>
      <c r="L27" s="119">
        <v>2017</v>
      </c>
      <c r="M27" s="119" t="s">
        <v>80</v>
      </c>
      <c r="N27" s="119" t="s">
        <v>81</v>
      </c>
      <c r="O27" s="119" t="s">
        <v>82</v>
      </c>
      <c r="P27" s="119" t="s">
        <v>84</v>
      </c>
      <c r="Q27" s="119">
        <v>2018</v>
      </c>
      <c r="R27" s="119" t="s">
        <v>244</v>
      </c>
      <c r="S27" s="119" t="s">
        <v>245</v>
      </c>
      <c r="T27" s="119" t="s">
        <v>246</v>
      </c>
      <c r="U27" s="119" t="s">
        <v>247</v>
      </c>
      <c r="V27" s="119" t="s">
        <v>126</v>
      </c>
      <c r="W27" s="119" t="s">
        <v>248</v>
      </c>
      <c r="X27" s="119" t="s">
        <v>249</v>
      </c>
      <c r="Y27" s="119" t="s">
        <v>250</v>
      </c>
      <c r="Z27" s="119" t="s">
        <v>251</v>
      </c>
      <c r="AA27" s="119" t="s">
        <v>252</v>
      </c>
      <c r="AB27" s="119" t="s">
        <v>253</v>
      </c>
      <c r="AC27" s="119" t="s">
        <v>286</v>
      </c>
      <c r="AD27" s="119" t="s">
        <v>287</v>
      </c>
      <c r="AE27" s="119" t="s">
        <v>288</v>
      </c>
      <c r="AF27" s="119" t="s">
        <v>289</v>
      </c>
      <c r="AG27" s="119" t="s">
        <v>290</v>
      </c>
    </row>
    <row r="28" spans="1:33" x14ac:dyDescent="0.25">
      <c r="A28" s="22"/>
      <c r="C28" s="40"/>
      <c r="D28" s="40"/>
      <c r="E28" s="40"/>
      <c r="F28" s="113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114"/>
      <c r="S28" s="114"/>
      <c r="T28" s="114"/>
      <c r="U28" s="114"/>
      <c r="V28" s="40"/>
      <c r="W28" s="114"/>
      <c r="X28" s="114"/>
      <c r="Y28" s="114"/>
      <c r="Z28" s="114"/>
      <c r="AA28" s="115"/>
    </row>
    <row r="29" spans="1:33" x14ac:dyDescent="0.25">
      <c r="B29" s="86" t="s">
        <v>254</v>
      </c>
      <c r="C29" s="88">
        <v>443.1</v>
      </c>
      <c r="D29" s="88">
        <v>437.8</v>
      </c>
      <c r="E29" s="88">
        <v>425.9</v>
      </c>
      <c r="F29" s="88">
        <v>417.020783255688</v>
      </c>
      <c r="G29" s="88">
        <v>1723.820783255688</v>
      </c>
      <c r="H29" s="88">
        <v>358.5</v>
      </c>
      <c r="I29" s="88">
        <v>391.9</v>
      </c>
      <c r="J29" s="89">
        <v>412.1</v>
      </c>
      <c r="K29" s="90">
        <v>411.9</v>
      </c>
      <c r="L29" s="88">
        <v>1574.4</v>
      </c>
      <c r="M29" s="90">
        <v>386.3</v>
      </c>
      <c r="N29" s="90">
        <v>421.9</v>
      </c>
      <c r="O29" s="90">
        <v>478.85129633285499</v>
      </c>
      <c r="P29" s="90">
        <v>447.3</v>
      </c>
      <c r="Q29" s="88">
        <v>1734.3</v>
      </c>
      <c r="R29" s="90">
        <v>426.8</v>
      </c>
      <c r="S29" s="90">
        <v>463.3</v>
      </c>
      <c r="T29" s="90">
        <v>569</v>
      </c>
      <c r="U29" s="90">
        <v>548.79999999999995</v>
      </c>
      <c r="V29" s="91">
        <v>2008</v>
      </c>
      <c r="W29" s="90">
        <v>463.7</v>
      </c>
      <c r="X29" s="90">
        <v>414.6</v>
      </c>
      <c r="Y29" s="90">
        <v>522.1</v>
      </c>
      <c r="Z29" s="90">
        <v>538.70000000000005</v>
      </c>
      <c r="AA29" s="90">
        <v>1939.0525060142459</v>
      </c>
      <c r="AB29" s="90">
        <v>489.7</v>
      </c>
      <c r="AC29" s="90">
        <v>541.12116090000006</v>
      </c>
      <c r="AD29" s="90">
        <v>583.42494863000002</v>
      </c>
      <c r="AE29" s="90">
        <v>584.10060246400428</v>
      </c>
      <c r="AF29" s="88">
        <f>SUM(AB29:AE29)</f>
        <v>2198.3467119940042</v>
      </c>
      <c r="AG29" s="90">
        <v>579.65745216406401</v>
      </c>
    </row>
    <row r="30" spans="1:33" x14ac:dyDescent="0.25">
      <c r="A30" s="22"/>
      <c r="B30" s="86" t="s">
        <v>267</v>
      </c>
      <c r="C30" s="89">
        <v>69.099999999999994</v>
      </c>
      <c r="D30" s="89">
        <v>71.7</v>
      </c>
      <c r="E30" s="89">
        <v>75.3</v>
      </c>
      <c r="F30" s="90">
        <v>62.830580000000005</v>
      </c>
      <c r="G30" s="90">
        <v>278.93058000000002</v>
      </c>
      <c r="H30" s="89">
        <v>50.4</v>
      </c>
      <c r="I30" s="89">
        <v>60.3</v>
      </c>
      <c r="J30" s="89">
        <v>69.2</v>
      </c>
      <c r="K30" s="90">
        <v>66.099999999999994</v>
      </c>
      <c r="L30" s="90">
        <v>245.9</v>
      </c>
      <c r="M30" s="90">
        <v>73</v>
      </c>
      <c r="N30" s="90">
        <v>77.099999999999994</v>
      </c>
      <c r="O30" s="90">
        <v>81.054721252097153</v>
      </c>
      <c r="P30" s="90">
        <v>73.8</v>
      </c>
      <c r="Q30" s="90">
        <f>SUM(M30:P30)</f>
        <v>304.95472125209716</v>
      </c>
      <c r="R30" s="90">
        <v>67.099999999999994</v>
      </c>
      <c r="S30" s="90">
        <v>63.6</v>
      </c>
      <c r="T30" s="90">
        <v>97.6</v>
      </c>
      <c r="U30" s="90">
        <v>80.7</v>
      </c>
      <c r="V30" s="90">
        <v>309</v>
      </c>
      <c r="W30" s="90">
        <v>60.2</v>
      </c>
      <c r="X30" s="90">
        <v>17.5</v>
      </c>
      <c r="Y30" s="90">
        <v>74.5</v>
      </c>
      <c r="Z30" s="90">
        <v>50.409878981954193</v>
      </c>
      <c r="AA30" s="90">
        <v>202.4759443255445</v>
      </c>
      <c r="AB30" s="90">
        <v>60.985584242211402</v>
      </c>
      <c r="AC30" s="90">
        <v>71.609224549999922</v>
      </c>
      <c r="AD30" s="90">
        <v>98.48919740999996</v>
      </c>
      <c r="AE30" s="90">
        <v>100.47576356777118</v>
      </c>
      <c r="AF30" s="88">
        <f>SUM(AB30:AE30)</f>
        <v>331.55976976998249</v>
      </c>
      <c r="AG30" s="90">
        <v>102.90009020913195</v>
      </c>
    </row>
    <row r="31" spans="1:33" x14ac:dyDescent="0.25">
      <c r="A31" s="22"/>
      <c r="B31" s="92" t="s">
        <v>256</v>
      </c>
      <c r="C31" s="93">
        <f>C30/C29</f>
        <v>0.1559467388851275</v>
      </c>
      <c r="D31" s="93">
        <f>D30/D29</f>
        <v>0.16377341251713112</v>
      </c>
      <c r="E31" s="93">
        <f>E30/E29</f>
        <v>0.17680206621272598</v>
      </c>
      <c r="F31" s="93">
        <f t="shared" ref="F31:M31" si="5">F30/F29</f>
        <v>0.15066534456503738</v>
      </c>
      <c r="G31" s="93">
        <f t="shared" si="5"/>
        <v>0.16180950056374119</v>
      </c>
      <c r="H31" s="93">
        <f t="shared" si="5"/>
        <v>0.14058577405857739</v>
      </c>
      <c r="I31" s="93">
        <f t="shared" si="5"/>
        <v>0.15386578208726717</v>
      </c>
      <c r="J31" s="93">
        <f t="shared" si="5"/>
        <v>0.16792040766804173</v>
      </c>
      <c r="K31" s="93">
        <f t="shared" si="5"/>
        <v>0.16047584365137169</v>
      </c>
      <c r="L31" s="93">
        <f t="shared" si="5"/>
        <v>0.1561864837398374</v>
      </c>
      <c r="M31" s="93">
        <f t="shared" si="5"/>
        <v>0.18897230132021745</v>
      </c>
      <c r="N31" s="93">
        <f>N30/N29</f>
        <v>0.18274472623844512</v>
      </c>
      <c r="O31" s="93">
        <f>O30/O29</f>
        <v>0.16926908598312554</v>
      </c>
      <c r="P31" s="93">
        <f>P30/P29</f>
        <v>0.16498993963782696</v>
      </c>
      <c r="Q31" s="93">
        <f>Q30/Q29</f>
        <v>0.17583735296782399</v>
      </c>
      <c r="R31" s="93">
        <v>0.157</v>
      </c>
      <c r="S31" s="93">
        <v>0.13700000000000001</v>
      </c>
      <c r="T31" s="93">
        <v>0.17199999999999999</v>
      </c>
      <c r="U31" s="93">
        <v>0.14699999999999999</v>
      </c>
      <c r="V31" s="93">
        <v>0.154</v>
      </c>
      <c r="W31" s="93">
        <v>0.13</v>
      </c>
      <c r="X31" s="93">
        <v>4.2000000000000003E-2</v>
      </c>
      <c r="Y31" s="93">
        <v>0.14299999999999999</v>
      </c>
      <c r="Z31" s="93">
        <v>9.3585156328263683E-2</v>
      </c>
      <c r="AA31" s="93">
        <v>0.10442004210692422</v>
      </c>
      <c r="AB31" s="93">
        <v>0.12453662291650276</v>
      </c>
      <c r="AC31" s="93">
        <v>0.16087501287167594</v>
      </c>
      <c r="AD31" s="93">
        <v>0.16881211138000279</v>
      </c>
      <c r="AE31" s="93">
        <f>AE30/AE29</f>
        <v>0.17201790777807507</v>
      </c>
      <c r="AF31" s="93">
        <f>AF30/AF29</f>
        <v>0.15082232841663185</v>
      </c>
      <c r="AG31" s="93">
        <f>AG30/AG29</f>
        <v>0.17751879118429328</v>
      </c>
    </row>
    <row r="32" spans="1:33" x14ac:dyDescent="0.25">
      <c r="A32" s="22"/>
      <c r="B32" s="86" t="s">
        <v>291</v>
      </c>
      <c r="C32" s="89">
        <v>11.8</v>
      </c>
      <c r="D32" s="89">
        <v>-1.4</v>
      </c>
      <c r="E32" s="90">
        <v>50</v>
      </c>
      <c r="F32" s="90">
        <v>27.899999999999974</v>
      </c>
      <c r="G32" s="90">
        <v>88.300000000000168</v>
      </c>
      <c r="H32" s="90">
        <v>7.6</v>
      </c>
      <c r="I32" s="90">
        <v>3.2</v>
      </c>
      <c r="J32" s="90">
        <v>15.8</v>
      </c>
      <c r="K32" s="90">
        <v>1.1000000000000001</v>
      </c>
      <c r="L32" s="90">
        <v>27.7</v>
      </c>
      <c r="M32" s="90">
        <v>19.7</v>
      </c>
      <c r="N32" s="90">
        <v>13.5</v>
      </c>
      <c r="O32" s="90">
        <v>23.8</v>
      </c>
      <c r="P32" s="90">
        <v>43.1</v>
      </c>
      <c r="Q32" s="90">
        <v>100.1</v>
      </c>
      <c r="R32" s="90">
        <v>13.7</v>
      </c>
      <c r="S32" s="90">
        <v>6.3</v>
      </c>
      <c r="T32" s="90">
        <v>31.7</v>
      </c>
      <c r="U32" s="90">
        <v>35.5</v>
      </c>
      <c r="V32" s="90">
        <v>87.2</v>
      </c>
      <c r="W32" s="90">
        <v>-2.1470999999999947</v>
      </c>
      <c r="X32" s="90">
        <v>-65.496380000000002</v>
      </c>
      <c r="Y32" s="90">
        <v>-2.4</v>
      </c>
      <c r="Z32" s="90">
        <v>-54</v>
      </c>
      <c r="AA32" s="90">
        <v>-202.39999999999998</v>
      </c>
      <c r="AB32" s="90">
        <v>-5</v>
      </c>
      <c r="AC32" s="90">
        <v>-22.458919999999999</v>
      </c>
      <c r="AD32" s="90">
        <v>35.700000000000003</v>
      </c>
      <c r="AE32" s="90">
        <v>23.829000000000001</v>
      </c>
      <c r="AF32" s="88">
        <f>SUM(AB32:AE32)</f>
        <v>32.070080000000004</v>
      </c>
      <c r="AG32" s="90">
        <v>-18.100000000000001</v>
      </c>
    </row>
    <row r="33" spans="1:33" x14ac:dyDescent="0.25">
      <c r="A33" s="22"/>
      <c r="B33" s="92" t="s">
        <v>256</v>
      </c>
      <c r="C33" s="93">
        <v>2.7000000000000003E-2</v>
      </c>
      <c r="D33" s="93">
        <v>-3.0000000000000001E-3</v>
      </c>
      <c r="E33" s="93">
        <v>0.11700000000000001</v>
      </c>
      <c r="F33" s="93">
        <v>6.6903140371528308E-2</v>
      </c>
      <c r="G33" s="93">
        <v>5.1223422328876139E-2</v>
      </c>
      <c r="H33" s="93">
        <v>2.1000000000000001E-2</v>
      </c>
      <c r="I33" s="93">
        <v>8.0000000000000002E-3</v>
      </c>
      <c r="J33" s="93">
        <v>3.8</v>
      </c>
      <c r="K33" s="93">
        <v>3.0000000000000001E-3</v>
      </c>
      <c r="L33" s="93">
        <v>1.7999999999999999E-2</v>
      </c>
      <c r="M33" s="93">
        <v>5.0999999999999997E-2</v>
      </c>
      <c r="N33" s="93">
        <v>3.2000000000000001E-2</v>
      </c>
      <c r="O33" s="93">
        <v>0.05</v>
      </c>
      <c r="P33" s="93">
        <v>9.6000000000000002E-2</v>
      </c>
      <c r="Q33" s="93">
        <v>5.8000000000000003E-2</v>
      </c>
      <c r="R33" s="93">
        <v>3.2000000000000001E-2</v>
      </c>
      <c r="S33" s="93">
        <v>1.4E-2</v>
      </c>
      <c r="T33" s="93">
        <v>5.6000000000000001E-2</v>
      </c>
      <c r="U33" s="93">
        <v>6.5000000000000002E-2</v>
      </c>
      <c r="V33" s="93">
        <v>4.2999999999999997E-2</v>
      </c>
      <c r="W33" s="96">
        <f>W32/W29</f>
        <v>-4.6303644597800184E-3</v>
      </c>
      <c r="X33" s="117">
        <v>-0.35699999999999998</v>
      </c>
      <c r="Y33" s="96">
        <v>-5.0000000000000001E-3</v>
      </c>
      <c r="Z33" s="96">
        <f t="shared" ref="Z33:AG33" si="6">Z32/Z29</f>
        <v>-0.10024132170038982</v>
      </c>
      <c r="AA33" s="96">
        <f t="shared" si="6"/>
        <v>-0.10438087641888383</v>
      </c>
      <c r="AB33" s="96">
        <f t="shared" si="6"/>
        <v>-1.0210332856851134E-2</v>
      </c>
      <c r="AC33" s="96">
        <f t="shared" si="6"/>
        <v>-4.150442012403658E-2</v>
      </c>
      <c r="AD33" s="96">
        <v>6.1190389755924626E-2</v>
      </c>
      <c r="AE33" s="96">
        <f t="shared" si="6"/>
        <v>4.0796054480132959E-2</v>
      </c>
      <c r="AF33" s="96">
        <f t="shared" si="6"/>
        <v>1.4588272097857999E-2</v>
      </c>
      <c r="AG33" s="96">
        <f t="shared" si="6"/>
        <v>-3.1225338227648711E-2</v>
      </c>
    </row>
    <row r="34" spans="1:33" x14ac:dyDescent="0.25">
      <c r="A34" s="22"/>
      <c r="B34" s="86" t="s">
        <v>292</v>
      </c>
      <c r="C34" s="90">
        <f t="shared" ref="C34:AA34" si="7">C79+C90+C99+C108+C117</f>
        <v>7.6403798764947197</v>
      </c>
      <c r="D34" s="90">
        <f t="shared" si="7"/>
        <v>12.608120845580565</v>
      </c>
      <c r="E34" s="90">
        <f t="shared" si="7"/>
        <v>8.9452263999891475</v>
      </c>
      <c r="F34" s="90">
        <f t="shared" si="7"/>
        <v>9.4987984356005093</v>
      </c>
      <c r="G34" s="90">
        <f t="shared" si="7"/>
        <v>37.898043728126765</v>
      </c>
      <c r="H34" s="90">
        <f t="shared" si="7"/>
        <v>-4.4748986777324102</v>
      </c>
      <c r="I34" s="90">
        <f t="shared" si="7"/>
        <v>6.7453463288275604</v>
      </c>
      <c r="J34" s="90">
        <f t="shared" si="7"/>
        <v>2.4916499698306378</v>
      </c>
      <c r="K34" s="90">
        <f t="shared" si="7"/>
        <v>6.7772668910962981</v>
      </c>
      <c r="L34" s="90">
        <f t="shared" si="7"/>
        <v>10.83677832128606</v>
      </c>
      <c r="M34" s="90">
        <f t="shared" si="7"/>
        <v>5.4747959661812269</v>
      </c>
      <c r="N34" s="90">
        <f t="shared" si="7"/>
        <v>16.47287969886364</v>
      </c>
      <c r="O34" s="90">
        <f t="shared" si="7"/>
        <v>17.979206808517194</v>
      </c>
      <c r="P34" s="90">
        <f t="shared" si="7"/>
        <v>6.8315271986515116</v>
      </c>
      <c r="Q34" s="90">
        <f t="shared" si="7"/>
        <v>46.294478040334894</v>
      </c>
      <c r="R34" s="90">
        <f t="shared" si="7"/>
        <v>-0.94655617549601034</v>
      </c>
      <c r="S34" s="90">
        <f t="shared" si="7"/>
        <v>10.416628918245886</v>
      </c>
      <c r="T34" s="90">
        <f t="shared" si="7"/>
        <v>16.824885494654652</v>
      </c>
      <c r="U34" s="90">
        <f t="shared" si="7"/>
        <v>4.8068985142123104</v>
      </c>
      <c r="V34" s="90">
        <f t="shared" si="7"/>
        <v>30.407703224565484</v>
      </c>
      <c r="W34" s="90">
        <f t="shared" si="7"/>
        <v>5.0412197013490019</v>
      </c>
      <c r="X34" s="90">
        <f t="shared" si="7"/>
        <v>9.4657719651156498</v>
      </c>
      <c r="Y34" s="90">
        <f t="shared" si="7"/>
        <v>15.422202798531924</v>
      </c>
      <c r="Z34" s="90">
        <f t="shared" si="7"/>
        <v>5.5658759704695111</v>
      </c>
      <c r="AA34" s="90">
        <f t="shared" si="7"/>
        <v>33.613104605794881</v>
      </c>
      <c r="AB34" s="90">
        <f>AB79+AB90+AB99+AB108+AB117</f>
        <v>-2.120600863566235</v>
      </c>
      <c r="AC34" s="90">
        <f>AC53+AC64+AC73+AC82+AC91</f>
        <v>154.91150999999999</v>
      </c>
      <c r="AD34" s="90">
        <v>484.93575122000004</v>
      </c>
      <c r="AE34" s="90">
        <f>AE53+AE64+AE73+AE82+AE91</f>
        <v>483.62483889623309</v>
      </c>
      <c r="AF34" s="90">
        <f>AF53+AF64+AF73+AF82+AF91</f>
        <v>1552.0953537446812</v>
      </c>
      <c r="AG34" s="90">
        <f>AG53+AG64+AG73+AG82+AG91</f>
        <v>476.75736195493209</v>
      </c>
    </row>
    <row r="35" spans="1:33" x14ac:dyDescent="0.25">
      <c r="A35" s="22"/>
    </row>
    <row r="36" spans="1:33" x14ac:dyDescent="0.25">
      <c r="A36" s="22"/>
      <c r="B36" s="86" t="s">
        <v>258</v>
      </c>
    </row>
    <row r="37" spans="1:33" x14ac:dyDescent="0.25">
      <c r="A37" s="22"/>
      <c r="B37" s="86" t="s">
        <v>259</v>
      </c>
      <c r="C37" s="89">
        <v>11.8</v>
      </c>
      <c r="D37" s="89">
        <v>-1.4</v>
      </c>
      <c r="E37" s="90">
        <v>50</v>
      </c>
      <c r="F37" s="89">
        <v>27.899999999999974</v>
      </c>
      <c r="G37" s="89">
        <v>88.300000000000168</v>
      </c>
      <c r="H37" s="89">
        <v>7.6</v>
      </c>
      <c r="I37" s="89">
        <v>3.2</v>
      </c>
      <c r="J37" s="89">
        <v>15.8</v>
      </c>
      <c r="K37" s="89">
        <v>1.1000000000000001</v>
      </c>
      <c r="L37" s="89">
        <v>27.700000000000003</v>
      </c>
      <c r="M37" s="89">
        <v>19.7</v>
      </c>
      <c r="N37" s="89">
        <v>13.5</v>
      </c>
      <c r="O37" s="89">
        <v>23.8</v>
      </c>
      <c r="P37" s="89">
        <v>43.1</v>
      </c>
      <c r="Q37" s="89">
        <v>100.1</v>
      </c>
      <c r="R37" s="89">
        <v>13.7</v>
      </c>
      <c r="S37" s="89">
        <v>6.3</v>
      </c>
      <c r="T37" s="89">
        <v>31.7</v>
      </c>
      <c r="U37" s="89">
        <v>2.6</v>
      </c>
      <c r="V37" s="89">
        <v>54.3</v>
      </c>
      <c r="W37" s="89">
        <v>2.1</v>
      </c>
      <c r="X37" s="90">
        <f>X32</f>
        <v>-65.496380000000002</v>
      </c>
      <c r="Y37" s="89">
        <v>-2.4</v>
      </c>
      <c r="Z37" s="90">
        <v>-54</v>
      </c>
      <c r="AA37" s="89">
        <v>-202.4</v>
      </c>
      <c r="AB37" s="89">
        <v>-5</v>
      </c>
      <c r="AC37" s="90">
        <v>-22.458919999999999</v>
      </c>
      <c r="AD37" s="90">
        <v>35.700000000000003</v>
      </c>
      <c r="AE37" s="88">
        <f>AE32</f>
        <v>23.829000000000001</v>
      </c>
      <c r="AF37" s="88">
        <f>AF32</f>
        <v>32.070080000000004</v>
      </c>
      <c r="AG37" s="88">
        <f>AG32</f>
        <v>-18.100000000000001</v>
      </c>
    </row>
    <row r="38" spans="1:33" x14ac:dyDescent="0.25">
      <c r="A38" s="22"/>
      <c r="B38" s="30" t="s">
        <v>260</v>
      </c>
      <c r="C38" s="97">
        <v>0</v>
      </c>
      <c r="D38" s="97">
        <v>-0.2</v>
      </c>
      <c r="E38" s="97">
        <v>0.1</v>
      </c>
      <c r="F38" s="32">
        <v>-5</v>
      </c>
      <c r="G38" s="32">
        <v>20.999999999999993</v>
      </c>
      <c r="H38" s="97">
        <v>0.4</v>
      </c>
      <c r="I38" s="97">
        <v>0.3</v>
      </c>
      <c r="J38" s="97">
        <v>-0.4</v>
      </c>
      <c r="K38" s="97">
        <v>-0.1</v>
      </c>
      <c r="L38" s="97">
        <v>9.9999999999999922E-2</v>
      </c>
      <c r="M38" s="97">
        <v>0.6</v>
      </c>
      <c r="N38" s="97">
        <v>0</v>
      </c>
      <c r="O38" s="97">
        <v>0.4</v>
      </c>
      <c r="P38" s="97">
        <v>-1</v>
      </c>
      <c r="Q38" s="97">
        <v>0</v>
      </c>
      <c r="R38" s="97">
        <v>0.4</v>
      </c>
      <c r="S38" s="97">
        <v>0.6</v>
      </c>
      <c r="T38" s="97">
        <v>0.9</v>
      </c>
      <c r="U38" s="97">
        <v>-2.5</v>
      </c>
      <c r="V38" s="97">
        <v>-0.6</v>
      </c>
      <c r="W38" s="97">
        <v>-1.1000000000000001</v>
      </c>
      <c r="X38" s="97">
        <v>0</v>
      </c>
      <c r="Y38" s="97">
        <v>2</v>
      </c>
      <c r="Z38" s="97">
        <v>-0.1</v>
      </c>
      <c r="AA38" s="97">
        <v>0.79999999999999993</v>
      </c>
      <c r="AB38" s="97">
        <v>2.2000000000000002</v>
      </c>
      <c r="AC38" s="97">
        <v>-0.7</v>
      </c>
      <c r="AD38" s="97">
        <v>-0.5</v>
      </c>
      <c r="AE38" s="97">
        <v>3.9</v>
      </c>
      <c r="AF38" s="97">
        <f t="shared" ref="AF38:AF45" si="8">SUM(AB38:AE38)</f>
        <v>4.9000000000000004</v>
      </c>
      <c r="AG38" s="97">
        <v>1.6</v>
      </c>
    </row>
    <row r="39" spans="1:33" x14ac:dyDescent="0.25">
      <c r="A39" s="22"/>
      <c r="B39" s="30" t="s">
        <v>261</v>
      </c>
      <c r="C39" s="97">
        <v>7.3</v>
      </c>
      <c r="D39" s="97">
        <v>-2.1</v>
      </c>
      <c r="E39" s="97">
        <v>20.8</v>
      </c>
      <c r="F39" s="32">
        <v>0.3</v>
      </c>
      <c r="G39" s="32">
        <v>9.999999999999995E-2</v>
      </c>
      <c r="H39" s="97">
        <v>-0.8</v>
      </c>
      <c r="I39" s="97">
        <v>4.3</v>
      </c>
      <c r="J39" s="97">
        <v>10.199999999999999</v>
      </c>
      <c r="K39" s="97">
        <v>22.9</v>
      </c>
      <c r="L39" s="97">
        <v>36.6</v>
      </c>
      <c r="M39" s="97">
        <v>11.9</v>
      </c>
      <c r="N39" s="97">
        <v>9.4</v>
      </c>
      <c r="O39" s="97">
        <v>11.2</v>
      </c>
      <c r="P39" s="97">
        <v>-6.2</v>
      </c>
      <c r="Q39" s="97">
        <v>26.3</v>
      </c>
      <c r="R39" s="97">
        <v>8.9</v>
      </c>
      <c r="S39" s="97">
        <v>5</v>
      </c>
      <c r="T39" s="97">
        <v>11.9</v>
      </c>
      <c r="U39" s="97">
        <v>-9.6999999999999993</v>
      </c>
      <c r="V39" s="97">
        <v>16.100000000000001</v>
      </c>
      <c r="W39" s="97">
        <v>5.2120999999999924</v>
      </c>
      <c r="X39" s="97">
        <v>31.653380000000006</v>
      </c>
      <c r="Y39" s="97">
        <v>-2.4</v>
      </c>
      <c r="Z39" s="97">
        <v>13.100000000000001</v>
      </c>
      <c r="AA39" s="97">
        <v>7.2000000000000011</v>
      </c>
      <c r="AB39" s="97">
        <v>4.3</v>
      </c>
      <c r="AC39" s="97">
        <v>-6.9030799999999992</v>
      </c>
      <c r="AD39" s="97">
        <v>-22.7</v>
      </c>
      <c r="AE39" s="97">
        <v>-1.6999999999999993</v>
      </c>
      <c r="AF39" s="97">
        <f t="shared" si="8"/>
        <v>-27.003079999999997</v>
      </c>
      <c r="AG39" s="97">
        <v>-7.9</v>
      </c>
    </row>
    <row r="40" spans="1:33" x14ac:dyDescent="0.25">
      <c r="A40" s="22"/>
      <c r="B40" s="30" t="s">
        <v>262</v>
      </c>
      <c r="C40" s="97">
        <v>19.100000000000001</v>
      </c>
      <c r="D40" s="97">
        <v>9.1</v>
      </c>
      <c r="E40" s="97">
        <v>12.1</v>
      </c>
      <c r="F40" s="32">
        <v>5.5</v>
      </c>
      <c r="G40" s="32">
        <v>45.800000000000004</v>
      </c>
      <c r="H40" s="97">
        <v>1.9</v>
      </c>
      <c r="I40" s="97">
        <v>14.1</v>
      </c>
      <c r="J40" s="97">
        <v>7.9</v>
      </c>
      <c r="K40" s="97">
        <v>5.3</v>
      </c>
      <c r="L40" s="97">
        <v>29.200000000000003</v>
      </c>
      <c r="M40" s="97">
        <v>4.5</v>
      </c>
      <c r="N40" s="97">
        <v>14.1</v>
      </c>
      <c r="O40" s="97">
        <v>14.1</v>
      </c>
      <c r="P40" s="97">
        <v>-5.6</v>
      </c>
      <c r="Q40" s="97">
        <v>26.2</v>
      </c>
      <c r="R40" s="97">
        <v>10.7</v>
      </c>
      <c r="S40" s="97">
        <v>18</v>
      </c>
      <c r="T40" s="97">
        <v>16.3</v>
      </c>
      <c r="U40" s="97">
        <v>15.5</v>
      </c>
      <c r="V40" s="97">
        <v>60.6</v>
      </c>
      <c r="W40" s="97">
        <v>24</v>
      </c>
      <c r="X40" s="97">
        <v>10.999999999999996</v>
      </c>
      <c r="Y40" s="97">
        <v>33.1</v>
      </c>
      <c r="Z40" s="97">
        <v>16.999999999999996</v>
      </c>
      <c r="AA40" s="97">
        <v>85.1</v>
      </c>
      <c r="AB40" s="97">
        <v>18.599999999999998</v>
      </c>
      <c r="AC40" s="97">
        <v>57.668000000000006</v>
      </c>
      <c r="AD40" s="97">
        <v>1.1000000000000014</v>
      </c>
      <c r="AE40" s="97">
        <v>-25.700000000000003</v>
      </c>
      <c r="AF40" s="97">
        <f t="shared" si="8"/>
        <v>51.667999999999992</v>
      </c>
      <c r="AG40" s="97">
        <v>84.800000000000011</v>
      </c>
    </row>
    <row r="41" spans="1:33" x14ac:dyDescent="0.25">
      <c r="A41" s="22"/>
      <c r="B41" s="30" t="s">
        <v>263</v>
      </c>
      <c r="C41" s="32">
        <v>28.9</v>
      </c>
      <c r="D41" s="97">
        <v>27</v>
      </c>
      <c r="E41" s="97">
        <v>27</v>
      </c>
      <c r="F41" s="32">
        <v>29.200000000000003</v>
      </c>
      <c r="G41" s="32">
        <v>112.1</v>
      </c>
      <c r="H41" s="32">
        <v>28.2</v>
      </c>
      <c r="I41" s="32">
        <v>29.9</v>
      </c>
      <c r="J41" s="32">
        <v>25.9</v>
      </c>
      <c r="K41" s="32">
        <v>29</v>
      </c>
      <c r="L41" s="32">
        <v>113</v>
      </c>
      <c r="M41" s="32">
        <v>28.8</v>
      </c>
      <c r="N41" s="32">
        <v>31.3</v>
      </c>
      <c r="O41" s="97">
        <v>28.000000000000004</v>
      </c>
      <c r="P41" s="97">
        <v>29</v>
      </c>
      <c r="Q41" s="32">
        <v>117.1</v>
      </c>
      <c r="R41" s="97">
        <v>32.799999999999997</v>
      </c>
      <c r="S41" s="97">
        <v>34.299999999999997</v>
      </c>
      <c r="T41" s="97">
        <v>34.1</v>
      </c>
      <c r="U41" s="97">
        <v>34.1</v>
      </c>
      <c r="V41" s="97">
        <v>135.30000000000001</v>
      </c>
      <c r="W41" s="97">
        <v>34.4</v>
      </c>
      <c r="X41" s="97">
        <f>X21</f>
        <v>37.200000000000003</v>
      </c>
      <c r="Y41" s="97">
        <v>45</v>
      </c>
      <c r="Z41" s="97">
        <v>41.500000000000007</v>
      </c>
      <c r="AA41" s="97">
        <v>152.1</v>
      </c>
      <c r="AB41" s="97">
        <v>36.4</v>
      </c>
      <c r="AC41" s="97">
        <f>AC21</f>
        <v>36.600000000000009</v>
      </c>
      <c r="AD41" s="97">
        <v>37.137</v>
      </c>
      <c r="AE41" s="97">
        <v>-38.401699113001698</v>
      </c>
      <c r="AF41" s="97">
        <f t="shared" si="8"/>
        <v>71.735300886998303</v>
      </c>
      <c r="AG41" s="97">
        <v>38.4</v>
      </c>
    </row>
    <row r="42" spans="1:33" x14ac:dyDescent="0.25">
      <c r="A42" s="22"/>
      <c r="B42" s="30" t="s">
        <v>265</v>
      </c>
      <c r="C42" s="87">
        <v>6.4</v>
      </c>
      <c r="D42" s="87">
        <v>42.3</v>
      </c>
      <c r="E42" s="87">
        <v>-30.7</v>
      </c>
      <c r="F42" s="87">
        <v>9.9</v>
      </c>
      <c r="G42" s="87">
        <v>27.999999999999993</v>
      </c>
      <c r="H42" s="87">
        <v>17.2</v>
      </c>
      <c r="I42" s="87">
        <v>12.7</v>
      </c>
      <c r="J42" s="87">
        <v>14.1</v>
      </c>
      <c r="K42" s="87">
        <v>10.9</v>
      </c>
      <c r="L42" s="87">
        <v>54.9</v>
      </c>
      <c r="M42" s="87">
        <v>11.7</v>
      </c>
      <c r="N42" s="87">
        <v>12.7</v>
      </c>
      <c r="O42" s="87">
        <v>4.7</v>
      </c>
      <c r="P42" s="87">
        <v>16.899999999999999</v>
      </c>
      <c r="Q42" s="87">
        <v>46</v>
      </c>
      <c r="R42" s="97">
        <v>4.4000000000000004</v>
      </c>
      <c r="S42" s="97">
        <v>2.8</v>
      </c>
      <c r="T42" s="97">
        <v>6.9</v>
      </c>
      <c r="U42" s="97">
        <v>47.5</v>
      </c>
      <c r="V42" s="97">
        <v>61.6</v>
      </c>
      <c r="W42" s="97">
        <v>3.835000000000008</v>
      </c>
      <c r="X42" s="97">
        <v>5.7430000000000092</v>
      </c>
      <c r="Y42" s="97">
        <v>11.3</v>
      </c>
      <c r="Z42" s="97">
        <v>39.5</v>
      </c>
      <c r="AA42" s="97">
        <v>179.10000000000002</v>
      </c>
      <c r="AB42" s="97">
        <v>10.4</v>
      </c>
      <c r="AC42" s="97">
        <v>10.559999999999999</v>
      </c>
      <c r="AD42" s="97">
        <v>-5.2</v>
      </c>
      <c r="AE42" s="97">
        <v>-12.6</v>
      </c>
      <c r="AF42" s="97">
        <f t="shared" si="8"/>
        <v>3.1600000000000019</v>
      </c>
      <c r="AG42" s="97">
        <v>8.3000000000000007</v>
      </c>
    </row>
    <row r="43" spans="1:33" x14ac:dyDescent="0.25">
      <c r="A43" s="22"/>
      <c r="B43" s="30" t="s">
        <v>268</v>
      </c>
      <c r="C43" s="87">
        <v>-5.7</v>
      </c>
      <c r="D43" s="87">
        <v>-4.4000000000000004</v>
      </c>
      <c r="E43" s="87">
        <v>-4</v>
      </c>
      <c r="F43" s="87">
        <v>-5.0000000000000036</v>
      </c>
      <c r="G43" s="87">
        <v>-19.099999999999994</v>
      </c>
      <c r="H43" s="87">
        <v>-4.0999999999999996</v>
      </c>
      <c r="I43" s="87">
        <v>-4.2</v>
      </c>
      <c r="J43" s="87">
        <v>-4.5999999999999996</v>
      </c>
      <c r="K43" s="87">
        <v>-4.2745723307102992</v>
      </c>
      <c r="L43" s="87">
        <v>-17.2292814755526</v>
      </c>
      <c r="M43" s="87">
        <v>-4.2</v>
      </c>
      <c r="N43" s="87">
        <v>-5</v>
      </c>
      <c r="O43" s="87">
        <v>-1.1221639307668041</v>
      </c>
      <c r="P43" s="87">
        <v>-3</v>
      </c>
      <c r="Q43" s="87">
        <v>-13.4</v>
      </c>
      <c r="R43" s="97">
        <v>-4</v>
      </c>
      <c r="S43" s="97">
        <v>-3.9</v>
      </c>
      <c r="T43" s="97">
        <v>-4.2</v>
      </c>
      <c r="U43" s="97">
        <v>-3.7</v>
      </c>
      <c r="V43" s="97">
        <v>-15.9</v>
      </c>
      <c r="W43" s="97">
        <v>-4.2</v>
      </c>
      <c r="X43" s="97">
        <f>X23</f>
        <v>-4.3</v>
      </c>
      <c r="Y43" s="97">
        <v>-11.4</v>
      </c>
      <c r="Z43" s="97">
        <v>-4.5561734057447083</v>
      </c>
      <c r="AA43" s="97">
        <v>-18.630426023430402</v>
      </c>
      <c r="AB43" s="97">
        <v>-5.9144157577885998</v>
      </c>
      <c r="AC43" s="97">
        <f>AC23</f>
        <v>-4.5068818324179105</v>
      </c>
      <c r="AD43" s="97">
        <v>-2.2387875035087972</v>
      </c>
      <c r="AE43" s="97">
        <f>AE23</f>
        <v>-4.6983008869983038</v>
      </c>
      <c r="AF43" s="97">
        <f>AF23</f>
        <v>-17.358385980713614</v>
      </c>
      <c r="AG43" s="97">
        <v>-4.556293916919202</v>
      </c>
    </row>
    <row r="44" spans="1:33" x14ac:dyDescent="0.25">
      <c r="A44" s="22"/>
      <c r="B44" s="17" t="s">
        <v>269</v>
      </c>
      <c r="C44" s="87">
        <v>1.3</v>
      </c>
      <c r="D44" s="87">
        <v>1.4</v>
      </c>
      <c r="E44" s="87">
        <v>0</v>
      </c>
      <c r="F44" s="87">
        <v>0</v>
      </c>
      <c r="G44" s="87">
        <v>2.7</v>
      </c>
      <c r="H44" s="87">
        <v>0</v>
      </c>
      <c r="I44" s="87">
        <v>0</v>
      </c>
      <c r="J44" s="87">
        <v>0.3</v>
      </c>
      <c r="K44" s="87">
        <v>1.3</v>
      </c>
      <c r="L44" s="87">
        <v>1.6</v>
      </c>
      <c r="M44" s="87">
        <v>0</v>
      </c>
      <c r="N44" s="87">
        <v>1.2</v>
      </c>
      <c r="O44" s="87">
        <v>0.8</v>
      </c>
      <c r="P44" s="87">
        <v>0.6</v>
      </c>
      <c r="Q44" s="87">
        <v>2.7</v>
      </c>
      <c r="R44" s="97">
        <v>0.2</v>
      </c>
      <c r="S44" s="97">
        <v>0.5</v>
      </c>
      <c r="T44" s="97">
        <v>0</v>
      </c>
      <c r="U44" s="97">
        <v>-3.1</v>
      </c>
      <c r="V44" s="97">
        <v>-2.4</v>
      </c>
      <c r="W44" s="97">
        <v>0.2</v>
      </c>
      <c r="X44" s="97">
        <v>1.7</v>
      </c>
      <c r="Y44" s="97">
        <v>-0.7</v>
      </c>
      <c r="Z44" s="97">
        <v>-2</v>
      </c>
      <c r="AA44" s="97">
        <v>-0.8</v>
      </c>
      <c r="AB44" s="97">
        <v>0</v>
      </c>
      <c r="AC44" s="97">
        <v>0.4</v>
      </c>
      <c r="AD44" s="97">
        <v>-0.7</v>
      </c>
      <c r="AE44" s="97">
        <v>-1.6</v>
      </c>
      <c r="AF44" s="97">
        <f t="shared" si="8"/>
        <v>-1.9</v>
      </c>
      <c r="AG44" s="97">
        <v>0.4</v>
      </c>
    </row>
    <row r="45" spans="1:33" x14ac:dyDescent="0.25">
      <c r="A45" s="22"/>
      <c r="B45" s="86" t="s">
        <v>267</v>
      </c>
      <c r="C45" s="88">
        <v>69.099999999999994</v>
      </c>
      <c r="D45" s="88">
        <v>71.7</v>
      </c>
      <c r="E45" s="88">
        <v>75.3</v>
      </c>
      <c r="F45" s="88">
        <v>62.800000000000011</v>
      </c>
      <c r="G45" s="88">
        <v>278.89999999999992</v>
      </c>
      <c r="H45" s="88">
        <v>50.4</v>
      </c>
      <c r="I45" s="88">
        <v>60.3</v>
      </c>
      <c r="J45" s="88">
        <v>69.2</v>
      </c>
      <c r="K45" s="88">
        <f>SUM(K42:K44)</f>
        <v>7.925427669289701</v>
      </c>
      <c r="L45" s="88">
        <f>SUM(L42:L44)</f>
        <v>39.270718524447396</v>
      </c>
      <c r="M45" s="88">
        <f>SUM(M42:M44)</f>
        <v>7.4999999999999991</v>
      </c>
      <c r="N45" s="88">
        <f t="shared" ref="N45:AB45" si="9">SUM(N37:N44)</f>
        <v>77.2</v>
      </c>
      <c r="O45" s="88">
        <f t="shared" si="9"/>
        <v>81.877836069233197</v>
      </c>
      <c r="P45" s="88">
        <f t="shared" si="9"/>
        <v>73.799999999999983</v>
      </c>
      <c r="Q45" s="88">
        <f t="shared" si="9"/>
        <v>305</v>
      </c>
      <c r="R45" s="88">
        <f t="shared" si="9"/>
        <v>67.100000000000009</v>
      </c>
      <c r="S45" s="88">
        <f t="shared" si="9"/>
        <v>63.599999999999987</v>
      </c>
      <c r="T45" s="88">
        <f t="shared" si="9"/>
        <v>97.600000000000009</v>
      </c>
      <c r="U45" s="88">
        <f t="shared" si="9"/>
        <v>80.7</v>
      </c>
      <c r="V45" s="88">
        <f t="shared" si="9"/>
        <v>309.00000000000011</v>
      </c>
      <c r="W45" s="90">
        <v>60.2</v>
      </c>
      <c r="X45" s="88">
        <v>17.565239405496097</v>
      </c>
      <c r="Y45" s="88">
        <f t="shared" si="9"/>
        <v>74.499999999999986</v>
      </c>
      <c r="Z45" s="88">
        <f t="shared" si="9"/>
        <v>50.443826594255292</v>
      </c>
      <c r="AA45" s="88">
        <f t="shared" si="9"/>
        <v>202.46957397656959</v>
      </c>
      <c r="AB45" s="88">
        <f t="shared" si="9"/>
        <v>60.985584242211402</v>
      </c>
      <c r="AC45" s="88">
        <v>70.611999999999981</v>
      </c>
      <c r="AD45" s="88">
        <v>98.498212496491206</v>
      </c>
      <c r="AE45" s="88">
        <v>100.03069911300169</v>
      </c>
      <c r="AF45" s="88">
        <f t="shared" si="8"/>
        <v>330.12649585170425</v>
      </c>
      <c r="AG45" s="88">
        <v>102.94370608308081</v>
      </c>
    </row>
    <row r="46" spans="1:33" x14ac:dyDescent="0.25">
      <c r="A46" s="22"/>
    </row>
    <row r="47" spans="1:33" x14ac:dyDescent="0.25">
      <c r="A47" s="22"/>
      <c r="B47" s="120" t="s">
        <v>294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</row>
    <row r="48" spans="1:33" x14ac:dyDescent="0.25">
      <c r="A48" s="22"/>
      <c r="B48" s="86" t="s">
        <v>254</v>
      </c>
      <c r="C48" s="88">
        <v>106.24017558854999</v>
      </c>
      <c r="D48" s="88">
        <v>108.69098901927499</v>
      </c>
      <c r="E48" s="88">
        <v>116.75129450815001</v>
      </c>
      <c r="F48" s="88">
        <v>112.35553979887499</v>
      </c>
      <c r="G48" s="88">
        <v>444.03799891484999</v>
      </c>
      <c r="H48" s="88">
        <v>124.95293796787502</v>
      </c>
      <c r="I48" s="88">
        <v>110.96820955590498</v>
      </c>
      <c r="J48" s="88">
        <v>123.53215374950001</v>
      </c>
      <c r="K48" s="88">
        <v>117.75320909754998</v>
      </c>
      <c r="L48" s="88">
        <v>477.20651037082996</v>
      </c>
      <c r="M48" s="88">
        <v>125.09676541375001</v>
      </c>
      <c r="N48" s="88">
        <v>119.71901745410001</v>
      </c>
      <c r="O48" s="88">
        <v>127.62827756350002</v>
      </c>
      <c r="P48" s="88">
        <v>120.876421875625</v>
      </c>
      <c r="Q48" s="88">
        <v>493.32048230697495</v>
      </c>
      <c r="R48" s="88">
        <v>124.29308265338179</v>
      </c>
      <c r="S48" s="88">
        <v>110.88421208214798</v>
      </c>
      <c r="T48" s="88">
        <v>200.134782201539</v>
      </c>
      <c r="U48" s="88">
        <v>154.49853529003843</v>
      </c>
      <c r="V48" s="88">
        <v>589.8106122271073</v>
      </c>
      <c r="W48" s="88">
        <v>114.66915220411001</v>
      </c>
      <c r="X48" s="88">
        <v>25.726825522472144</v>
      </c>
      <c r="Y48" s="88">
        <v>75.763154890725104</v>
      </c>
      <c r="Z48" s="88">
        <v>99.996200000000002</v>
      </c>
      <c r="AA48" s="88">
        <v>316.15533261730724</v>
      </c>
      <c r="AB48" s="88">
        <v>73.054749999999999</v>
      </c>
      <c r="AC48" s="88">
        <v>34.175270000000005</v>
      </c>
      <c r="AD48" s="88">
        <v>121.14167000000002</v>
      </c>
      <c r="AE48" s="88">
        <v>105.23639770577502</v>
      </c>
      <c r="AF48" s="88">
        <f>SUM(AB48:AE48)</f>
        <v>333.60808770577501</v>
      </c>
      <c r="AG48" s="88">
        <v>101.55164239900601</v>
      </c>
    </row>
    <row r="49" spans="1:33" x14ac:dyDescent="0.25">
      <c r="A49" s="22"/>
      <c r="B49" s="30" t="s">
        <v>273</v>
      </c>
      <c r="C49" s="94">
        <v>0.23976568627521999</v>
      </c>
      <c r="D49" s="94">
        <v>0.24826630657669024</v>
      </c>
      <c r="E49" s="94">
        <v>0.27412842100997892</v>
      </c>
      <c r="F49" s="94">
        <v>0.26942431722878046</v>
      </c>
      <c r="G49" s="94">
        <v>0.25758942184014</v>
      </c>
      <c r="H49" s="94">
        <v>0.34854376002196658</v>
      </c>
      <c r="I49" s="94">
        <v>0.28315440049988511</v>
      </c>
      <c r="J49" s="94">
        <v>0.29976256673016261</v>
      </c>
      <c r="K49" s="94">
        <v>0.28587814784547216</v>
      </c>
      <c r="L49" s="94">
        <v>0.30310372864000884</v>
      </c>
      <c r="M49" s="94">
        <v>0.32383320065687288</v>
      </c>
      <c r="N49" s="94">
        <v>0.28376159624105241</v>
      </c>
      <c r="O49" s="94">
        <v>0.26653008677412904</v>
      </c>
      <c r="P49" s="94">
        <v>0.27023568494438854</v>
      </c>
      <c r="Q49" s="94">
        <v>0.28444933535546041</v>
      </c>
      <c r="R49" s="94">
        <v>0.29122090593575861</v>
      </c>
      <c r="S49" s="94">
        <v>0.23933566173569604</v>
      </c>
      <c r="T49" s="94">
        <v>0.35173072443152725</v>
      </c>
      <c r="U49" s="94">
        <v>0.28152065468301468</v>
      </c>
      <c r="V49" s="94">
        <v>0.29373038457525263</v>
      </c>
      <c r="W49" s="94">
        <v>0.24729168040567179</v>
      </c>
      <c r="X49" s="94">
        <v>6.2052159967371304E-2</v>
      </c>
      <c r="Y49" s="94">
        <v>0.14511234416917276</v>
      </c>
      <c r="Z49" s="94">
        <v>0.18562502320400964</v>
      </c>
      <c r="AA49" s="94">
        <v>0.16304629794020881</v>
      </c>
      <c r="AB49" s="94">
        <v>0.14918266285480908</v>
      </c>
      <c r="AC49" s="94">
        <f>AC48/AC$9</f>
        <v>6.3156410189465204E-2</v>
      </c>
      <c r="AD49" s="94">
        <v>0.20763844943488979</v>
      </c>
      <c r="AE49" s="94">
        <f>AE48/AE$9</f>
        <v>0.18029192685587633</v>
      </c>
      <c r="AF49" s="94">
        <f>AF48/AF$9</f>
        <v>0.15178166865902795</v>
      </c>
      <c r="AG49" s="94">
        <f>AG48/AG$9</f>
        <v>0.17517964878213904</v>
      </c>
    </row>
    <row r="50" spans="1:33" x14ac:dyDescent="0.25">
      <c r="A50" s="22"/>
      <c r="B50" s="86" t="s">
        <v>255</v>
      </c>
      <c r="C50" s="88">
        <v>32.578322614007341</v>
      </c>
      <c r="D50" s="88">
        <v>30.388006165558313</v>
      </c>
      <c r="E50" s="88">
        <v>38.776401442982021</v>
      </c>
      <c r="F50" s="88">
        <v>34.009384413740918</v>
      </c>
      <c r="G50" s="88">
        <v>135.75211463628861</v>
      </c>
      <c r="H50" s="88">
        <v>46.286815366114986</v>
      </c>
      <c r="I50" s="88">
        <v>33.602220929784977</v>
      </c>
      <c r="J50" s="88">
        <v>46.16355988822</v>
      </c>
      <c r="K50" s="88">
        <v>40.411695482029984</v>
      </c>
      <c r="L50" s="88">
        <v>166.46429166614999</v>
      </c>
      <c r="M50" s="88">
        <v>52.51975783715001</v>
      </c>
      <c r="N50" s="88">
        <v>45.891990252520003</v>
      </c>
      <c r="O50" s="88">
        <v>47.691084225340006</v>
      </c>
      <c r="P50" s="88">
        <v>45.353987578184999</v>
      </c>
      <c r="Q50" s="88">
        <v>191.45681989319493</v>
      </c>
      <c r="R50" s="88">
        <v>43.351960390271806</v>
      </c>
      <c r="S50" s="88">
        <v>31.455435789957964</v>
      </c>
      <c r="T50" s="88">
        <v>64.53489477539901</v>
      </c>
      <c r="U50" s="88">
        <v>53.443353905168422</v>
      </c>
      <c r="V50" s="88">
        <v>192.78564486079728</v>
      </c>
      <c r="W50" s="88">
        <v>41.414333746900013</v>
      </c>
      <c r="X50" s="88">
        <v>-19.050373369999996</v>
      </c>
      <c r="Y50" s="88">
        <v>14.08109975999999</v>
      </c>
      <c r="Z50" s="88">
        <v>8.5975675500000062</v>
      </c>
      <c r="AA50" s="88">
        <v>45.042627686900026</v>
      </c>
      <c r="AB50" s="88">
        <v>18.310220000000001</v>
      </c>
      <c r="AC50" s="88">
        <v>13.51728</v>
      </c>
      <c r="AD50" s="88">
        <v>43.483330000000002</v>
      </c>
      <c r="AE50" s="88">
        <v>45.123370727175015</v>
      </c>
      <c r="AF50" s="88">
        <f>SUM(AB50:AE50)</f>
        <v>120.43420072717502</v>
      </c>
      <c r="AG50" s="88">
        <v>37.555689981855089</v>
      </c>
    </row>
    <row r="51" spans="1:33" x14ac:dyDescent="0.25">
      <c r="A51" s="22"/>
      <c r="B51" s="92" t="s">
        <v>256</v>
      </c>
      <c r="C51" s="93">
        <v>0.30664786116485354</v>
      </c>
      <c r="D51" s="93">
        <v>0.27958165106188682</v>
      </c>
      <c r="E51" s="93">
        <v>0.33212823554838761</v>
      </c>
      <c r="F51" s="93">
        <v>0.30269432619540004</v>
      </c>
      <c r="G51" s="93">
        <v>0.30572184130196667</v>
      </c>
      <c r="H51" s="93">
        <v>0.3704339899395977</v>
      </c>
      <c r="I51" s="93">
        <v>0.3028094358218551</v>
      </c>
      <c r="J51" s="93">
        <v>0.3736967136655856</v>
      </c>
      <c r="K51" s="93">
        <v>0.34318975925787149</v>
      </c>
      <c r="L51" s="93">
        <v>0.34883072223133149</v>
      </c>
      <c r="M51" s="93">
        <v>0.41983306013903782</v>
      </c>
      <c r="N51" s="93">
        <v>0.38333082937399554</v>
      </c>
      <c r="O51" s="93">
        <v>0.37367176879443381</v>
      </c>
      <c r="P51" s="93">
        <v>0.375209547688727</v>
      </c>
      <c r="Q51" s="93">
        <v>0.38809825815028393</v>
      </c>
      <c r="R51" s="93">
        <v>0.34878819854495158</v>
      </c>
      <c r="S51" s="93">
        <v>0.28367821892132283</v>
      </c>
      <c r="T51" s="93">
        <v>0.32245716644301897</v>
      </c>
      <c r="U51" s="93">
        <v>0.34591495514724324</v>
      </c>
      <c r="V51" s="93">
        <v>0.32686025117934792</v>
      </c>
      <c r="W51" s="93">
        <v>0.36116368657878356</v>
      </c>
      <c r="X51" s="93">
        <v>-0.74048674809722137</v>
      </c>
      <c r="Y51" s="93">
        <v>0.1858568294880206</v>
      </c>
      <c r="Z51" s="93">
        <v>8.5978942699822647E-2</v>
      </c>
      <c r="AA51" s="93">
        <v>0.14246992867086078</v>
      </c>
      <c r="AB51" s="93">
        <v>0.25063695379150569</v>
      </c>
      <c r="AC51" s="93">
        <f>IFERROR(AC50/AC48,"N/A")</f>
        <v>0.39552811140921484</v>
      </c>
      <c r="AD51" s="93">
        <v>0.35894610004963606</v>
      </c>
      <c r="AE51" s="93">
        <f>IFERROR(AE50/AE48,"N/A")</f>
        <v>0.4287810273906667</v>
      </c>
      <c r="AF51" s="93">
        <f>IFERROR(AF50/AF48,"N/A")</f>
        <v>0.36100503904267373</v>
      </c>
      <c r="AG51" s="93">
        <f>IFERROR(AG50/AG48,"N/A")</f>
        <v>0.36981863704670803</v>
      </c>
    </row>
    <row r="52" spans="1:33" x14ac:dyDescent="0.25">
      <c r="A52" s="22"/>
      <c r="B52" s="6" t="s">
        <v>274</v>
      </c>
      <c r="C52" s="94">
        <v>0.47146631858187182</v>
      </c>
      <c r="D52" s="94">
        <v>0.42382156437319823</v>
      </c>
      <c r="E52" s="94">
        <v>0.51495885050440937</v>
      </c>
      <c r="F52" s="94">
        <v>0.54128713142137019</v>
      </c>
      <c r="G52" s="94">
        <v>0.48668781542808465</v>
      </c>
      <c r="H52" s="94">
        <v>0.9183891937721228</v>
      </c>
      <c r="I52" s="94">
        <v>0.55725076168797638</v>
      </c>
      <c r="J52" s="94">
        <v>0.66710346659277453</v>
      </c>
      <c r="K52" s="94">
        <v>0.61137209503827517</v>
      </c>
      <c r="L52" s="94">
        <v>0.67695929917100439</v>
      </c>
      <c r="M52" s="94">
        <v>0.71944873749520566</v>
      </c>
      <c r="N52" s="94">
        <v>0.59522685152425425</v>
      </c>
      <c r="O52" s="94">
        <v>0.58838132422922962</v>
      </c>
      <c r="P52" s="94">
        <v>0.6145526772111789</v>
      </c>
      <c r="Q52" s="94">
        <v>0.62782048137212865</v>
      </c>
      <c r="R52" s="94">
        <v>0.64607988659123416</v>
      </c>
      <c r="S52" s="94">
        <v>0.49458232374147743</v>
      </c>
      <c r="T52" s="94">
        <v>0.66121818417417022</v>
      </c>
      <c r="U52" s="94">
        <v>0.66224726028709324</v>
      </c>
      <c r="V52" s="94">
        <v>0.62390176330355107</v>
      </c>
      <c r="W52" s="94">
        <v>0.68794574330398695</v>
      </c>
      <c r="X52" s="94">
        <v>-1.0885927639999997</v>
      </c>
      <c r="Y52" s="94">
        <v>0.18900805046979852</v>
      </c>
      <c r="Z52" s="94">
        <v>0.17055322733620878</v>
      </c>
      <c r="AA52" s="94">
        <v>0.22245915600956365</v>
      </c>
      <c r="AB52" s="94">
        <v>0.30023849451501217</v>
      </c>
      <c r="AC52" s="94">
        <f>AC50/AC$10</f>
        <v>0.18415912806539508</v>
      </c>
      <c r="AD52" s="94">
        <v>0.44145512690355332</v>
      </c>
      <c r="AE52" s="94">
        <f>AE50/AE$10</f>
        <v>0.44412023736914757</v>
      </c>
      <c r="AF52" s="94">
        <f>AF50/AF$10</f>
        <v>0.36005614180338918</v>
      </c>
      <c r="AG52" s="94">
        <f>AG50/AG$10</f>
        <v>0.36481773787652189</v>
      </c>
    </row>
    <row r="53" spans="1:33" x14ac:dyDescent="0.25">
      <c r="A53" s="22"/>
      <c r="B53" s="86" t="s">
        <v>292</v>
      </c>
      <c r="C53" s="88">
        <v>73.661852974542654</v>
      </c>
      <c r="D53" s="88">
        <v>78.302982853716671</v>
      </c>
      <c r="E53" s="88">
        <v>77.97489306516799</v>
      </c>
      <c r="F53" s="88">
        <v>78.346155385134068</v>
      </c>
      <c r="G53" s="88">
        <v>308.28588427856141</v>
      </c>
      <c r="H53" s="88">
        <v>78.666122601760023</v>
      </c>
      <c r="I53" s="88">
        <v>77.36598862612</v>
      </c>
      <c r="J53" s="88">
        <v>77.368593861280004</v>
      </c>
      <c r="K53" s="88">
        <v>77.34151361552</v>
      </c>
      <c r="L53" s="88">
        <v>310.74221870468</v>
      </c>
      <c r="M53" s="88">
        <v>72.577007576599996</v>
      </c>
      <c r="N53" s="88">
        <v>73.827027201580009</v>
      </c>
      <c r="O53" s="88">
        <v>79.937193338160014</v>
      </c>
      <c r="P53" s="88">
        <v>75.52243429744</v>
      </c>
      <c r="Q53" s="88">
        <v>301.86366241377999</v>
      </c>
      <c r="R53" s="88">
        <v>80.941122263109975</v>
      </c>
      <c r="S53" s="88">
        <v>79.428776292190008</v>
      </c>
      <c r="T53" s="88">
        <v>135.59988742613999</v>
      </c>
      <c r="U53" s="88">
        <v>101.05518138487002</v>
      </c>
      <c r="V53" s="88">
        <v>397.02496736631002</v>
      </c>
      <c r="W53" s="88">
        <v>73.254818457210007</v>
      </c>
      <c r="X53" s="88">
        <v>44.777198892472136</v>
      </c>
      <c r="Y53" s="88">
        <v>61.682055130725111</v>
      </c>
      <c r="Z53" s="88">
        <v>91.398632449999994</v>
      </c>
      <c r="AA53" s="88">
        <v>271.11270493040723</v>
      </c>
      <c r="AB53" s="88">
        <v>54.744529999999997</v>
      </c>
      <c r="AC53" s="88">
        <v>20.657990000000005</v>
      </c>
      <c r="AD53" s="88">
        <v>77.65834000000001</v>
      </c>
      <c r="AE53" s="88">
        <v>60.113026978599997</v>
      </c>
      <c r="AF53" s="88">
        <f>SUM(AB53:AE53)</f>
        <v>213.17388697860002</v>
      </c>
      <c r="AG53" s="88">
        <v>63.995952417150924</v>
      </c>
    </row>
    <row r="54" spans="1:33" x14ac:dyDescent="0.25">
      <c r="A54" s="22"/>
      <c r="B54" s="6" t="s">
        <v>295</v>
      </c>
      <c r="C54" s="94">
        <v>0.196923366885804</v>
      </c>
      <c r="D54" s="94">
        <v>0.21389665361895138</v>
      </c>
      <c r="E54" s="94">
        <v>0.22240591678122179</v>
      </c>
      <c r="F54" s="94">
        <v>0.22121189936765059</v>
      </c>
      <c r="G54" s="94">
        <v>0.21336032945827502</v>
      </c>
      <c r="H54" s="94">
        <v>0.25527750457755094</v>
      </c>
      <c r="I54" s="94">
        <v>0.23325794163667737</v>
      </c>
      <c r="J54" s="94">
        <v>0.22563462529663617</v>
      </c>
      <c r="K54" s="94">
        <v>0.22367008928289608</v>
      </c>
      <c r="L54" s="94">
        <v>0.23390243943485234</v>
      </c>
      <c r="M54" s="94">
        <v>0.2353818081873417</v>
      </c>
      <c r="N54" s="94">
        <v>0.2176916980433892</v>
      </c>
      <c r="O54" s="94">
        <v>0.20400947019595922</v>
      </c>
      <c r="P54" s="94">
        <v>0.20544706534274595</v>
      </c>
      <c r="Q54" s="94">
        <v>0.21455877089943132</v>
      </c>
      <c r="R54" s="94">
        <v>0.22505864168670314</v>
      </c>
      <c r="S54" s="94">
        <v>0.19870321072997343</v>
      </c>
      <c r="T54" s="94">
        <v>0.28765385934192977</v>
      </c>
      <c r="U54" s="94">
        <v>0.21591829274581845</v>
      </c>
      <c r="V54" s="94">
        <v>0.23370838935056845</v>
      </c>
      <c r="W54" s="94">
        <v>0.18150526098963274</v>
      </c>
      <c r="X54" s="94">
        <v>0.11277567915855771</v>
      </c>
      <c r="Y54" s="94">
        <v>0.13797964278711339</v>
      </c>
      <c r="Z54" s="94">
        <v>0.18714809573475782</v>
      </c>
      <c r="AA54" s="94">
        <v>0.15616587228659451</v>
      </c>
      <c r="AB54" s="94">
        <v>0.12772179189198932</v>
      </c>
      <c r="AC54" s="94">
        <f>AC53/AC14</f>
        <v>4.4167319606086268E-2</v>
      </c>
      <c r="AD54" s="94">
        <v>0.16014472311239242</v>
      </c>
      <c r="AE54" s="94">
        <f>AE53/AE14</f>
        <v>0.12469039378068709</v>
      </c>
      <c r="AF54" s="94">
        <f>AF53/AF14</f>
        <v>0.1143968214971543</v>
      </c>
      <c r="AG54" s="94">
        <f>AG53/AG14</f>
        <v>0.13423200329748142</v>
      </c>
    </row>
    <row r="55" spans="1:33" x14ac:dyDescent="0.25">
      <c r="A55" s="22"/>
      <c r="B55" s="5" t="s">
        <v>275</v>
      </c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1:33" x14ac:dyDescent="0.25">
      <c r="A56" s="22"/>
      <c r="B56" s="101" t="s">
        <v>296</v>
      </c>
      <c r="C56" s="87">
        <v>5.5652619999999997</v>
      </c>
      <c r="D56" s="87">
        <v>5.4620959999999998</v>
      </c>
      <c r="E56" s="87">
        <v>5.7991890000000001</v>
      </c>
      <c r="F56" s="87">
        <v>5.374015</v>
      </c>
      <c r="G56" s="87">
        <v>22.200561999999998</v>
      </c>
      <c r="H56" s="87">
        <v>5.885771000000001</v>
      </c>
      <c r="I56" s="87">
        <v>5.5044820000000003</v>
      </c>
      <c r="J56" s="87">
        <v>6.0555639999999995</v>
      </c>
      <c r="K56" s="87">
        <v>5.5833549999999992</v>
      </c>
      <c r="L56" s="87">
        <v>23.029171999999999</v>
      </c>
      <c r="M56" s="87">
        <v>6.1710000000000003</v>
      </c>
      <c r="N56" s="87">
        <v>5.9530000000000003</v>
      </c>
      <c r="O56" s="87">
        <v>6.3159969999999994</v>
      </c>
      <c r="P56" s="87">
        <v>5.9483260000000007</v>
      </c>
      <c r="Q56" s="87">
        <v>24.388323</v>
      </c>
      <c r="R56" s="87">
        <v>6.1982200000000001</v>
      </c>
      <c r="S56" s="87">
        <v>5.5838509999999992</v>
      </c>
      <c r="T56" s="87">
        <v>6.199001</v>
      </c>
      <c r="U56" s="87">
        <v>5.9240440000000003</v>
      </c>
      <c r="V56" s="87">
        <v>23.905116000000003</v>
      </c>
      <c r="W56" s="87">
        <v>5.5570300000000001</v>
      </c>
      <c r="X56" s="87">
        <v>0.92371599999999987</v>
      </c>
      <c r="Y56" s="87">
        <v>3.1302280000000002</v>
      </c>
      <c r="Z56" s="87">
        <v>4.6612750000000007</v>
      </c>
      <c r="AA56" s="87">
        <v>14.272249</v>
      </c>
      <c r="AB56" s="87">
        <v>3.5560420000000006</v>
      </c>
      <c r="AC56" s="87">
        <v>0</v>
      </c>
      <c r="AD56" s="87">
        <v>5.71251</v>
      </c>
      <c r="AE56" s="87">
        <v>5.9914300000000011</v>
      </c>
      <c r="AF56" s="97">
        <f>SUM(AB56:AE56)</f>
        <v>15.259982000000001</v>
      </c>
      <c r="AG56" s="87">
        <v>5.5898680000000001</v>
      </c>
    </row>
    <row r="57" spans="1:33" x14ac:dyDescent="0.25">
      <c r="A57" s="22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33" x14ac:dyDescent="0.25">
      <c r="A58" s="22"/>
      <c r="B58" s="122" t="s">
        <v>297</v>
      </c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</row>
    <row r="59" spans="1:33" x14ac:dyDescent="0.25">
      <c r="A59" s="22"/>
      <c r="B59" s="86" t="s">
        <v>254</v>
      </c>
      <c r="C59" s="90">
        <v>90.943132299815289</v>
      </c>
      <c r="D59" s="90">
        <v>96.378879154529017</v>
      </c>
      <c r="E59" s="90">
        <v>101.33357964533279</v>
      </c>
      <c r="F59" s="90">
        <v>90.493636401102634</v>
      </c>
      <c r="G59" s="90">
        <v>379.1492275007796</v>
      </c>
      <c r="H59" s="90">
        <v>78.314875883155864</v>
      </c>
      <c r="I59" s="90">
        <v>85.605192206937119</v>
      </c>
      <c r="J59" s="90">
        <v>82.217938836488628</v>
      </c>
      <c r="K59" s="90">
        <v>77.055771048463342</v>
      </c>
      <c r="L59" s="90">
        <v>323.1937779750449</v>
      </c>
      <c r="M59" s="90">
        <v>77.466200003979665</v>
      </c>
      <c r="N59" s="90">
        <v>78.458428388414518</v>
      </c>
      <c r="O59" s="90">
        <v>82.361287215018294</v>
      </c>
      <c r="P59" s="90">
        <v>83.562092312260063</v>
      </c>
      <c r="Q59" s="90">
        <v>321.84800791967245</v>
      </c>
      <c r="R59" s="90">
        <v>89.126134603472977</v>
      </c>
      <c r="S59" s="90">
        <v>80.6231186593335</v>
      </c>
      <c r="T59" s="90">
        <v>94.480777238501886</v>
      </c>
      <c r="U59" s="90">
        <v>101.94635087212905</v>
      </c>
      <c r="V59" s="90">
        <v>366.17638137343755</v>
      </c>
      <c r="W59" s="90">
        <v>92.042706782870695</v>
      </c>
      <c r="X59" s="90">
        <v>84.174262438148318</v>
      </c>
      <c r="Y59" s="90">
        <v>110.55777775454023</v>
      </c>
      <c r="Z59" s="90">
        <v>114.16402489733235</v>
      </c>
      <c r="AA59" s="90">
        <v>400.93877187289161</v>
      </c>
      <c r="AB59" s="90">
        <v>115.59501465802092</v>
      </c>
      <c r="AC59" s="90">
        <v>40.945639999999997</v>
      </c>
      <c r="AD59" s="90">
        <v>130.57176000000001</v>
      </c>
      <c r="AE59" s="90">
        <v>142.05455932027704</v>
      </c>
      <c r="AF59" s="88">
        <f>SUM(AB59:AE59)</f>
        <v>429.16697397829796</v>
      </c>
      <c r="AG59" s="90">
        <v>134.8405570867599</v>
      </c>
    </row>
    <row r="60" spans="1:33" x14ac:dyDescent="0.25">
      <c r="A60" s="22"/>
      <c r="B60" s="30" t="s">
        <v>279</v>
      </c>
      <c r="C60" s="94">
        <v>0.20524290746968019</v>
      </c>
      <c r="D60" s="94">
        <v>0.22014362529586343</v>
      </c>
      <c r="E60" s="94">
        <v>0.23792810435626391</v>
      </c>
      <c r="F60" s="94">
        <v>0.21700030318541286</v>
      </c>
      <c r="G60" s="94">
        <v>0.21994701025979091</v>
      </c>
      <c r="H60" s="94">
        <v>0.21845153663362862</v>
      </c>
      <c r="I60" s="94">
        <v>0.21843631591461374</v>
      </c>
      <c r="J60" s="94">
        <v>0.19950967929261981</v>
      </c>
      <c r="K60" s="94">
        <v>0.18707397681103022</v>
      </c>
      <c r="L60" s="94">
        <v>0.20528060084797059</v>
      </c>
      <c r="M60" s="94">
        <v>0.20053378204499006</v>
      </c>
      <c r="N60" s="94">
        <v>0.18596451383838475</v>
      </c>
      <c r="O60" s="94">
        <v>0.1719976281692428</v>
      </c>
      <c r="P60" s="94">
        <v>0.18681442502181994</v>
      </c>
      <c r="Q60" s="94">
        <v>0.1855780475809678</v>
      </c>
      <c r="R60" s="94">
        <v>0.20882412043925253</v>
      </c>
      <c r="S60" s="94">
        <v>0.17401925028994927</v>
      </c>
      <c r="T60" s="94">
        <v>0.16604706017311405</v>
      </c>
      <c r="U60" s="94">
        <v>0.18576230115183864</v>
      </c>
      <c r="V60" s="94">
        <v>0.18235875566406254</v>
      </c>
      <c r="W60" s="94">
        <v>0.19849624063590834</v>
      </c>
      <c r="X60" s="94">
        <v>0.20302523501724146</v>
      </c>
      <c r="Y60" s="94">
        <v>0.2117559428357407</v>
      </c>
      <c r="Z60" s="94">
        <v>0.21192505085823712</v>
      </c>
      <c r="AA60" s="94">
        <v>0.20677045651385056</v>
      </c>
      <c r="AB60" s="94">
        <v>0.23605271525019586</v>
      </c>
      <c r="AC60" s="94">
        <f>AC59/AC$9</f>
        <v>7.5668155227747239E-2</v>
      </c>
      <c r="AD60" s="94">
        <v>0.22380175035051575</v>
      </c>
      <c r="AE60" s="94">
        <f>AE59/AE$9</f>
        <v>0.24336912681219294</v>
      </c>
      <c r="AF60" s="94">
        <f>AF59/AF$9</f>
        <v>0.19525809428583607</v>
      </c>
      <c r="AG60" s="94">
        <f>AG59/AG$9</f>
        <v>0.23260403154521286</v>
      </c>
    </row>
    <row r="61" spans="1:33" x14ac:dyDescent="0.25">
      <c r="A61" s="22"/>
      <c r="B61" s="86" t="s">
        <v>255</v>
      </c>
      <c r="C61" s="90">
        <v>7.7924276486202579</v>
      </c>
      <c r="D61" s="90">
        <v>8.2297659835897932</v>
      </c>
      <c r="E61" s="90">
        <v>8.4715927887098808</v>
      </c>
      <c r="F61" s="90">
        <v>3.7659225579840858</v>
      </c>
      <c r="G61" s="90">
        <v>28.259708978903888</v>
      </c>
      <c r="H61" s="90">
        <v>1.3806045552044088</v>
      </c>
      <c r="I61" s="90">
        <v>4.6694605387778285</v>
      </c>
      <c r="J61" s="90">
        <v>5.0036455990624091</v>
      </c>
      <c r="K61" s="90">
        <v>-2.920820345123706</v>
      </c>
      <c r="L61" s="90">
        <v>8.1328903479209398</v>
      </c>
      <c r="M61" s="90">
        <v>9.4414846497902758</v>
      </c>
      <c r="N61" s="90">
        <v>6.8057919221969785</v>
      </c>
      <c r="O61" s="90">
        <v>7.3628181539916699</v>
      </c>
      <c r="P61" s="90">
        <v>8.2034975520818119</v>
      </c>
      <c r="Q61" s="90">
        <v>31.813592278060678</v>
      </c>
      <c r="R61" s="90">
        <v>2.4725726609064878</v>
      </c>
      <c r="S61" s="90">
        <v>-1.0712686184214544</v>
      </c>
      <c r="T61" s="90">
        <v>2.1771454402490638</v>
      </c>
      <c r="U61" s="90">
        <v>5.6654787945414133</v>
      </c>
      <c r="V61" s="90">
        <v>9.243928277275641</v>
      </c>
      <c r="W61" s="90">
        <v>5.6355423164999374</v>
      </c>
      <c r="X61" s="90">
        <v>7.0453745861546482</v>
      </c>
      <c r="Y61" s="90">
        <v>17.853695909957036</v>
      </c>
      <c r="Z61" s="90">
        <v>8.198762369999983</v>
      </c>
      <c r="AA61" s="90">
        <v>38.733375182611574</v>
      </c>
      <c r="AB61" s="90">
        <v>11.549400000000009</v>
      </c>
      <c r="AC61" s="90">
        <v>2.1132399999999909</v>
      </c>
      <c r="AD61" s="90">
        <v>10.402619999999995</v>
      </c>
      <c r="AE61" s="90">
        <v>18.0779202190778</v>
      </c>
      <c r="AF61" s="88">
        <f>SUM(AB61:AE61)</f>
        <v>42.143180219077792</v>
      </c>
      <c r="AG61" s="90">
        <v>17.297212088813861</v>
      </c>
    </row>
    <row r="62" spans="1:33" x14ac:dyDescent="0.25">
      <c r="A62" s="22"/>
      <c r="B62" s="92" t="s">
        <v>256</v>
      </c>
      <c r="C62" s="104">
        <v>8.5684619075255722E-2</v>
      </c>
      <c r="D62" s="104">
        <v>8.5389724966552089E-2</v>
      </c>
      <c r="E62" s="104">
        <v>8.3601041415495528E-2</v>
      </c>
      <c r="F62" s="104">
        <v>4.161533017959481E-2</v>
      </c>
      <c r="G62" s="104">
        <v>7.4534528700433075E-2</v>
      </c>
      <c r="H62" s="104">
        <v>1.762889284615916E-2</v>
      </c>
      <c r="I62" s="104">
        <v>5.4546464044962835E-2</v>
      </c>
      <c r="J62" s="104">
        <v>6.0858319606058676E-2</v>
      </c>
      <c r="K62" s="104">
        <v>-3.7905276988101123E-2</v>
      </c>
      <c r="L62" s="104">
        <v>2.5164130321063648E-2</v>
      </c>
      <c r="M62" s="104">
        <v>0.12187876324519906</v>
      </c>
      <c r="N62" s="104">
        <v>8.6743923654758665E-2</v>
      </c>
      <c r="O62" s="104">
        <v>8.9396589137439877E-2</v>
      </c>
      <c r="P62" s="104">
        <v>9.8172476598916023E-2</v>
      </c>
      <c r="Q62" s="104">
        <v>9.8846634110597895E-2</v>
      </c>
      <c r="R62" s="104">
        <v>2.7742397579644827E-2</v>
      </c>
      <c r="S62" s="104">
        <v>-1.3287362684988827E-2</v>
      </c>
      <c r="T62" s="104">
        <v>2.3043263443453709E-2</v>
      </c>
      <c r="U62" s="104">
        <v>5.5573139657030035E-2</v>
      </c>
      <c r="V62" s="104">
        <v>2.5244468915782987E-2</v>
      </c>
      <c r="W62" s="104">
        <v>6.1227472696932045E-2</v>
      </c>
      <c r="X62" s="104">
        <v>8.3699867181273202E-2</v>
      </c>
      <c r="Y62" s="104">
        <v>0.16148747082811046</v>
      </c>
      <c r="Z62" s="104">
        <v>7.1815638747610072E-2</v>
      </c>
      <c r="AA62" s="104">
        <v>9.6606708804134064E-2</v>
      </c>
      <c r="AB62" s="104">
        <v>9.9912613309216095E-2</v>
      </c>
      <c r="AC62" s="104">
        <f>AC61/AC59</f>
        <v>5.1610867481861097E-2</v>
      </c>
      <c r="AD62" s="104">
        <v>7.9669754011127636E-2</v>
      </c>
      <c r="AE62" s="104">
        <f>AE61/AE59</f>
        <v>0.12726040125413515</v>
      </c>
      <c r="AF62" s="104">
        <f>AF61/AF59</f>
        <v>9.8197631165367533E-2</v>
      </c>
      <c r="AG62" s="104">
        <f>AG61/AG59</f>
        <v>0.12827900197478706</v>
      </c>
    </row>
    <row r="63" spans="1:33" x14ac:dyDescent="0.25">
      <c r="A63" s="22"/>
      <c r="B63" s="6" t="s">
        <v>274</v>
      </c>
      <c r="C63" s="94">
        <v>0.11277029882229028</v>
      </c>
      <c r="D63" s="94">
        <v>0.1147805576511826</v>
      </c>
      <c r="E63" s="94">
        <v>0.11250455230690413</v>
      </c>
      <c r="F63" s="94">
        <v>5.9937733472842133E-2</v>
      </c>
      <c r="G63" s="94">
        <v>0.10131448828200869</v>
      </c>
      <c r="H63" s="94">
        <v>2.7392947523897003E-2</v>
      </c>
      <c r="I63" s="94">
        <v>7.7437156530312246E-2</v>
      </c>
      <c r="J63" s="94">
        <v>7.2307017327491452E-2</v>
      </c>
      <c r="K63" s="94">
        <v>-4.418790234680342E-2</v>
      </c>
      <c r="L63" s="94">
        <v>3.3073974574708988E-2</v>
      </c>
      <c r="M63" s="94">
        <v>0.12933540616151062</v>
      </c>
      <c r="N63" s="94">
        <v>8.8272268770388837E-2</v>
      </c>
      <c r="O63" s="94">
        <v>9.0837622290893635E-2</v>
      </c>
      <c r="P63" s="94">
        <v>0.11115850341574271</v>
      </c>
      <c r="Q63" s="94">
        <v>0.10432234709283714</v>
      </c>
      <c r="R63" s="94">
        <v>3.6849070952406679E-2</v>
      </c>
      <c r="S63" s="94">
        <v>-1.6843846201595195E-2</v>
      </c>
      <c r="T63" s="94">
        <v>2.2306818035338769E-2</v>
      </c>
      <c r="U63" s="94">
        <v>7.0204198197539203E-2</v>
      </c>
      <c r="V63" s="94">
        <v>2.9915625492801426E-2</v>
      </c>
      <c r="W63" s="94">
        <v>9.3613659742523878E-2</v>
      </c>
      <c r="X63" s="94">
        <v>0.40259283349455133</v>
      </c>
      <c r="Y63" s="94">
        <v>0.23964692496586626</v>
      </c>
      <c r="Z63" s="94">
        <v>0.16264197684217788</v>
      </c>
      <c r="AA63" s="94">
        <v>0.19129865185533029</v>
      </c>
      <c r="AB63" s="94">
        <v>0.18937918105580839</v>
      </c>
      <c r="AC63" s="94">
        <f>AC61/AC$10</f>
        <v>2.8790735694822763E-2</v>
      </c>
      <c r="AD63" s="94">
        <v>0.1056103553299492</v>
      </c>
      <c r="AE63" s="94">
        <f>AE61/AE$10</f>
        <v>0.17792931001056872</v>
      </c>
      <c r="AF63" s="94">
        <f>AF61/AF$10</f>
        <v>0.12599337049930026</v>
      </c>
      <c r="AG63" s="94">
        <f>AG61/AG$10</f>
        <v>0.16802593132652646</v>
      </c>
    </row>
    <row r="64" spans="1:33" x14ac:dyDescent="0.25">
      <c r="A64" s="22"/>
      <c r="B64" s="86" t="s">
        <v>292</v>
      </c>
      <c r="C64" s="90">
        <v>83.150704651195028</v>
      </c>
      <c r="D64" s="90">
        <v>88.149113170939216</v>
      </c>
      <c r="E64" s="90">
        <v>92.861986856622906</v>
      </c>
      <c r="F64" s="90">
        <v>86.727713843118551</v>
      </c>
      <c r="G64" s="90">
        <v>350.88951852187574</v>
      </c>
      <c r="H64" s="90">
        <v>76.934271327951464</v>
      </c>
      <c r="I64" s="90">
        <v>80.935731668159292</v>
      </c>
      <c r="J64" s="90">
        <v>77.214293237426219</v>
      </c>
      <c r="K64" s="90">
        <v>79.976591393587043</v>
      </c>
      <c r="L64" s="90">
        <v>315.06088762712398</v>
      </c>
      <c r="M64" s="90">
        <v>68.024715354189397</v>
      </c>
      <c r="N64" s="90">
        <v>71.65263646621753</v>
      </c>
      <c r="O64" s="90">
        <v>74.998469061026626</v>
      </c>
      <c r="P64" s="90">
        <v>75.358594760178249</v>
      </c>
      <c r="Q64" s="90">
        <v>290.03441564161182</v>
      </c>
      <c r="R64" s="90">
        <v>86.653561942566498</v>
      </c>
      <c r="S64" s="90">
        <v>81.694387277754956</v>
      </c>
      <c r="T64" s="90">
        <v>92.303631798252823</v>
      </c>
      <c r="U64" s="90">
        <v>96.280872077587631</v>
      </c>
      <c r="V64" s="90">
        <v>356.93245309616191</v>
      </c>
      <c r="W64" s="90">
        <v>86.407164466370759</v>
      </c>
      <c r="X64" s="90">
        <v>77.128887851993667</v>
      </c>
      <c r="Y64" s="90">
        <v>92.704081844583186</v>
      </c>
      <c r="Z64" s="90">
        <v>105.96526252733237</v>
      </c>
      <c r="AA64" s="90">
        <v>362.20539669028</v>
      </c>
      <c r="AB64" s="90">
        <v>104.04561465802091</v>
      </c>
      <c r="AC64" s="90">
        <v>38.832400000000007</v>
      </c>
      <c r="AD64" s="90">
        <v>120.16914000000001</v>
      </c>
      <c r="AE64" s="90">
        <v>123.97663910119924</v>
      </c>
      <c r="AF64" s="88">
        <f>SUM(AB64:AE64)</f>
        <v>387.02379375922015</v>
      </c>
      <c r="AG64" s="90">
        <v>117.54334499794602</v>
      </c>
    </row>
    <row r="65" spans="1:33" x14ac:dyDescent="0.25">
      <c r="A65" s="22"/>
      <c r="B65" s="6" t="s">
        <v>295</v>
      </c>
      <c r="C65" s="94">
        <v>0.2222903179546587</v>
      </c>
      <c r="D65" s="94">
        <v>0.24079287454433396</v>
      </c>
      <c r="E65" s="94">
        <v>0.26486801724385911</v>
      </c>
      <c r="F65" s="94">
        <v>0.24487739331610736</v>
      </c>
      <c r="G65" s="94">
        <v>0.24284570618755758</v>
      </c>
      <c r="H65" s="94">
        <v>0.24965751649557305</v>
      </c>
      <c r="I65" s="94">
        <v>0.24402069318867928</v>
      </c>
      <c r="J65" s="94">
        <v>0.2251846292231815</v>
      </c>
      <c r="K65" s="94">
        <v>0.23129068079106849</v>
      </c>
      <c r="L65" s="94">
        <v>0.23715319564133724</v>
      </c>
      <c r="M65" s="94">
        <v>0.22061781046289353</v>
      </c>
      <c r="N65" s="94">
        <v>0.2112801326677656</v>
      </c>
      <c r="O65" s="94">
        <v>0.19140524328797087</v>
      </c>
      <c r="P65" s="94">
        <v>0.20500136530102098</v>
      </c>
      <c r="Q65" s="94">
        <v>0.20615077429656958</v>
      </c>
      <c r="R65" s="94">
        <v>0.24094221086673731</v>
      </c>
      <c r="S65" s="94">
        <v>0.20437098251385172</v>
      </c>
      <c r="T65" s="94">
        <v>0.19580765457866806</v>
      </c>
      <c r="U65" s="94">
        <v>0.20571732431904535</v>
      </c>
      <c r="V65" s="94">
        <v>0.21010796694578318</v>
      </c>
      <c r="W65" s="94">
        <v>0.21409315138776558</v>
      </c>
      <c r="X65" s="94">
        <v>0.19425651727658996</v>
      </c>
      <c r="Y65" s="94">
        <v>0.20737435013658148</v>
      </c>
      <c r="Z65" s="94">
        <v>0.21697476826989381</v>
      </c>
      <c r="AA65" s="94">
        <v>0.2086369273456557</v>
      </c>
      <c r="AB65" s="94">
        <v>0.24274374704880761</v>
      </c>
      <c r="AC65" s="94">
        <f>AC64/AC14</f>
        <v>8.3024680613718191E-2</v>
      </c>
      <c r="AD65" s="94">
        <v>0.24780923274891428</v>
      </c>
      <c r="AE65" s="94">
        <f>AE64/AE14</f>
        <v>0.25716049791732992</v>
      </c>
      <c r="AF65" s="94">
        <f>AF64/AF14</f>
        <v>0.20769097227311689</v>
      </c>
      <c r="AG65" s="94">
        <f>AG64/AG14</f>
        <v>0.24654807182981717</v>
      </c>
    </row>
    <row r="66" spans="1:33" x14ac:dyDescent="0.25">
      <c r="A66" s="22"/>
      <c r="B66" s="107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33" x14ac:dyDescent="0.25">
      <c r="A67" s="22"/>
      <c r="B67" s="124" t="s">
        <v>298</v>
      </c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</row>
    <row r="68" spans="1:33" x14ac:dyDescent="0.25">
      <c r="A68" s="22"/>
      <c r="B68" s="86" t="s">
        <v>254</v>
      </c>
      <c r="C68" s="90">
        <v>15.03042643413996</v>
      </c>
      <c r="D68" s="90">
        <v>20.38361990192497</v>
      </c>
      <c r="E68" s="90">
        <v>18.203762358755018</v>
      </c>
      <c r="F68" s="90">
        <v>17.214044322085389</v>
      </c>
      <c r="G68" s="90">
        <v>70.831853016905328</v>
      </c>
      <c r="H68" s="90">
        <v>20.580993438434678</v>
      </c>
      <c r="I68" s="90">
        <v>21.827563194804775</v>
      </c>
      <c r="J68" s="90">
        <v>22.836791961084799</v>
      </c>
      <c r="K68" s="90">
        <v>22.064264184197096</v>
      </c>
      <c r="L68" s="90">
        <v>87.309612778521341</v>
      </c>
      <c r="M68" s="90">
        <v>27.249095889416765</v>
      </c>
      <c r="N68" s="90">
        <v>29.668878001736537</v>
      </c>
      <c r="O68" s="90">
        <v>37.071892298249331</v>
      </c>
      <c r="P68" s="90">
        <v>34.199849412835604</v>
      </c>
      <c r="Q68" s="90">
        <v>128.18971560223824</v>
      </c>
      <c r="R68" s="90">
        <v>28.834076973027297</v>
      </c>
      <c r="S68" s="90">
        <v>30.5528298414498</v>
      </c>
      <c r="T68" s="90">
        <v>33.707729941249895</v>
      </c>
      <c r="U68" s="90">
        <v>37.249146224075325</v>
      </c>
      <c r="V68" s="90">
        <v>130.34378297980234</v>
      </c>
      <c r="W68" s="90">
        <v>28.579573526280797</v>
      </c>
      <c r="X68" s="90">
        <v>31.714891221165832</v>
      </c>
      <c r="Y68" s="90">
        <v>35.501761854582604</v>
      </c>
      <c r="Z68" s="90">
        <v>40.822695489999994</v>
      </c>
      <c r="AA68" s="90">
        <v>136.61892209202918</v>
      </c>
      <c r="AB68" s="90">
        <v>42.702250567934684</v>
      </c>
      <c r="AC68" s="90">
        <v>16.65541</v>
      </c>
      <c r="AD68" s="90">
        <v>49.590638630000001</v>
      </c>
      <c r="AE68" s="90">
        <v>53.686855126643543</v>
      </c>
      <c r="AF68" s="88">
        <f>SUM(AB68:AE68)</f>
        <v>162.63515432457822</v>
      </c>
      <c r="AG68" s="90">
        <v>53.136340307463428</v>
      </c>
    </row>
    <row r="69" spans="1:33" x14ac:dyDescent="0.25">
      <c r="A69" s="22"/>
      <c r="B69" s="30" t="s">
        <v>273</v>
      </c>
      <c r="C69" s="94">
        <v>3.3921070715729994E-2</v>
      </c>
      <c r="D69" s="94">
        <v>4.6559204892473664E-2</v>
      </c>
      <c r="E69" s="94">
        <v>4.2741869825675086E-2</v>
      </c>
      <c r="F69" s="94">
        <v>4.1278624503304287E-2</v>
      </c>
      <c r="G69" s="94">
        <v>4.109003308518476E-2</v>
      </c>
      <c r="H69" s="94">
        <v>5.7408628838032577E-2</v>
      </c>
      <c r="I69" s="94">
        <v>5.5696767529483993E-2</v>
      </c>
      <c r="J69" s="94">
        <v>5.5415656299647655E-2</v>
      </c>
      <c r="K69" s="94">
        <v>5.3567040991010194E-2</v>
      </c>
      <c r="L69" s="94">
        <v>5.5455800799365684E-2</v>
      </c>
      <c r="M69" s="94">
        <v>7.053868985093649E-2</v>
      </c>
      <c r="N69" s="94">
        <v>7.0322062104139701E-2</v>
      </c>
      <c r="O69" s="94">
        <v>7.7418381410165882E-2</v>
      </c>
      <c r="P69" s="94">
        <v>7.645841585699889E-2</v>
      </c>
      <c r="Q69" s="94">
        <v>7.3914383671935785E-2</v>
      </c>
      <c r="R69" s="94">
        <v>6.7558755794346989E-2</v>
      </c>
      <c r="S69" s="94">
        <v>6.5946103694042302E-2</v>
      </c>
      <c r="T69" s="94">
        <v>5.9240298666520023E-2</v>
      </c>
      <c r="U69" s="94">
        <v>6.7873808717338432E-2</v>
      </c>
      <c r="V69" s="94">
        <v>6.4912242519821889E-2</v>
      </c>
      <c r="W69" s="94">
        <v>6.1633757874230748E-2</v>
      </c>
      <c r="X69" s="94">
        <v>7.6495154899097514E-2</v>
      </c>
      <c r="Y69" s="94">
        <v>6.7998011596595673E-2</v>
      </c>
      <c r="Z69" s="94">
        <v>7.5780017616484105E-2</v>
      </c>
      <c r="AA69" s="94">
        <v>7.045653568858308E-2</v>
      </c>
      <c r="AB69" s="94">
        <v>8.7200838407054698E-2</v>
      </c>
      <c r="AC69" s="94">
        <f>AC68/AC$9</f>
        <v>3.077944682905857E-2</v>
      </c>
      <c r="AD69" s="94">
        <v>8.4999020664145913E-2</v>
      </c>
      <c r="AE69" s="94">
        <f>AE68/AE$9</f>
        <v>9.1976794803226902E-2</v>
      </c>
      <c r="AF69" s="94">
        <f>AF68/AF$9</f>
        <v>7.3994114698364047E-2</v>
      </c>
      <c r="AG69" s="94">
        <f>AG68/AG$9</f>
        <v>9.1661791111718863E-2</v>
      </c>
    </row>
    <row r="70" spans="1:33" x14ac:dyDescent="0.25">
      <c r="A70" s="22"/>
      <c r="B70" s="86" t="s">
        <v>255</v>
      </c>
      <c r="C70" s="90">
        <v>3.903758805424877E-2</v>
      </c>
      <c r="D70" s="90">
        <v>1.0205555385940861</v>
      </c>
      <c r="E70" s="90">
        <v>1.5258043072111578</v>
      </c>
      <c r="F70" s="90">
        <v>0.81834166627402005</v>
      </c>
      <c r="G70" s="90">
        <v>3.4037391001335053</v>
      </c>
      <c r="H70" s="90">
        <v>3.6239828460340504E-2</v>
      </c>
      <c r="I70" s="90">
        <v>-1.1012416089659747</v>
      </c>
      <c r="J70" s="90">
        <v>-2.8258542732327623</v>
      </c>
      <c r="K70" s="90">
        <v>5.2890527168643784</v>
      </c>
      <c r="L70" s="90">
        <v>1.3981966631259857</v>
      </c>
      <c r="M70" s="90">
        <v>0.97626271384233765</v>
      </c>
      <c r="N70" s="90">
        <v>0.79071515376800383</v>
      </c>
      <c r="O70" s="90">
        <v>3.7283874664373653</v>
      </c>
      <c r="P70" s="90">
        <v>5.5163961285270853</v>
      </c>
      <c r="Q70" s="90">
        <v>11.011761462574766</v>
      </c>
      <c r="R70" s="90">
        <v>3.2506302942650001</v>
      </c>
      <c r="S70" s="90">
        <v>0.72730380530500038</v>
      </c>
      <c r="T70" s="90">
        <v>0.42158605838999941</v>
      </c>
      <c r="U70" s="90">
        <v>6.9037521097943353</v>
      </c>
      <c r="V70" s="90">
        <v>11.303272267754364</v>
      </c>
      <c r="W70" s="90">
        <v>-0.56845932827592338</v>
      </c>
      <c r="X70" s="90">
        <v>0.53113907374066183</v>
      </c>
      <c r="Y70" s="90">
        <v>-1.2967817209470669</v>
      </c>
      <c r="Z70" s="90">
        <v>-1.2516197119594363</v>
      </c>
      <c r="AA70" s="90">
        <v>-2.5857216874418083</v>
      </c>
      <c r="AB70" s="90">
        <v>4.0785453281665101</v>
      </c>
      <c r="AC70" s="90">
        <v>2.938000000000102E-2</v>
      </c>
      <c r="AD70" s="90">
        <v>3.236607410000004</v>
      </c>
      <c r="AE70" s="90">
        <v>2.8214749046090581</v>
      </c>
      <c r="AF70" s="88">
        <f>SUM(AB70:AE70)</f>
        <v>10.166007642775572</v>
      </c>
      <c r="AG70" s="90">
        <v>3.351202223814151</v>
      </c>
    </row>
    <row r="71" spans="1:33" x14ac:dyDescent="0.25">
      <c r="A71" s="22"/>
      <c r="B71" s="92" t="s">
        <v>256</v>
      </c>
      <c r="C71" s="93">
        <v>2.5972375584487201E-3</v>
      </c>
      <c r="D71" s="93">
        <v>5.0067433728869119E-2</v>
      </c>
      <c r="E71" s="93">
        <v>8.381807437061653E-2</v>
      </c>
      <c r="F71" s="93">
        <v>4.7539186664234311E-2</v>
      </c>
      <c r="G71" s="93">
        <v>4.8053791552243312E-2</v>
      </c>
      <c r="H71" s="93">
        <v>1.7608396100386096E-3</v>
      </c>
      <c r="I71" s="93">
        <v>-5.0451880456728382E-2</v>
      </c>
      <c r="J71" s="93">
        <v>-0.12374129772904091</v>
      </c>
      <c r="K71" s="93">
        <v>0.23971126672116772</v>
      </c>
      <c r="L71" s="93">
        <v>1.6014235072520561E-2</v>
      </c>
      <c r="M71" s="93">
        <v>3.5827343329270123E-2</v>
      </c>
      <c r="N71" s="93">
        <v>2.6651333215961952E-2</v>
      </c>
      <c r="O71" s="93">
        <v>0.10057181425868118</v>
      </c>
      <c r="P71" s="93">
        <v>0.16129884263340402</v>
      </c>
      <c r="Q71" s="93">
        <v>8.5902066408691649E-2</v>
      </c>
      <c r="R71" s="93">
        <v>0.11273571535880227</v>
      </c>
      <c r="S71" s="93">
        <v>2.3804793502901538E-2</v>
      </c>
      <c r="T71" s="93">
        <v>1.2507103240852855E-2</v>
      </c>
      <c r="U71" s="93">
        <v>0.1853398751279893</v>
      </c>
      <c r="V71" s="93">
        <v>8.6718921373533278E-2</v>
      </c>
      <c r="W71" s="93">
        <v>-1.9890406263522009E-2</v>
      </c>
      <c r="X71" s="93">
        <v>1.6747308702297899E-2</v>
      </c>
      <c r="Y71" s="93">
        <v>-3.6527249725204186E-2</v>
      </c>
      <c r="Z71" s="93">
        <v>-3.065989878757603E-2</v>
      </c>
      <c r="AA71" s="93">
        <v>-1.8926526778625993E-2</v>
      </c>
      <c r="AB71" s="93">
        <v>9.5511249967445713E-2</v>
      </c>
      <c r="AC71" s="93">
        <f>IFERROR(AC70/AC68,"N/A")</f>
        <v>1.7639913997914804E-3</v>
      </c>
      <c r="AD71" s="93">
        <v>6.526649987608768E-2</v>
      </c>
      <c r="AE71" s="93">
        <f>IFERROR(AE70/AE68,"N/A")</f>
        <v>5.2554296539691063E-2</v>
      </c>
      <c r="AF71" s="93">
        <f>IFERROR(AF70/AF68,"N/A")</f>
        <v>6.2508057898028727E-2</v>
      </c>
      <c r="AG71" s="93">
        <f>IFERROR(AG70/AG68,"N/A")</f>
        <v>6.3067990840600802E-2</v>
      </c>
    </row>
    <row r="72" spans="1:33" x14ac:dyDescent="0.25">
      <c r="A72" s="22"/>
      <c r="B72" s="6" t="s">
        <v>274</v>
      </c>
      <c r="C72" s="106">
        <v>5.6494338718160312E-4</v>
      </c>
      <c r="D72" s="106">
        <v>1.4233689520140671E-2</v>
      </c>
      <c r="E72" s="106">
        <v>2.0263005407850702E-2</v>
      </c>
      <c r="F72" s="106">
        <v>1.302457603087573E-2</v>
      </c>
      <c r="G72" s="106">
        <v>1.2202817991965976E-2</v>
      </c>
      <c r="H72" s="106">
        <v>7.1904421548294655E-4</v>
      </c>
      <c r="I72" s="106">
        <v>-1.8262713249850328E-2</v>
      </c>
      <c r="J72" s="106">
        <v>-4.0836044410878063E-2</v>
      </c>
      <c r="K72" s="106">
        <v>8.0015926125028419E-2</v>
      </c>
      <c r="L72" s="106">
        <v>5.6860376702968099E-3</v>
      </c>
      <c r="M72" s="106">
        <v>1.337346183345668E-2</v>
      </c>
      <c r="N72" s="106">
        <v>1.0255708868586302E-2</v>
      </c>
      <c r="O72" s="106">
        <v>4.5998399708775749E-2</v>
      </c>
      <c r="P72" s="106">
        <v>7.474791502069221E-2</v>
      </c>
      <c r="Q72" s="106">
        <v>3.6109496574974038E-2</v>
      </c>
      <c r="R72" s="106">
        <v>4.8444564743144562E-2</v>
      </c>
      <c r="S72" s="106">
        <v>1.1435594423034597E-2</v>
      </c>
      <c r="T72" s="106">
        <v>4.3195292867827815E-3</v>
      </c>
      <c r="U72" s="106">
        <v>8.5548353281218528E-2</v>
      </c>
      <c r="V72" s="106">
        <v>3.6580169151308621E-2</v>
      </c>
      <c r="W72" s="106">
        <v>-9.4428459846498895E-3</v>
      </c>
      <c r="X72" s="106">
        <v>3.0350804213752105E-2</v>
      </c>
      <c r="Y72" s="106">
        <v>-1.7406466052980765E-2</v>
      </c>
      <c r="Z72" s="106">
        <v>-2.4828857700838623E-2</v>
      </c>
      <c r="AA72" s="106">
        <v>-1.2770513040721706E-2</v>
      </c>
      <c r="AB72" s="106">
        <v>6.6877203503832791E-2</v>
      </c>
      <c r="AC72" s="106">
        <f>AC70/AC$10</f>
        <v>4.0027247956404659E-4</v>
      </c>
      <c r="AD72" s="106">
        <v>3.2858958477157398E-2</v>
      </c>
      <c r="AE72" s="106">
        <f>AE70/AE$10</f>
        <v>2.7769957877092258E-2</v>
      </c>
      <c r="AF72" s="106">
        <f>AF70/AF$10</f>
        <v>3.0392807585392263E-2</v>
      </c>
      <c r="AG72" s="106">
        <f>AG70/AG$10</f>
        <v>3.2553735933205673E-2</v>
      </c>
    </row>
    <row r="73" spans="1:33" x14ac:dyDescent="0.25">
      <c r="A73" s="22"/>
      <c r="B73" s="86" t="s">
        <v>292</v>
      </c>
      <c r="C73" s="90">
        <v>14.991388846085711</v>
      </c>
      <c r="D73" s="90">
        <v>19.363064363330881</v>
      </c>
      <c r="E73" s="90">
        <v>16.677958051543861</v>
      </c>
      <c r="F73" s="90">
        <v>16.39570265581137</v>
      </c>
      <c r="G73" s="90">
        <v>67.428113916771821</v>
      </c>
      <c r="H73" s="90">
        <v>20.544753609974336</v>
      </c>
      <c r="I73" s="90">
        <v>22.928804803770749</v>
      </c>
      <c r="J73" s="90">
        <v>25.662646234317563</v>
      </c>
      <c r="K73" s="90">
        <v>16.775211467332721</v>
      </c>
      <c r="L73" s="90">
        <v>85.911416115395355</v>
      </c>
      <c r="M73" s="90">
        <v>26.272833175574426</v>
      </c>
      <c r="N73" s="90">
        <v>28.878162847968536</v>
      </c>
      <c r="O73" s="90">
        <v>33.343504831811963</v>
      </c>
      <c r="P73" s="90">
        <v>28.683453284308516</v>
      </c>
      <c r="Q73" s="90">
        <v>117.17795413966346</v>
      </c>
      <c r="R73" s="90">
        <v>25.5834466787623</v>
      </c>
      <c r="S73" s="90">
        <v>29.825526036144797</v>
      </c>
      <c r="T73" s="90">
        <v>33.286143882859896</v>
      </c>
      <c r="U73" s="90">
        <v>30.345394114280989</v>
      </c>
      <c r="V73" s="90">
        <v>119.04051071204796</v>
      </c>
      <c r="W73" s="90">
        <v>29.148032854556721</v>
      </c>
      <c r="X73" s="90">
        <v>31.183752147425171</v>
      </c>
      <c r="Y73" s="90">
        <v>36.798543575529671</v>
      </c>
      <c r="Z73" s="90">
        <v>42.074315201959429</v>
      </c>
      <c r="AA73" s="90">
        <v>139.20464377947098</v>
      </c>
      <c r="AB73" s="90">
        <v>38.623705239768178</v>
      </c>
      <c r="AC73" s="90">
        <v>16.62603</v>
      </c>
      <c r="AD73" s="90">
        <v>46.354031219999996</v>
      </c>
      <c r="AE73" s="90">
        <v>50.865380222034489</v>
      </c>
      <c r="AF73" s="88">
        <f>SUM(AB73:AE73)</f>
        <v>152.46914668180267</v>
      </c>
      <c r="AG73" s="90">
        <v>49.785138083649272</v>
      </c>
    </row>
    <row r="74" spans="1:33" x14ac:dyDescent="0.25">
      <c r="A74" s="22"/>
      <c r="B74" s="6" t="s">
        <v>295</v>
      </c>
      <c r="C74" s="94">
        <v>4.0077117892835842E-2</v>
      </c>
      <c r="D74" s="94">
        <v>5.2893191551364516E-2</v>
      </c>
      <c r="E74" s="94">
        <v>4.7570139626768343E-2</v>
      </c>
      <c r="F74" s="94">
        <v>4.6293586559927907E-2</v>
      </c>
      <c r="G74" s="94">
        <v>4.6666050356795365E-2</v>
      </c>
      <c r="H74" s="94">
        <v>6.6669275925359262E-2</v>
      </c>
      <c r="I74" s="94">
        <v>6.9130194129142744E-2</v>
      </c>
      <c r="J74" s="94">
        <v>7.4841499350271082E-2</v>
      </c>
      <c r="K74" s="94">
        <v>4.8513571447415291E-2</v>
      </c>
      <c r="L74" s="94">
        <v>6.4667395014615742E-2</v>
      </c>
      <c r="M74" s="94">
        <v>8.5208073266786991E-2</v>
      </c>
      <c r="N74" s="94">
        <v>8.5152234148380357E-2</v>
      </c>
      <c r="O74" s="94">
        <v>8.5096692429993959E-2</v>
      </c>
      <c r="P74" s="94">
        <v>7.8028884476207719E-2</v>
      </c>
      <c r="Q74" s="94">
        <v>8.3287791633076064E-2</v>
      </c>
      <c r="R74" s="94">
        <v>7.1135358618700864E-2</v>
      </c>
      <c r="S74" s="94">
        <v>7.4613107009117011E-2</v>
      </c>
      <c r="T74" s="94">
        <v>7.0611325217587437E-2</v>
      </c>
      <c r="U74" s="94">
        <v>6.4837107806483454E-2</v>
      </c>
      <c r="V74" s="94">
        <v>7.0073089384107529E-2</v>
      </c>
      <c r="W74" s="94">
        <v>7.2220796147232758E-2</v>
      </c>
      <c r="X74" s="94">
        <v>7.853927700084963E-2</v>
      </c>
      <c r="Y74" s="94">
        <v>8.2316483892710429E-2</v>
      </c>
      <c r="Z74" s="94">
        <v>8.6151485622044235E-2</v>
      </c>
      <c r="AA74" s="94">
        <v>8.0184418608290606E-2</v>
      </c>
      <c r="AB74" s="94">
        <v>9.0111082198188724E-2</v>
      </c>
      <c r="AC74" s="94">
        <f>AC73/AC14</f>
        <v>3.5546884318870244E-2</v>
      </c>
      <c r="AD74" s="94">
        <v>9.558990695487557E-2</v>
      </c>
      <c r="AE74" s="94">
        <f>AE73/AE14</f>
        <v>0.10550831672388969</v>
      </c>
      <c r="AF74" s="94">
        <f>AF73/AF14</f>
        <v>8.1820461239385162E-2</v>
      </c>
      <c r="AG74" s="94">
        <f>AG73/AG14</f>
        <v>0.10442471073559641</v>
      </c>
    </row>
    <row r="75" spans="1:33" x14ac:dyDescent="0.25">
      <c r="A75" s="22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33" x14ac:dyDescent="0.25">
      <c r="A76" s="22"/>
      <c r="B76" s="126" t="s">
        <v>299</v>
      </c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</row>
    <row r="77" spans="1:33" x14ac:dyDescent="0.25">
      <c r="A77" s="22"/>
      <c r="B77" s="86" t="s">
        <v>254</v>
      </c>
      <c r="C77" s="90">
        <v>108.31073528046102</v>
      </c>
      <c r="D77" s="90">
        <v>113.08909377376098</v>
      </c>
      <c r="E77" s="90">
        <v>87.976173835996107</v>
      </c>
      <c r="F77" s="90">
        <v>96.454773438818094</v>
      </c>
      <c r="G77" s="90">
        <v>405.83077632903615</v>
      </c>
      <c r="H77" s="90">
        <v>65.062461174069497</v>
      </c>
      <c r="I77" s="90">
        <v>85.929422365200338</v>
      </c>
      <c r="J77" s="90">
        <v>95.412496918660409</v>
      </c>
      <c r="K77" s="90">
        <v>101.12599626224994</v>
      </c>
      <c r="L77" s="90">
        <v>347.53037672018019</v>
      </c>
      <c r="M77" s="90">
        <v>81.269252106335628</v>
      </c>
      <c r="N77" s="90">
        <v>108.31510345697377</v>
      </c>
      <c r="O77" s="90">
        <v>129.25828306890349</v>
      </c>
      <c r="P77" s="90">
        <v>111.37819908001694</v>
      </c>
      <c r="Q77" s="90">
        <v>430.22083771222981</v>
      </c>
      <c r="R77" s="90">
        <v>87.933519442290347</v>
      </c>
      <c r="S77" s="90">
        <v>120.48826873890971</v>
      </c>
      <c r="T77" s="90">
        <v>145.18432168895313</v>
      </c>
      <c r="U77" s="90">
        <v>138.05764326600897</v>
      </c>
      <c r="V77" s="90">
        <v>491.66375313616214</v>
      </c>
      <c r="W77" s="90">
        <v>156.51020219761705</v>
      </c>
      <c r="X77" s="90">
        <v>151.42841999999999</v>
      </c>
      <c r="Y77" s="90">
        <v>163.63175698903859</v>
      </c>
      <c r="Z77" s="90">
        <v>159.84846546899749</v>
      </c>
      <c r="AA77" s="90">
        <v>631.41884465565283</v>
      </c>
      <c r="AB77" s="90">
        <v>127.87720093729163</v>
      </c>
      <c r="AC77" s="90">
        <v>50.121259999999992</v>
      </c>
      <c r="AD77" s="90">
        <v>162.58869999999999</v>
      </c>
      <c r="AE77" s="90">
        <v>148.2008660376153</v>
      </c>
      <c r="AF77" s="88">
        <f>SUM(AB77:AE77)</f>
        <v>488.78802697490693</v>
      </c>
      <c r="AG77" s="90">
        <v>134.05073827368292</v>
      </c>
    </row>
    <row r="78" spans="1:33" s="30" customFormat="1" x14ac:dyDescent="0.25">
      <c r="A78" s="22"/>
      <c r="B78" s="30" t="s">
        <v>273</v>
      </c>
      <c r="C78" s="94">
        <v>0.24443858108883099</v>
      </c>
      <c r="D78" s="94">
        <v>0.25831222881169708</v>
      </c>
      <c r="E78" s="94">
        <v>0.20656532950456941</v>
      </c>
      <c r="F78" s="94">
        <v>0.23129488340076032</v>
      </c>
      <c r="G78" s="94">
        <v>0.23542515571866196</v>
      </c>
      <c r="H78" s="94">
        <v>0.1814852473474742</v>
      </c>
      <c r="I78" s="94">
        <v>0.21926364471855153</v>
      </c>
      <c r="J78" s="94">
        <v>0.23152753438160739</v>
      </c>
      <c r="K78" s="94">
        <v>0.24551103729606688</v>
      </c>
      <c r="L78" s="94">
        <v>0.22073829822165916</v>
      </c>
      <c r="M78" s="94">
        <v>0.2103785972206462</v>
      </c>
      <c r="N78" s="94">
        <v>0.25673169816775016</v>
      </c>
      <c r="O78" s="94">
        <v>0.26993407777903267</v>
      </c>
      <c r="P78" s="94">
        <v>0.24900111576127193</v>
      </c>
      <c r="Q78" s="94">
        <v>0.24806598495775231</v>
      </c>
      <c r="R78" s="94">
        <v>0.20602980187978057</v>
      </c>
      <c r="S78" s="94">
        <v>0.26006533291368378</v>
      </c>
      <c r="T78" s="94">
        <v>0.25515698012118299</v>
      </c>
      <c r="U78" s="94">
        <v>0.25156276105322334</v>
      </c>
      <c r="V78" s="94">
        <v>0.24485246670127597</v>
      </c>
      <c r="W78" s="94">
        <v>0.33752469742854657</v>
      </c>
      <c r="X78" s="94">
        <v>0.36523979739507956</v>
      </c>
      <c r="Y78" s="94">
        <v>0.31341075845439298</v>
      </c>
      <c r="Z78" s="94">
        <v>0.29673002685910055</v>
      </c>
      <c r="AA78" s="94">
        <v>0.32563266992369616</v>
      </c>
      <c r="AB78" s="94">
        <v>0.26113375727443666</v>
      </c>
      <c r="AC78" s="94">
        <f>AC77/AC$9</f>
        <v>9.2624838246276736E-2</v>
      </c>
      <c r="AD78" s="94">
        <v>0.27867921553033287</v>
      </c>
      <c r="AE78" s="94">
        <f>AE77/AE$9</f>
        <v>0.253899033814657</v>
      </c>
      <c r="AF78" s="94">
        <f>AF77/AF$9</f>
        <v>0.22238388423075711</v>
      </c>
      <c r="AG78" s="94">
        <f>AG77/AG$9</f>
        <v>0.23124157024958239</v>
      </c>
    </row>
    <row r="79" spans="1:33" x14ac:dyDescent="0.25">
      <c r="B79" s="86" t="s">
        <v>255</v>
      </c>
      <c r="C79" s="90">
        <v>7.3315061303439286</v>
      </c>
      <c r="D79" s="90">
        <v>12.332637682057918</v>
      </c>
      <c r="E79" s="90">
        <v>8.7085465212998816</v>
      </c>
      <c r="F79" s="90">
        <v>9.2604350691864088</v>
      </c>
      <c r="G79" s="90">
        <v>37.633125402888112</v>
      </c>
      <c r="H79" s="90">
        <v>-4.6193083084903774</v>
      </c>
      <c r="I79" s="90">
        <v>6.4698621012325601</v>
      </c>
      <c r="J79" s="90">
        <v>2.2220743456839553</v>
      </c>
      <c r="K79" s="90">
        <v>6.5227064013273779</v>
      </c>
      <c r="L79" s="90">
        <v>10.595334539753502</v>
      </c>
      <c r="M79" s="90">
        <v>5.3417287657824346</v>
      </c>
      <c r="N79" s="90">
        <v>16.305282744962156</v>
      </c>
      <c r="O79" s="90">
        <v>17.851056888828957</v>
      </c>
      <c r="P79" s="90">
        <v>6.6423376738419178</v>
      </c>
      <c r="Q79" s="90">
        <v>46.140406073415477</v>
      </c>
      <c r="R79" s="90">
        <v>-1.2340903887396999</v>
      </c>
      <c r="S79" s="90">
        <v>10.063937904654319</v>
      </c>
      <c r="T79" s="90">
        <v>16.68330146993129</v>
      </c>
      <c r="U79" s="90">
        <v>4.6822481589195375</v>
      </c>
      <c r="V79" s="90">
        <v>30.195397144765476</v>
      </c>
      <c r="W79" s="90">
        <v>4.8956018420481122</v>
      </c>
      <c r="X79" s="90">
        <v>8.2787099999999914</v>
      </c>
      <c r="Y79" s="90">
        <v>15.029752520119567</v>
      </c>
      <c r="Z79" s="90">
        <v>4.9705242925461786</v>
      </c>
      <c r="AA79" s="90">
        <v>33.174588654713702</v>
      </c>
      <c r="AB79" s="90">
        <v>-2.6084810313232736</v>
      </c>
      <c r="AC79" s="90">
        <v>1.9413800000000045</v>
      </c>
      <c r="AD79" s="90">
        <v>10.00578</v>
      </c>
      <c r="AE79" s="90">
        <v>0.660505384865537</v>
      </c>
      <c r="AF79" s="88">
        <f>SUM(AB79:AE79)</f>
        <v>9.9991843535422689</v>
      </c>
      <c r="AG79" s="90">
        <v>6.1181556751884196</v>
      </c>
    </row>
    <row r="80" spans="1:33" s="30" customFormat="1" x14ac:dyDescent="0.25">
      <c r="A80" s="22"/>
      <c r="B80" s="92" t="s">
        <v>256</v>
      </c>
      <c r="C80" s="93">
        <v>6.7689561070374465E-2</v>
      </c>
      <c r="D80" s="93">
        <v>0.10905240523661661</v>
      </c>
      <c r="E80" s="93">
        <v>9.8987556989398359E-2</v>
      </c>
      <c r="F80" s="93">
        <v>9.6008053712970096E-2</v>
      </c>
      <c r="G80" s="93">
        <v>9.2731078069782064E-2</v>
      </c>
      <c r="H80" s="93">
        <v>-7.0998056715558019E-2</v>
      </c>
      <c r="I80" s="93">
        <v>7.5292745175635237E-2</v>
      </c>
      <c r="J80" s="93">
        <v>2.3289133158083935E-2</v>
      </c>
      <c r="K80" s="93">
        <v>6.4500787556268424E-2</v>
      </c>
      <c r="L80" s="93">
        <v>3.0487506271385623E-2</v>
      </c>
      <c r="M80" s="93">
        <v>6.572877967171549E-2</v>
      </c>
      <c r="N80" s="93">
        <v>0.15053563376264636</v>
      </c>
      <c r="O80" s="93">
        <v>0.13810377536357282</v>
      </c>
      <c r="P80" s="93">
        <v>5.9637682497181453E-2</v>
      </c>
      <c r="Q80" s="93">
        <v>0.10724818983379487</v>
      </c>
      <c r="R80" s="93">
        <v>-1.4034356825096916E-2</v>
      </c>
      <c r="S80" s="93">
        <v>8.3526288575547725E-2</v>
      </c>
      <c r="T80" s="93">
        <v>0.11491117825844896</v>
      </c>
      <c r="U80" s="93">
        <v>3.3915167955589381E-2</v>
      </c>
      <c r="V80" s="93">
        <v>6.1414731007032597E-2</v>
      </c>
      <c r="W80" s="93">
        <v>3.1279761787456499E-2</v>
      </c>
      <c r="X80" s="93">
        <v>5.4670781085875371E-2</v>
      </c>
      <c r="Y80" s="93">
        <v>9.1851073389906723E-2</v>
      </c>
      <c r="Z80" s="93">
        <v>3.1095226832253881E-2</v>
      </c>
      <c r="AA80" s="93">
        <v>5.253975065125846E-2</v>
      </c>
      <c r="AB80" s="93">
        <v>-2.0398327553340954E-2</v>
      </c>
      <c r="AC80" s="93">
        <f>IFERROR(AC79/AC77,"N/A")</f>
        <v>3.8733663120200983E-2</v>
      </c>
      <c r="AD80" s="93">
        <v>6.1540439157210802E-2</v>
      </c>
      <c r="AE80" s="93">
        <f>IFERROR(AE79/AE77,"N/A")</f>
        <v>4.4568254054459583E-3</v>
      </c>
      <c r="AF80" s="93">
        <f>IFERROR(AF79/AF77,"N/A")</f>
        <v>2.0457097559093036E-2</v>
      </c>
      <c r="AG80" s="93">
        <f>IFERROR(AG79/AG77,"N/A")</f>
        <v>4.5640596642574006E-2</v>
      </c>
    </row>
    <row r="81" spans="1:33" s="30" customFormat="1" x14ac:dyDescent="0.25">
      <c r="A81" s="22"/>
      <c r="B81" s="6" t="s">
        <v>274</v>
      </c>
      <c r="C81" s="106">
        <v>0.10609994399918855</v>
      </c>
      <c r="D81" s="106">
        <v>0.17200331495199328</v>
      </c>
      <c r="E81" s="106">
        <v>0.11565134822443403</v>
      </c>
      <c r="F81" s="106">
        <v>0.14738738794367978</v>
      </c>
      <c r="G81" s="106">
        <v>0.13491932438131418</v>
      </c>
      <c r="H81" s="106">
        <v>-9.1652942628777337E-2</v>
      </c>
      <c r="I81" s="106">
        <v>0.1072945622094952</v>
      </c>
      <c r="J81" s="106">
        <v>3.2110900949190106E-2</v>
      </c>
      <c r="K81" s="106">
        <v>9.8679370670610875E-2</v>
      </c>
      <c r="L81" s="106">
        <v>4.3087981048204563E-2</v>
      </c>
      <c r="M81" s="106">
        <v>7.3174366654553902E-2</v>
      </c>
      <c r="N81" s="106">
        <v>0.2114822664716233</v>
      </c>
      <c r="O81" s="106">
        <v>0.22023463424552941</v>
      </c>
      <c r="P81" s="106">
        <v>9.0004575526313246E-2</v>
      </c>
      <c r="Q81" s="106">
        <v>0.15130248150928791</v>
      </c>
      <c r="R81" s="106">
        <v>-1.8391809072126678E-2</v>
      </c>
      <c r="S81" s="106">
        <v>0.1582380173687786</v>
      </c>
      <c r="T81" s="106">
        <v>0.17093546588044356</v>
      </c>
      <c r="U81" s="106">
        <v>5.8020423282769983E-2</v>
      </c>
      <c r="V81" s="106">
        <v>9.771973186008244E-2</v>
      </c>
      <c r="W81" s="106">
        <v>8.1322289735018469E-2</v>
      </c>
      <c r="X81" s="106">
        <v>0.47306914285714236</v>
      </c>
      <c r="Y81" s="106">
        <v>0.20174164456536331</v>
      </c>
      <c r="Z81" s="106">
        <v>9.8602186573896244E-2</v>
      </c>
      <c r="AA81" s="106">
        <v>0.16384459282419742</v>
      </c>
      <c r="AB81" s="106">
        <v>-4.2772092187612486E-2</v>
      </c>
      <c r="AC81" s="106">
        <f>AC79/AC$10</f>
        <v>2.6449318801089979E-2</v>
      </c>
      <c r="AD81" s="106">
        <v>0.10158152284263959</v>
      </c>
      <c r="AE81" s="106">
        <f>AE79/AE$10</f>
        <v>6.5009285339895865E-3</v>
      </c>
      <c r="AF81" s="106">
        <f>AF79/AF$10</f>
        <v>2.9894064292194648E-2</v>
      </c>
      <c r="AG81" s="106">
        <f>AG79/AG$10</f>
        <v>5.94320518269544E-2</v>
      </c>
    </row>
    <row r="82" spans="1:33" x14ac:dyDescent="0.25">
      <c r="A82" s="22"/>
      <c r="B82" s="86" t="s">
        <v>292</v>
      </c>
      <c r="C82" s="90">
        <v>100.97922915011708</v>
      </c>
      <c r="D82" s="90">
        <v>100.75645609170306</v>
      </c>
      <c r="E82" s="90">
        <v>79.267627314696213</v>
      </c>
      <c r="F82" s="90">
        <v>87.194338369631694</v>
      </c>
      <c r="G82" s="90">
        <v>368.19765092614807</v>
      </c>
      <c r="H82" s="90">
        <v>69.681769482559872</v>
      </c>
      <c r="I82" s="90">
        <v>79.459560263967788</v>
      </c>
      <c r="J82" s="90">
        <v>93.190422572976459</v>
      </c>
      <c r="K82" s="90">
        <v>94.603289860922573</v>
      </c>
      <c r="L82" s="90">
        <v>336.93504218042671</v>
      </c>
      <c r="M82" s="90">
        <v>75.927523340553194</v>
      </c>
      <c r="N82" s="90">
        <v>92.009820712011617</v>
      </c>
      <c r="O82" s="90">
        <v>111.40722618007455</v>
      </c>
      <c r="P82" s="90">
        <v>104.73586140617503</v>
      </c>
      <c r="Q82" s="90">
        <v>384.08043163881433</v>
      </c>
      <c r="R82" s="90">
        <v>89.167609831030049</v>
      </c>
      <c r="S82" s="90">
        <v>110.4243308342554</v>
      </c>
      <c r="T82" s="90">
        <v>128.50102021902185</v>
      </c>
      <c r="U82" s="90">
        <v>133.37539510708942</v>
      </c>
      <c r="V82" s="90">
        <v>461.46835599139666</v>
      </c>
      <c r="W82" s="90">
        <v>151.61460035556891</v>
      </c>
      <c r="X82" s="90">
        <v>143.14971</v>
      </c>
      <c r="Y82" s="90">
        <v>148.60200446891901</v>
      </c>
      <c r="Z82" s="90">
        <v>154.87794117645132</v>
      </c>
      <c r="AA82" s="90">
        <v>598.24425600093923</v>
      </c>
      <c r="AB82" s="90">
        <v>130.4856819686149</v>
      </c>
      <c r="AC82" s="90">
        <v>48.17987999999999</v>
      </c>
      <c r="AD82" s="90">
        <v>152.58291999999997</v>
      </c>
      <c r="AE82" s="90">
        <v>147.54036065274977</v>
      </c>
      <c r="AF82" s="88">
        <f>SUM(AB82:AE82)</f>
        <v>478.78884262136467</v>
      </c>
      <c r="AG82" s="90">
        <v>127.93258259849449</v>
      </c>
    </row>
    <row r="83" spans="1:33" s="30" customFormat="1" x14ac:dyDescent="0.25">
      <c r="A83" s="22"/>
      <c r="B83" s="6" t="s">
        <v>295</v>
      </c>
      <c r="C83" s="94">
        <v>0.26995207134751881</v>
      </c>
      <c r="D83" s="94">
        <v>0.27523177282763178</v>
      </c>
      <c r="E83" s="94">
        <v>0.22609315166694993</v>
      </c>
      <c r="F83" s="94">
        <v>0.24619491677713848</v>
      </c>
      <c r="G83" s="94">
        <v>0.2548244214658289</v>
      </c>
      <c r="H83" s="94">
        <v>0.22612260067916512</v>
      </c>
      <c r="I83" s="94">
        <v>0.23957004621370631</v>
      </c>
      <c r="J83" s="94">
        <v>0.27177676404704471</v>
      </c>
      <c r="K83" s="94">
        <v>0.2735907962034263</v>
      </c>
      <c r="L83" s="94">
        <v>0.25361834843557335</v>
      </c>
      <c r="M83" s="94">
        <v>0.24624820355431973</v>
      </c>
      <c r="N83" s="94">
        <v>0.27130679463464757</v>
      </c>
      <c r="O83" s="94">
        <v>0.28432483353338561</v>
      </c>
      <c r="P83" s="94">
        <v>0.28491766138386532</v>
      </c>
      <c r="Q83" s="94">
        <v>0.27299683797643198</v>
      </c>
      <c r="R83" s="94">
        <v>0.24793257852032255</v>
      </c>
      <c r="S83" s="94">
        <v>0.27624332268143997</v>
      </c>
      <c r="T83" s="94">
        <v>0.27259472774644328</v>
      </c>
      <c r="U83" s="94">
        <v>0.28497487423374607</v>
      </c>
      <c r="V83" s="94">
        <v>0.27164293200608347</v>
      </c>
      <c r="W83" s="94">
        <v>0.37565921514706718</v>
      </c>
      <c r="X83" s="94">
        <v>0.36053630342907961</v>
      </c>
      <c r="Y83" s="94">
        <v>0.33241518056775926</v>
      </c>
      <c r="Z83" s="94">
        <v>0.31712850603480452</v>
      </c>
      <c r="AA83" s="94">
        <v>0.34459962362447405</v>
      </c>
      <c r="AB83" s="94">
        <v>0.30442977804868787</v>
      </c>
      <c r="AC83" s="94">
        <f>AC82/AC14</f>
        <v>0.10300983583315138</v>
      </c>
      <c r="AD83" s="94">
        <v>0.31465196751669317</v>
      </c>
      <c r="AE83" s="94">
        <f>AE82/AE14</f>
        <v>0.30603791878397962</v>
      </c>
      <c r="AF83" s="94">
        <f>AF82/AF14</f>
        <v>0.25693541803121395</v>
      </c>
      <c r="AG83" s="94">
        <f>AG82/AG14</f>
        <v>0.26833957774826639</v>
      </c>
    </row>
    <row r="84" spans="1:33" s="30" customFormat="1" x14ac:dyDescent="0.25">
      <c r="A84" s="22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</row>
    <row r="85" spans="1:33" s="30" customFormat="1" x14ac:dyDescent="0.25">
      <c r="A85" s="22"/>
      <c r="B85" s="128" t="s">
        <v>300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</row>
    <row r="86" spans="1:33" s="30" customFormat="1" x14ac:dyDescent="0.25">
      <c r="A86" s="22"/>
      <c r="B86" s="86" t="s">
        <v>254</v>
      </c>
      <c r="C86" s="90">
        <v>122.62354657721065</v>
      </c>
      <c r="D86" s="90">
        <v>99.259104615726841</v>
      </c>
      <c r="E86" s="90">
        <v>101.63673577422198</v>
      </c>
      <c r="F86" s="90">
        <v>100.48050523019091</v>
      </c>
      <c r="G86" s="90">
        <v>423.99989219735039</v>
      </c>
      <c r="H86" s="90">
        <v>69.610571509812814</v>
      </c>
      <c r="I86" s="90">
        <v>87.597303072353753</v>
      </c>
      <c r="J86" s="90">
        <v>88.111944484368081</v>
      </c>
      <c r="K86" s="90">
        <v>93.913732334270151</v>
      </c>
      <c r="L86" s="90">
        <v>339.2335514008048</v>
      </c>
      <c r="M86" s="90">
        <v>75.249195733012286</v>
      </c>
      <c r="N86" s="90">
        <v>85.689781599593715</v>
      </c>
      <c r="O86" s="90">
        <v>102.53155978287235</v>
      </c>
      <c r="P86" s="90">
        <v>97.262296231160306</v>
      </c>
      <c r="Q86" s="90">
        <v>360.73283334663876</v>
      </c>
      <c r="R86" s="90">
        <v>96.592392094999028</v>
      </c>
      <c r="S86" s="90">
        <v>120.79387462018805</v>
      </c>
      <c r="T86" s="90">
        <v>95.527424297981227</v>
      </c>
      <c r="U86" s="90">
        <v>117.02754483549046</v>
      </c>
      <c r="V86" s="90">
        <v>429.94123584865878</v>
      </c>
      <c r="W86" s="90">
        <v>71.937695482297272</v>
      </c>
      <c r="X86" s="90">
        <v>121.58062592</v>
      </c>
      <c r="Y86" s="90">
        <v>136.48821989163019</v>
      </c>
      <c r="Z86" s="90">
        <v>124.07142287340344</v>
      </c>
      <c r="AA86" s="90">
        <v>454.07796416733095</v>
      </c>
      <c r="AB86" s="90">
        <v>130.47737883289523</v>
      </c>
      <c r="AC86" s="90">
        <v>42.713190000000004</v>
      </c>
      <c r="AD86" s="90">
        <v>119.53218</v>
      </c>
      <c r="AE86" s="90">
        <v>134.92192427369335</v>
      </c>
      <c r="AF86" s="88">
        <f>SUM(AB86:AE86)</f>
        <v>427.64467310658858</v>
      </c>
      <c r="AG86" s="90">
        <v>156.07817409715179</v>
      </c>
    </row>
    <row r="87" spans="1:33" s="30" customFormat="1" x14ac:dyDescent="0.25">
      <c r="A87" s="22"/>
      <c r="B87" s="30" t="s">
        <v>273</v>
      </c>
      <c r="C87" s="94">
        <v>0.27674011865766335</v>
      </c>
      <c r="D87" s="94">
        <v>0.22672248655944915</v>
      </c>
      <c r="E87" s="94">
        <v>0.23863990555111994</v>
      </c>
      <c r="F87" s="94">
        <v>0.24094843534113092</v>
      </c>
      <c r="G87" s="94">
        <v>0.24596518171486742</v>
      </c>
      <c r="H87" s="94">
        <v>0.19417174758664663</v>
      </c>
      <c r="I87" s="94">
        <v>0.22351952812542425</v>
      </c>
      <c r="J87" s="94">
        <v>0.21381204679536053</v>
      </c>
      <c r="K87" s="94">
        <v>0.22800129238715747</v>
      </c>
      <c r="L87" s="94">
        <v>0.21546846506656808</v>
      </c>
      <c r="M87" s="94">
        <v>0.19479470808442217</v>
      </c>
      <c r="N87" s="94">
        <v>0.20310448352593913</v>
      </c>
      <c r="O87" s="94">
        <v>0.21411983337641732</v>
      </c>
      <c r="P87" s="94">
        <v>0.21744309463706751</v>
      </c>
      <c r="Q87" s="94">
        <v>0.20799909666530517</v>
      </c>
      <c r="R87" s="94">
        <v>0.22631769469306237</v>
      </c>
      <c r="S87" s="94">
        <v>0.26072496140770135</v>
      </c>
      <c r="T87" s="94">
        <v>0.16788651018977369</v>
      </c>
      <c r="U87" s="94">
        <v>0.21324261085184124</v>
      </c>
      <c r="V87" s="94">
        <v>0.21411416127921254</v>
      </c>
      <c r="W87" s="94">
        <v>0.1551384418423491</v>
      </c>
      <c r="X87" s="94">
        <v>0.2932480123492523</v>
      </c>
      <c r="Y87" s="94">
        <v>0.26142160484893734</v>
      </c>
      <c r="Z87" s="94">
        <v>0.23031635951996179</v>
      </c>
      <c r="AA87" s="94">
        <v>0.23417517718522002</v>
      </c>
      <c r="AB87" s="94">
        <v>0.26644349363466457</v>
      </c>
      <c r="AC87" s="94">
        <f>AC86/AC$9</f>
        <v>7.893461406861052E-2</v>
      </c>
      <c r="AD87" s="94">
        <v>0.20487976195781468</v>
      </c>
      <c r="AE87" s="94">
        <f>AE86/AE$9</f>
        <v>0.23114943339676775</v>
      </c>
      <c r="AF87" s="94">
        <f>AF86/AF$9</f>
        <v>0.19456549307194429</v>
      </c>
      <c r="AG87" s="94">
        <f>AG86/AG$9</f>
        <v>0.269239562009922</v>
      </c>
    </row>
    <row r="88" spans="1:33" s="30" customFormat="1" x14ac:dyDescent="0.25">
      <c r="A88" s="22"/>
      <c r="B88" s="86" t="s">
        <v>255</v>
      </c>
      <c r="C88" s="90">
        <v>21.34317585901967</v>
      </c>
      <c r="D88" s="90">
        <v>19.752142824573777</v>
      </c>
      <c r="E88" s="90">
        <v>17.821994865301765</v>
      </c>
      <c r="F88" s="90">
        <v>14.976508562550414</v>
      </c>
      <c r="G88" s="90">
        <v>73.893822111445601</v>
      </c>
      <c r="H88" s="90">
        <v>7.2782453902015547</v>
      </c>
      <c r="I88" s="90">
        <v>16.611698923978505</v>
      </c>
      <c r="J88" s="90">
        <v>18.654633190950424</v>
      </c>
      <c r="K88" s="90">
        <v>16.826448373725594</v>
      </c>
      <c r="L88" s="90">
        <v>59.371025878856017</v>
      </c>
      <c r="M88" s="90">
        <v>9.7139056291118617</v>
      </c>
      <c r="N88" s="90">
        <v>12.92172514580426</v>
      </c>
      <c r="O88" s="90">
        <v>10.387156018808687</v>
      </c>
      <c r="P88" s="90">
        <v>13.962186930947995</v>
      </c>
      <c r="Q88" s="90">
        <v>46.984973724672919</v>
      </c>
      <c r="R88" s="90">
        <v>19.293545708651568</v>
      </c>
      <c r="S88" s="90">
        <v>22.431148464423693</v>
      </c>
      <c r="T88" s="90">
        <v>13.818600813000158</v>
      </c>
      <c r="U88" s="90">
        <v>10.059283672126782</v>
      </c>
      <c r="V88" s="90">
        <v>65.602578658202262</v>
      </c>
      <c r="W88" s="90">
        <v>8.7661951299135836</v>
      </c>
      <c r="X88" s="90">
        <v>20.773584389524025</v>
      </c>
      <c r="Y88" s="90">
        <v>29.237545741720503</v>
      </c>
      <c r="Z88" s="90">
        <v>30.011606035818549</v>
      </c>
      <c r="AA88" s="90">
        <v>88.788931296976685</v>
      </c>
      <c r="AB88" s="90">
        <v>29.753657070851112</v>
      </c>
      <c r="AC88" s="90">
        <v>12.097980000000003</v>
      </c>
      <c r="AD88" s="90">
        <v>31.360859999999985</v>
      </c>
      <c r="AE88" s="90">
        <v>33.792492332043707</v>
      </c>
      <c r="AF88" s="88">
        <f>SUM(AB88:AE88)</f>
        <v>107.00498940289481</v>
      </c>
      <c r="AG88" s="90">
        <v>38.577830239460411</v>
      </c>
    </row>
    <row r="89" spans="1:33" x14ac:dyDescent="0.25">
      <c r="B89" s="92" t="s">
        <v>256</v>
      </c>
      <c r="C89" s="93">
        <v>0.17405446551475179</v>
      </c>
      <c r="D89" s="93">
        <v>0.19899577878565916</v>
      </c>
      <c r="E89" s="93">
        <v>0.17534993356036074</v>
      </c>
      <c r="F89" s="93">
        <v>0.14904889787566963</v>
      </c>
      <c r="G89" s="93">
        <v>0.17427792664874495</v>
      </c>
      <c r="H89" s="93">
        <v>0.10455661018636458</v>
      </c>
      <c r="I89" s="93">
        <v>0.18963710458365993</v>
      </c>
      <c r="J89" s="93">
        <v>0.21171514600111835</v>
      </c>
      <c r="K89" s="93">
        <v>0.17916920087719096</v>
      </c>
      <c r="L89" s="93">
        <v>0.17501519420379821</v>
      </c>
      <c r="M89" s="93">
        <v>0.12908982660196475</v>
      </c>
      <c r="N89" s="93">
        <v>0.15079656995957993</v>
      </c>
      <c r="O89" s="93">
        <v>0.10130691506893311</v>
      </c>
      <c r="P89" s="93">
        <v>0.14355189494770404</v>
      </c>
      <c r="Q89" s="93">
        <v>0.13024867542213348</v>
      </c>
      <c r="R89" s="93">
        <v>0.19974187707947313</v>
      </c>
      <c r="S89" s="93">
        <v>0.1856977312380608</v>
      </c>
      <c r="T89" s="93">
        <v>0.1446558505534016</v>
      </c>
      <c r="U89" s="93">
        <v>8.5956547121170943E-2</v>
      </c>
      <c r="V89" s="93">
        <v>0.15258498880366678</v>
      </c>
      <c r="W89" s="93">
        <v>0.12185815894075736</v>
      </c>
      <c r="X89" s="93">
        <v>0.17086262085205117</v>
      </c>
      <c r="Y89" s="93">
        <v>0.21421296112539764</v>
      </c>
      <c r="Z89" s="93">
        <v>0.2418897546330307</v>
      </c>
      <c r="AA89" s="93">
        <v>0.1955367542659642</v>
      </c>
      <c r="AB89" s="93">
        <v>0.22803690062594809</v>
      </c>
      <c r="AC89" s="93">
        <f>IFERROR(AC88/AC86,"N/A")</f>
        <v>0.28323756666266325</v>
      </c>
      <c r="AD89" s="93">
        <v>0.2623633234163385</v>
      </c>
      <c r="AE89" s="93">
        <f>IFERROR(AE88/AE86,"N/A")</f>
        <v>0.25045960850287441</v>
      </c>
      <c r="AF89" s="93">
        <f>IFERROR(AF88/AF86,"N/A")</f>
        <v>0.25021939037745078</v>
      </c>
      <c r="AG89" s="93">
        <f>IFERROR(AG88/AG86,"N/A")</f>
        <v>0.24716992278143524</v>
      </c>
    </row>
    <row r="90" spans="1:33" s="30" customFormat="1" x14ac:dyDescent="0.25">
      <c r="A90" s="22"/>
      <c r="B90" s="6" t="s">
        <v>274</v>
      </c>
      <c r="C90" s="106">
        <v>0.30887374615079122</v>
      </c>
      <c r="D90" s="106">
        <v>0.27548316352264679</v>
      </c>
      <c r="E90" s="106">
        <v>0.23667987868926646</v>
      </c>
      <c r="F90" s="106">
        <v>0.23836336641409983</v>
      </c>
      <c r="G90" s="106">
        <v>0.26491832523865111</v>
      </c>
      <c r="H90" s="106">
        <v>0.14440963075796737</v>
      </c>
      <c r="I90" s="106">
        <v>0.27548422759500008</v>
      </c>
      <c r="J90" s="106">
        <v>0.2695756241466824</v>
      </c>
      <c r="K90" s="106">
        <v>0.25456048976891976</v>
      </c>
      <c r="L90" s="106">
        <v>0.24144378153255802</v>
      </c>
      <c r="M90" s="106">
        <v>0.13306720039879263</v>
      </c>
      <c r="N90" s="106">
        <v>0.16759695390148199</v>
      </c>
      <c r="O90" s="106">
        <v>0.128149919688237</v>
      </c>
      <c r="P90" s="106">
        <v>0.18918952480959345</v>
      </c>
      <c r="Q90" s="106">
        <v>0.15407196691941627</v>
      </c>
      <c r="R90" s="106">
        <v>0.28753421324368955</v>
      </c>
      <c r="S90" s="106">
        <v>0.35269101359156751</v>
      </c>
      <c r="T90" s="106">
        <v>0.14158402472336229</v>
      </c>
      <c r="U90" s="106">
        <v>0.124650355292773</v>
      </c>
      <c r="V90" s="106">
        <v>0.21230607980000732</v>
      </c>
      <c r="W90" s="106">
        <v>0.14561785930089008</v>
      </c>
      <c r="X90" s="106">
        <v>1.1870619651156586</v>
      </c>
      <c r="Y90" s="106">
        <v>0.39245027841235575</v>
      </c>
      <c r="Z90" s="106">
        <v>0.59535167792333221</v>
      </c>
      <c r="AA90" s="106">
        <v>0.43851595108118241</v>
      </c>
      <c r="AB90" s="106">
        <v>0.48788016775703863</v>
      </c>
      <c r="AC90" s="106">
        <f>AC88/AC$10</f>
        <v>0.16482261580381474</v>
      </c>
      <c r="AD90" s="106">
        <v>0.31838436548223337</v>
      </c>
      <c r="AE90" s="106">
        <f>AE88/AE$10</f>
        <v>0.33259770876921663</v>
      </c>
      <c r="AF90" s="106">
        <f>AF88/AF$10</f>
        <v>0.3199074964212002</v>
      </c>
      <c r="AG90" s="106">
        <f>AG88/AG$10</f>
        <v>0.37474685638698629</v>
      </c>
    </row>
    <row r="91" spans="1:33" s="30" customFormat="1" x14ac:dyDescent="0.25">
      <c r="A91" s="22"/>
      <c r="B91" s="86" t="s">
        <v>292</v>
      </c>
      <c r="C91" s="90">
        <v>101.28037071819097</v>
      </c>
      <c r="D91" s="90">
        <v>79.50696179115306</v>
      </c>
      <c r="E91" s="90">
        <v>83.814740908920214</v>
      </c>
      <c r="F91" s="90">
        <v>85.503996667640507</v>
      </c>
      <c r="G91" s="90">
        <v>350.10607008590478</v>
      </c>
      <c r="H91" s="90">
        <v>62.33232611961126</v>
      </c>
      <c r="I91" s="90">
        <v>70.985604148375245</v>
      </c>
      <c r="J91" s="90">
        <v>69.457311293417661</v>
      </c>
      <c r="K91" s="90">
        <v>77.087283960544568</v>
      </c>
      <c r="L91" s="90">
        <v>279.86252552194878</v>
      </c>
      <c r="M91" s="90">
        <v>65.535290103900422</v>
      </c>
      <c r="N91" s="90">
        <v>72.768056453789455</v>
      </c>
      <c r="O91" s="90">
        <v>92.144403764063668</v>
      </c>
      <c r="P91" s="90">
        <v>83.300109300212313</v>
      </c>
      <c r="Q91" s="90">
        <v>313.74785962196586</v>
      </c>
      <c r="R91" s="90">
        <v>77.298846386347464</v>
      </c>
      <c r="S91" s="90">
        <v>98.362726155764349</v>
      </c>
      <c r="T91" s="90">
        <v>81.708823484981068</v>
      </c>
      <c r="U91" s="90">
        <v>106.96826116336368</v>
      </c>
      <c r="V91" s="90">
        <v>364.3386571904565</v>
      </c>
      <c r="W91" s="90">
        <v>63.171500352383696</v>
      </c>
      <c r="X91" s="90">
        <v>100.80704153047598</v>
      </c>
      <c r="Y91" s="90">
        <v>107.2506741499097</v>
      </c>
      <c r="Z91" s="90">
        <v>94.05981683758489</v>
      </c>
      <c r="AA91" s="90">
        <v>365.28903287035422</v>
      </c>
      <c r="AB91" s="90">
        <v>100.72372176204411</v>
      </c>
      <c r="AC91" s="90">
        <v>30.615209999999998</v>
      </c>
      <c r="AD91" s="90">
        <v>88.171320000000009</v>
      </c>
      <c r="AE91" s="90">
        <v>101.12943194164964</v>
      </c>
      <c r="AF91" s="88">
        <f>SUM(AB91:AE91)</f>
        <v>320.63968370369378</v>
      </c>
      <c r="AG91" s="90">
        <v>117.50034385769138</v>
      </c>
    </row>
    <row r="92" spans="1:33" x14ac:dyDescent="0.25">
      <c r="B92" s="6" t="s">
        <v>295</v>
      </c>
      <c r="C92" s="94">
        <v>0.27075712591918261</v>
      </c>
      <c r="D92" s="94">
        <v>0.21718550745771828</v>
      </c>
      <c r="E92" s="94">
        <v>0.23906277468120071</v>
      </c>
      <c r="F92" s="94">
        <v>0.24142220397917558</v>
      </c>
      <c r="G92" s="94">
        <v>0.2423034925315431</v>
      </c>
      <c r="H92" s="94">
        <v>0.2022731023223516</v>
      </c>
      <c r="I92" s="94">
        <v>0.21402112483179417</v>
      </c>
      <c r="J92" s="94">
        <v>0.20256248208286656</v>
      </c>
      <c r="K92" s="94">
        <v>0.22293486227519368</v>
      </c>
      <c r="L92" s="94">
        <v>0.21065862147362135</v>
      </c>
      <c r="M92" s="94">
        <v>0.21254410452865813</v>
      </c>
      <c r="N92" s="94">
        <v>0.21456914050581752</v>
      </c>
      <c r="O92" s="94">
        <v>0.23516376055269039</v>
      </c>
      <c r="P92" s="94">
        <v>0.2266050234961601</v>
      </c>
      <c r="Q92" s="94">
        <v>0.22300582519449116</v>
      </c>
      <c r="R92" s="94">
        <v>0.21493121030753612</v>
      </c>
      <c r="S92" s="94">
        <v>0.24606937706561788</v>
      </c>
      <c r="T92" s="94">
        <v>0.1733324331153715</v>
      </c>
      <c r="U92" s="94">
        <v>0.22855240089490664</v>
      </c>
      <c r="V92" s="94">
        <v>0.21446762231345731</v>
      </c>
      <c r="W92" s="94">
        <v>0.15652157632830169</v>
      </c>
      <c r="X92" s="94">
        <v>0.25389222313492299</v>
      </c>
      <c r="Y92" s="94">
        <v>0.23991434261583544</v>
      </c>
      <c r="Z92" s="94">
        <v>0.19259714433849962</v>
      </c>
      <c r="AA92" s="94">
        <v>0.21041315813498518</v>
      </c>
      <c r="AB92" s="94">
        <v>0.23499360081232651</v>
      </c>
      <c r="AC92" s="94">
        <f>AC91/AC14</f>
        <v>6.5456114795168746E-2</v>
      </c>
      <c r="AD92" s="94">
        <v>0.18182427834349985</v>
      </c>
      <c r="AE92" s="94">
        <f>AE91/AE14</f>
        <v>0.20976931832280804</v>
      </c>
      <c r="AF92" s="94">
        <f>AF91/AF14</f>
        <v>0.17206685669355787</v>
      </c>
      <c r="AG92" s="94">
        <f>AG91/AG14</f>
        <v>0.24645787660680005</v>
      </c>
    </row>
    <row r="94" spans="1:33" s="30" customFormat="1" x14ac:dyDescent="0.25">
      <c r="A94" s="22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/>
      <c r="S94"/>
      <c r="T94"/>
      <c r="U94"/>
      <c r="V94"/>
      <c r="W94"/>
      <c r="X94"/>
      <c r="Y94"/>
      <c r="Z94"/>
      <c r="AA94"/>
      <c r="AB94"/>
      <c r="AC94"/>
    </row>
    <row r="95" spans="1:33" s="30" customFormat="1" x14ac:dyDescent="0.25">
      <c r="A95" s="22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/>
      <c r="S95"/>
      <c r="T95"/>
      <c r="U95"/>
      <c r="V95"/>
      <c r="W95"/>
      <c r="X95"/>
      <c r="Y95"/>
      <c r="Z95"/>
      <c r="AA95"/>
      <c r="AB95"/>
      <c r="AC95"/>
    </row>
    <row r="96" spans="1:33" s="30" customFormat="1" x14ac:dyDescent="0.25">
      <c r="A96" s="22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/>
      <c r="S96"/>
      <c r="T96"/>
      <c r="U96"/>
      <c r="V96"/>
      <c r="W96"/>
      <c r="X96"/>
      <c r="Y96"/>
      <c r="Z96"/>
      <c r="AA96"/>
      <c r="AB96"/>
      <c r="AC96"/>
    </row>
    <row r="97" spans="1:29" s="30" customFormat="1" x14ac:dyDescent="0.25">
      <c r="A97" s="22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/>
      <c r="S97"/>
      <c r="T97"/>
      <c r="U97"/>
      <c r="V97"/>
      <c r="W97"/>
      <c r="X97"/>
      <c r="Y97"/>
      <c r="Z97"/>
      <c r="AA97"/>
      <c r="AB97"/>
      <c r="AC97"/>
    </row>
    <row r="98" spans="1:29" s="30" customFormat="1" x14ac:dyDescent="0.25">
      <c r="A98" s="22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/>
      <c r="S98"/>
      <c r="T98"/>
      <c r="U98"/>
      <c r="V98"/>
      <c r="W98"/>
      <c r="X98"/>
      <c r="Y98"/>
      <c r="Z98"/>
      <c r="AA98"/>
      <c r="AB98"/>
      <c r="AC98"/>
    </row>
    <row r="102" spans="1:29" s="30" customFormat="1" x14ac:dyDescent="0.25">
      <c r="A102" s="22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:29" s="30" customFormat="1" x14ac:dyDescent="0.25">
      <c r="A103" s="22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:29" s="30" customFormat="1" x14ac:dyDescent="0.25">
      <c r="A104" s="22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29" s="30" customFormat="1" x14ac:dyDescent="0.25">
      <c r="A105" s="22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:29" s="30" customFormat="1" x14ac:dyDescent="0.25">
      <c r="A106" s="22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/>
      <c r="S106"/>
      <c r="T106"/>
      <c r="U106"/>
      <c r="V106"/>
      <c r="W106"/>
      <c r="X106"/>
      <c r="Y106"/>
      <c r="Z106"/>
      <c r="AA106"/>
      <c r="AB106"/>
      <c r="AC106"/>
    </row>
  </sheetData>
  <pageMargins left="0" right="0" top="0" bottom="0" header="0" footer="0"/>
  <pageSetup paperSize="9" scale="3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6">
    <pageSetUpPr fitToPage="1"/>
  </sheetPr>
  <dimension ref="A1:W97"/>
  <sheetViews>
    <sheetView showGridLines="0" zoomScaleNormal="100" workbookViewId="0">
      <pane xSplit="2" ySplit="7" topLeftCell="K19" activePane="bottomRight" state="frozen"/>
      <selection activeCell="Q14" sqref="Q14"/>
      <selection pane="topRight" activeCell="Q14" sqref="Q14"/>
      <selection pane="bottomLeft" activeCell="Q14" sqref="Q14"/>
      <selection pane="bottomRight" activeCell="W24" sqref="W24"/>
    </sheetView>
  </sheetViews>
  <sheetFormatPr defaultRowHeight="15" outlineLevelCol="1" x14ac:dyDescent="0.25"/>
  <cols>
    <col min="1" max="1" width="1.5703125" style="1" customWidth="1"/>
    <col min="2" max="2" width="47.42578125" style="30" bestFit="1" customWidth="1"/>
    <col min="3" max="6" width="9.7109375" customWidth="1" outlineLevel="1"/>
    <col min="7" max="7" width="9.7109375" bestFit="1" customWidth="1"/>
    <col min="8" max="9" width="9.7109375" customWidth="1" outlineLevel="1"/>
    <col min="10" max="10" width="9.5703125" customWidth="1" outlineLevel="1"/>
    <col min="11" max="11" width="9.140625" customWidth="1" outlineLevel="1"/>
    <col min="12" max="12" width="8.7109375" customWidth="1"/>
    <col min="13" max="13" width="11.7109375" bestFit="1" customWidth="1"/>
    <col min="14" max="14" width="11.7109375" customWidth="1"/>
    <col min="15" max="19" width="9.7109375" bestFit="1" customWidth="1"/>
    <col min="20" max="20" width="9.7109375" customWidth="1"/>
    <col min="21" max="22" width="10" bestFit="1" customWidth="1"/>
    <col min="23" max="23" width="12.140625" bestFit="1" customWidth="1"/>
  </cols>
  <sheetData>
    <row r="1" spans="1:23" s="22" customFormat="1" ht="8.25" customHeight="1" x14ac:dyDescent="0.25">
      <c r="B1" s="9"/>
    </row>
    <row r="2" spans="1:23" x14ac:dyDescent="0.25">
      <c r="A2" s="22"/>
    </row>
    <row r="3" spans="1:23" x14ac:dyDescent="0.25">
      <c r="A3" s="22"/>
    </row>
    <row r="4" spans="1:23" x14ac:dyDescent="0.25">
      <c r="A4" s="22"/>
    </row>
    <row r="5" spans="1:23" x14ac:dyDescent="0.25">
      <c r="A5" s="22"/>
    </row>
    <row r="6" spans="1:23" x14ac:dyDescent="0.25">
      <c r="A6" s="22"/>
    </row>
    <row r="7" spans="1:23" ht="18" customHeight="1" x14ac:dyDescent="0.25">
      <c r="A7" s="22"/>
      <c r="B7" s="84" t="s">
        <v>285</v>
      </c>
      <c r="C7" s="85" t="s">
        <v>248</v>
      </c>
      <c r="D7" s="85" t="s">
        <v>249</v>
      </c>
      <c r="E7" s="85" t="s">
        <v>250</v>
      </c>
      <c r="F7" s="85" t="s">
        <v>251</v>
      </c>
      <c r="G7" s="85" t="s">
        <v>252</v>
      </c>
      <c r="H7" s="85" t="s">
        <v>253</v>
      </c>
      <c r="I7" s="85" t="s">
        <v>286</v>
      </c>
      <c r="J7" s="85" t="s">
        <v>287</v>
      </c>
      <c r="K7" s="85" t="s">
        <v>288</v>
      </c>
      <c r="L7" s="85" t="s">
        <v>289</v>
      </c>
      <c r="M7" s="85" t="s">
        <v>290</v>
      </c>
      <c r="N7" s="85" t="s">
        <v>301</v>
      </c>
      <c r="O7" s="85" t="s">
        <v>307</v>
      </c>
      <c r="P7" s="85" t="s">
        <v>311</v>
      </c>
      <c r="Q7" s="85" t="s">
        <v>313</v>
      </c>
      <c r="R7" s="85" t="s">
        <v>317</v>
      </c>
      <c r="S7" s="85" t="s">
        <v>322</v>
      </c>
      <c r="T7" s="85" t="s">
        <v>327</v>
      </c>
      <c r="U7" s="85" t="s">
        <v>331</v>
      </c>
      <c r="V7" s="85" t="s">
        <v>375</v>
      </c>
      <c r="W7" s="85" t="s">
        <v>373</v>
      </c>
    </row>
    <row r="8" spans="1:23" x14ac:dyDescent="0.25">
      <c r="A8" s="22"/>
      <c r="C8" s="114"/>
      <c r="D8" s="114"/>
      <c r="E8" s="114"/>
      <c r="F8" s="114"/>
      <c r="G8" s="115"/>
    </row>
    <row r="9" spans="1:23" x14ac:dyDescent="0.25">
      <c r="B9" s="86" t="s">
        <v>254</v>
      </c>
      <c r="C9" s="90">
        <v>463.7</v>
      </c>
      <c r="D9" s="90">
        <v>414.6</v>
      </c>
      <c r="E9" s="90">
        <v>522.1</v>
      </c>
      <c r="F9" s="90">
        <v>538.70000000000005</v>
      </c>
      <c r="G9" s="90">
        <v>1939.0525060142459</v>
      </c>
      <c r="H9" s="90">
        <v>489.7</v>
      </c>
      <c r="I9" s="90">
        <v>541.12116090000006</v>
      </c>
      <c r="J9" s="90">
        <v>583.42600000000004</v>
      </c>
      <c r="K9" s="90">
        <v>583.70000000000005</v>
      </c>
      <c r="L9" s="90">
        <v>2197.9471609000002</v>
      </c>
      <c r="M9" s="90">
        <v>579.70000000000005</v>
      </c>
      <c r="N9" s="90">
        <v>601.59900000000005</v>
      </c>
      <c r="O9" s="90">
        <f>DRE!BL9/1000</f>
        <v>667.22799999999995</v>
      </c>
      <c r="P9" s="90">
        <f>DRE!BM9/1000</f>
        <v>588.47299999999996</v>
      </c>
      <c r="Q9" s="88">
        <f>SUM(M9:P9)</f>
        <v>2437</v>
      </c>
      <c r="R9" s="88">
        <v>529.279</v>
      </c>
      <c r="S9" s="88">
        <v>534.35599999999999</v>
      </c>
      <c r="T9" s="90">
        <v>558.40899999999999</v>
      </c>
      <c r="U9" s="90">
        <v>633.46600000000001</v>
      </c>
      <c r="V9" s="90">
        <v>484.3</v>
      </c>
      <c r="W9" s="90">
        <v>518.14889953744012</v>
      </c>
    </row>
    <row r="10" spans="1:23" x14ac:dyDescent="0.25">
      <c r="A10" s="22"/>
      <c r="B10" s="86" t="s">
        <v>267</v>
      </c>
      <c r="C10" s="90">
        <v>60.2</v>
      </c>
      <c r="D10" s="90">
        <v>17.5</v>
      </c>
      <c r="E10" s="90">
        <v>74.5</v>
      </c>
      <c r="F10" s="90">
        <v>50.409878981954193</v>
      </c>
      <c r="G10" s="90">
        <v>202.4759443255445</v>
      </c>
      <c r="H10" s="90">
        <v>60.985584242211402</v>
      </c>
      <c r="I10" s="90">
        <v>73.400000000000006</v>
      </c>
      <c r="J10" s="90">
        <v>98.5</v>
      </c>
      <c r="K10" s="90">
        <v>101.60169911300167</v>
      </c>
      <c r="L10" s="90">
        <v>334.48728335521309</v>
      </c>
      <c r="M10" s="90">
        <v>102.94370608308081</v>
      </c>
      <c r="N10" s="90">
        <v>137.94526956663356</v>
      </c>
      <c r="O10" s="90">
        <v>134.53068443323275</v>
      </c>
      <c r="P10" s="90">
        <v>138.46055989807169</v>
      </c>
      <c r="Q10" s="90">
        <f>SUM(M10:P10)</f>
        <v>513.88021998101885</v>
      </c>
      <c r="R10" s="90">
        <v>149.18348548050574</v>
      </c>
      <c r="S10" s="90">
        <v>134.88624845447504</v>
      </c>
      <c r="T10" s="146">
        <v>126.52705979772117</v>
      </c>
      <c r="U10" s="146">
        <v>147.08969656304049</v>
      </c>
      <c r="V10" s="146">
        <v>116.33900000000001</v>
      </c>
      <c r="W10" s="146">
        <v>129.24057471255219</v>
      </c>
    </row>
    <row r="11" spans="1:23" x14ac:dyDescent="0.25">
      <c r="A11" s="22"/>
      <c r="B11" s="92" t="s">
        <v>256</v>
      </c>
      <c r="C11" s="93">
        <v>0.13</v>
      </c>
      <c r="D11" s="93">
        <v>4.2000000000000003E-2</v>
      </c>
      <c r="E11" s="93">
        <v>0.14299999999999999</v>
      </c>
      <c r="F11" s="93">
        <v>9.3585156328263683E-2</v>
      </c>
      <c r="G11" s="93">
        <v>0.10442004210692422</v>
      </c>
      <c r="H11" s="93">
        <v>0.12453662291650276</v>
      </c>
      <c r="I11" s="93">
        <v>0.16087501287167594</v>
      </c>
      <c r="J11" s="93">
        <v>0.16883032295441067</v>
      </c>
      <c r="K11" s="93">
        <v>0.17406492909542859</v>
      </c>
      <c r="L11" s="93">
        <v>0.15218167629573476</v>
      </c>
      <c r="M11" s="93">
        <v>0.17758100066082594</v>
      </c>
      <c r="N11" s="93">
        <f>N10/N9</f>
        <v>0.22929770422928486</v>
      </c>
      <c r="O11" s="93">
        <f>O10/O9</f>
        <v>0.20162625734116787</v>
      </c>
      <c r="P11" s="93">
        <f>P10/P9</f>
        <v>0.23528787199764764</v>
      </c>
      <c r="Q11" s="93">
        <f>Q10/Q9</f>
        <v>0.21086590889660192</v>
      </c>
      <c r="R11" s="93">
        <v>0.28186171278381672</v>
      </c>
      <c r="S11" s="93">
        <v>0.25242768576468694</v>
      </c>
      <c r="T11" s="147">
        <v>0.22658492215870654</v>
      </c>
      <c r="U11" s="147">
        <v>0.23219824988719281</v>
      </c>
      <c r="V11" s="147">
        <v>0.2402209374354739</v>
      </c>
      <c r="W11" s="147">
        <v>0.24942748084175675</v>
      </c>
    </row>
    <row r="12" spans="1:23" x14ac:dyDescent="0.25">
      <c r="A12" s="22"/>
      <c r="B12" s="86" t="s">
        <v>291</v>
      </c>
      <c r="C12" s="90">
        <v>2.1</v>
      </c>
      <c r="D12" s="90">
        <v>-148.1</v>
      </c>
      <c r="E12" s="90">
        <v>-2.4</v>
      </c>
      <c r="F12" s="90">
        <v>-54</v>
      </c>
      <c r="G12" s="90">
        <v>-202.39999999999998</v>
      </c>
      <c r="H12" s="90">
        <v>-5</v>
      </c>
      <c r="I12" s="90">
        <v>-17.600000000000001</v>
      </c>
      <c r="J12" s="90">
        <v>52.258000000000003</v>
      </c>
      <c r="K12" s="90">
        <v>30</v>
      </c>
      <c r="L12" s="90">
        <v>59.658000000000001</v>
      </c>
      <c r="M12" s="90">
        <v>-18.100000000000001</v>
      </c>
      <c r="N12" s="90">
        <v>-4.3019999999999996</v>
      </c>
      <c r="O12" s="90">
        <f>DRE!$BL$42/1000</f>
        <v>22.077999999999999</v>
      </c>
      <c r="P12" s="90">
        <f>DRE!BM$42/1000</f>
        <v>24.786000000000001</v>
      </c>
      <c r="Q12" s="90">
        <f>SUM(M12:P12)</f>
        <v>24.462</v>
      </c>
      <c r="R12" s="90">
        <v>59.457000000000001</v>
      </c>
      <c r="S12" s="90">
        <v>57.521000000000001</v>
      </c>
      <c r="T12" s="146">
        <v>60.712000000000003</v>
      </c>
      <c r="U12" s="146">
        <v>35.595999999999997</v>
      </c>
      <c r="V12" s="146">
        <v>147.80000000000001</v>
      </c>
      <c r="W12" s="146">
        <v>79.599999999999994</v>
      </c>
    </row>
    <row r="13" spans="1:23" x14ac:dyDescent="0.25">
      <c r="A13" s="22"/>
      <c r="B13" s="92" t="s">
        <v>256</v>
      </c>
      <c r="C13" s="96">
        <f>C12/C9</f>
        <v>4.5287901660556401E-3</v>
      </c>
      <c r="D13" s="96">
        <v>-0.35699999999999998</v>
      </c>
      <c r="E13" s="96">
        <v>-5.0000000000000001E-3</v>
      </c>
      <c r="F13" s="96">
        <f t="shared" ref="F13:O13" si="0">F12/F9</f>
        <v>-0.10024132170038982</v>
      </c>
      <c r="G13" s="96">
        <f t="shared" si="0"/>
        <v>-0.10438087641888383</v>
      </c>
      <c r="H13" s="96">
        <v>-1.0210332856851134E-2</v>
      </c>
      <c r="I13" s="117">
        <v>-3.2525063279224643E-2</v>
      </c>
      <c r="J13" s="117">
        <v>8.9570913877681138E-2</v>
      </c>
      <c r="K13" s="117">
        <v>5.1396265204728453E-2</v>
      </c>
      <c r="L13" s="117">
        <v>2.7142599722721112E-2</v>
      </c>
      <c r="M13" s="117">
        <f t="shared" si="0"/>
        <v>-3.1223046403312058E-2</v>
      </c>
      <c r="N13" s="117">
        <f t="shared" si="0"/>
        <v>-7.1509427376042836E-3</v>
      </c>
      <c r="O13" s="117">
        <f t="shared" si="0"/>
        <v>3.3089138945008305E-2</v>
      </c>
      <c r="P13" s="117">
        <f>P12/P9</f>
        <v>4.2119179639507683E-2</v>
      </c>
      <c r="Q13" s="117">
        <f>Q12/Q9</f>
        <v>1.0037751333606893E-2</v>
      </c>
      <c r="R13" s="117">
        <v>0.11233583799848473</v>
      </c>
      <c r="S13" s="117">
        <v>0.10764546482120534</v>
      </c>
      <c r="T13" s="148">
        <v>0.10872317602330908</v>
      </c>
      <c r="U13" s="148">
        <v>5.619243968894936E-2</v>
      </c>
      <c r="V13" s="148">
        <v>0.3051827379723312</v>
      </c>
      <c r="W13" s="148">
        <v>0.1536237943785275</v>
      </c>
    </row>
    <row r="14" spans="1:23" x14ac:dyDescent="0.25">
      <c r="A14" s="22"/>
      <c r="B14" s="86" t="s">
        <v>292</v>
      </c>
      <c r="C14" s="90">
        <f>C9-C10</f>
        <v>403.5</v>
      </c>
      <c r="D14" s="90">
        <f>D9-D10</f>
        <v>397.1</v>
      </c>
      <c r="E14" s="90">
        <f>E9-E10</f>
        <v>447.6</v>
      </c>
      <c r="F14" s="90">
        <f>F9-F10</f>
        <v>488.29012101804585</v>
      </c>
      <c r="G14" s="90">
        <f>G9-G10</f>
        <v>1736.5765616887013</v>
      </c>
      <c r="H14" s="90">
        <v>428.71441575778857</v>
      </c>
      <c r="I14" s="90">
        <v>467.72116090000009</v>
      </c>
      <c r="J14" s="90">
        <v>484.92600000000004</v>
      </c>
      <c r="K14" s="90">
        <v>482.09830088699835</v>
      </c>
      <c r="L14" s="90">
        <v>1863.4598775447871</v>
      </c>
      <c r="M14" s="90">
        <f>M9-M10</f>
        <v>476.75629391691922</v>
      </c>
      <c r="N14" s="90">
        <f>N9-N10</f>
        <v>463.65373043336649</v>
      </c>
      <c r="O14" s="90">
        <f>O9-O10</f>
        <v>532.6973155667672</v>
      </c>
      <c r="P14" s="90">
        <f>P9-P10</f>
        <v>450.01244010192829</v>
      </c>
      <c r="Q14" s="88">
        <f>SUM(M14:P14)</f>
        <v>1923.1197800189811</v>
      </c>
      <c r="R14" s="88">
        <v>380.09551451949426</v>
      </c>
      <c r="S14" s="88">
        <v>399.46975154552496</v>
      </c>
      <c r="T14" s="90">
        <v>431.88194020227883</v>
      </c>
      <c r="U14" s="90">
        <v>486.37630343695952</v>
      </c>
      <c r="V14" s="90">
        <v>367.96100000000001</v>
      </c>
      <c r="W14" s="90">
        <v>388.90832482488793</v>
      </c>
    </row>
    <row r="15" spans="1:23" x14ac:dyDescent="0.25">
      <c r="A15" s="22"/>
    </row>
    <row r="16" spans="1:23" x14ac:dyDescent="0.25">
      <c r="A16" s="22"/>
      <c r="B16" s="86" t="s">
        <v>258</v>
      </c>
    </row>
    <row r="17" spans="1:23" x14ac:dyDescent="0.25">
      <c r="A17" s="22"/>
      <c r="B17" s="86" t="s">
        <v>259</v>
      </c>
      <c r="C17" s="89">
        <v>2.1</v>
      </c>
      <c r="D17" s="89">
        <v>-148.1</v>
      </c>
      <c r="E17" s="89">
        <v>-2.4</v>
      </c>
      <c r="F17" s="90">
        <v>-54</v>
      </c>
      <c r="G17" s="89">
        <v>-202.4</v>
      </c>
      <c r="H17" s="89">
        <v>-5</v>
      </c>
      <c r="I17" s="90">
        <v>-17.600000000000001</v>
      </c>
      <c r="J17" s="90">
        <v>52.258000000000003</v>
      </c>
      <c r="K17" s="90">
        <v>30</v>
      </c>
      <c r="L17" s="90">
        <v>59.658000000000001</v>
      </c>
      <c r="M17" s="90">
        <v>-18.082999999999998</v>
      </c>
      <c r="N17" s="90">
        <f>N12</f>
        <v>-4.3019999999999996</v>
      </c>
      <c r="O17" s="90">
        <f>$O$12</f>
        <v>22.077999999999999</v>
      </c>
      <c r="P17" s="90">
        <f>P$12</f>
        <v>24.786000000000001</v>
      </c>
      <c r="Q17" s="90">
        <f>SUM(M17:P17)</f>
        <v>24.479000000000003</v>
      </c>
      <c r="R17" s="90">
        <v>59.4</v>
      </c>
      <c r="S17" s="90">
        <v>57.5</v>
      </c>
      <c r="T17" s="90">
        <v>60.7</v>
      </c>
      <c r="U17" s="90">
        <v>35.6</v>
      </c>
      <c r="V17" s="90">
        <v>147.80000000000001</v>
      </c>
      <c r="W17" s="90">
        <v>79.599999999999994</v>
      </c>
    </row>
    <row r="18" spans="1:23" x14ac:dyDescent="0.25">
      <c r="A18" s="22"/>
      <c r="B18" s="30" t="s">
        <v>260</v>
      </c>
      <c r="C18" s="97">
        <v>-1.1000000000000001</v>
      </c>
      <c r="D18" s="97">
        <v>0</v>
      </c>
      <c r="E18" s="97">
        <v>2</v>
      </c>
      <c r="F18" s="97">
        <v>-0.1</v>
      </c>
      <c r="G18" s="97">
        <v>0.79999999999999993</v>
      </c>
      <c r="H18" s="97">
        <v>2.2000000000000002</v>
      </c>
      <c r="I18" s="97">
        <v>-0.7</v>
      </c>
      <c r="J18" s="97">
        <v>0.46164000000013039</v>
      </c>
      <c r="K18" s="97">
        <v>-3.9</v>
      </c>
      <c r="L18" s="97">
        <v>-1.9383599999998693</v>
      </c>
      <c r="M18" s="97">
        <v>1.609</v>
      </c>
      <c r="N18" s="97">
        <v>3.7999999999999999E-2</v>
      </c>
      <c r="O18" s="97">
        <f>DRE!$BL$43/1000</f>
        <v>-0.67535999999986962</v>
      </c>
      <c r="P18" s="97">
        <v>-9.9459999999999997</v>
      </c>
      <c r="Q18" s="97">
        <f>SUM(M18:P18)</f>
        <v>-8.9743599999998693</v>
      </c>
      <c r="R18" s="97">
        <v>0.2</v>
      </c>
      <c r="S18" s="97">
        <v>-2.2999999999999998</v>
      </c>
      <c r="T18" s="97">
        <v>0.3</v>
      </c>
      <c r="U18" s="97">
        <v>-0.8</v>
      </c>
      <c r="V18" s="97">
        <v>-1.2</v>
      </c>
      <c r="W18" s="97">
        <v>0</v>
      </c>
    </row>
    <row r="19" spans="1:23" x14ac:dyDescent="0.25">
      <c r="A19" s="22"/>
      <c r="B19" s="30" t="s">
        <v>261</v>
      </c>
      <c r="C19" s="97">
        <v>7.4</v>
      </c>
      <c r="D19" s="97">
        <v>-10.9</v>
      </c>
      <c r="E19" s="97">
        <v>-2.4</v>
      </c>
      <c r="F19" s="97">
        <v>13.100000000000001</v>
      </c>
      <c r="G19" s="97">
        <v>7.2000000000000011</v>
      </c>
      <c r="H19" s="97">
        <v>4.3</v>
      </c>
      <c r="I19" s="97">
        <v>-4.3999999999999995</v>
      </c>
      <c r="J19" s="97">
        <v>6.0449999999999999</v>
      </c>
      <c r="K19" s="97">
        <v>3.8000000000000003</v>
      </c>
      <c r="L19" s="97">
        <v>9.745000000000001</v>
      </c>
      <c r="M19" s="97">
        <v>-7.9340000000000002</v>
      </c>
      <c r="N19" s="97">
        <v>26.077999999999999</v>
      </c>
      <c r="O19" s="97">
        <v>0.32800000000000001</v>
      </c>
      <c r="P19" s="97">
        <v>0.24399999999999999</v>
      </c>
      <c r="Q19" s="97">
        <f t="shared" ref="Q19:Q25" si="1">SUM(M19:P19)</f>
        <v>18.715999999999998</v>
      </c>
      <c r="R19" s="97">
        <v>22.9</v>
      </c>
      <c r="S19" s="97">
        <v>15.5</v>
      </c>
      <c r="T19" s="97">
        <v>26.8</v>
      </c>
      <c r="U19" s="97">
        <v>-2.7000000000000011</v>
      </c>
      <c r="V19" s="97">
        <v>23.499999999999996</v>
      </c>
      <c r="W19" s="97">
        <v>8.6999999999999993</v>
      </c>
    </row>
    <row r="20" spans="1:23" x14ac:dyDescent="0.25">
      <c r="A20" s="22"/>
      <c r="B20" s="30" t="s">
        <v>262</v>
      </c>
      <c r="C20" s="97">
        <v>24</v>
      </c>
      <c r="D20" s="97">
        <v>10.999999999999996</v>
      </c>
      <c r="E20" s="97">
        <v>33.1</v>
      </c>
      <c r="F20" s="97">
        <v>16.999999999999996</v>
      </c>
      <c r="G20" s="97">
        <v>85.1</v>
      </c>
      <c r="H20" s="97">
        <v>18.599999999999998</v>
      </c>
      <c r="I20" s="97">
        <v>31.6</v>
      </c>
      <c r="J20" s="97">
        <v>-1.0899999999999963</v>
      </c>
      <c r="K20" s="97">
        <v>19.100000000000001</v>
      </c>
      <c r="L20" s="97">
        <v>68.210000000000008</v>
      </c>
      <c r="M20" s="97">
        <v>84.751999999999995</v>
      </c>
      <c r="N20" s="97">
        <v>16.713999999999999</v>
      </c>
      <c r="O20" s="97">
        <f>-DRE!$BL$25/1000</f>
        <v>51.036000000000001</v>
      </c>
      <c r="P20" s="97">
        <f>-DRE!$BM$25/1000</f>
        <v>34.075000000000003</v>
      </c>
      <c r="Q20" s="97">
        <f t="shared" si="1"/>
        <v>186.577</v>
      </c>
      <c r="R20" s="97">
        <v>18.900000000000006</v>
      </c>
      <c r="S20" s="97">
        <v>32.700000000000003</v>
      </c>
      <c r="T20" s="97">
        <v>24.199999999999989</v>
      </c>
      <c r="U20" s="97">
        <v>42.699999999999989</v>
      </c>
      <c r="V20" s="97">
        <v>30.1</v>
      </c>
      <c r="W20" s="97">
        <v>15.900000000000006</v>
      </c>
    </row>
    <row r="21" spans="1:23" x14ac:dyDescent="0.25">
      <c r="A21" s="22"/>
      <c r="B21" s="30" t="s">
        <v>263</v>
      </c>
      <c r="C21" s="97">
        <v>34.4</v>
      </c>
      <c r="D21" s="97">
        <v>37.200000000000003</v>
      </c>
      <c r="E21" s="97">
        <v>45</v>
      </c>
      <c r="F21" s="97">
        <v>41.500000000000007</v>
      </c>
      <c r="G21" s="97">
        <v>152.1</v>
      </c>
      <c r="H21" s="97">
        <v>36.4</v>
      </c>
      <c r="I21" s="97">
        <v>36.600000000000009</v>
      </c>
      <c r="J21" s="97">
        <v>37.137</v>
      </c>
      <c r="K21" s="97">
        <v>43.1</v>
      </c>
      <c r="L21" s="97">
        <v>153.23699999999999</v>
      </c>
      <c r="M21" s="97">
        <v>27.152000000000001</v>
      </c>
      <c r="N21" s="97">
        <v>27.83</v>
      </c>
      <c r="O21" s="97">
        <v>28.689</v>
      </c>
      <c r="P21" s="97">
        <v>35.655000000000001</v>
      </c>
      <c r="Q21" s="97">
        <f t="shared" si="1"/>
        <v>119.32599999999999</v>
      </c>
      <c r="R21" s="97">
        <v>29.1</v>
      </c>
      <c r="S21" s="97">
        <v>28.015999999999998</v>
      </c>
      <c r="T21" s="97">
        <v>30.780999999999999</v>
      </c>
      <c r="U21" s="97">
        <v>32.621000000000016</v>
      </c>
      <c r="V21" s="97">
        <v>23.538999999999998</v>
      </c>
      <c r="W21" s="97">
        <v>22.826000200000006</v>
      </c>
    </row>
    <row r="22" spans="1:23" x14ac:dyDescent="0.25">
      <c r="A22" s="22"/>
      <c r="B22" s="30" t="s">
        <v>265</v>
      </c>
      <c r="C22" s="97">
        <v>-2.6</v>
      </c>
      <c r="D22" s="97">
        <v>130.9</v>
      </c>
      <c r="E22" s="97">
        <v>11.3</v>
      </c>
      <c r="F22" s="97">
        <v>39.5</v>
      </c>
      <c r="G22" s="97">
        <v>179.10000000000002</v>
      </c>
      <c r="H22" s="97">
        <v>10.4</v>
      </c>
      <c r="I22" s="97">
        <v>32</v>
      </c>
      <c r="J22" s="97">
        <v>5.1509999999999998</v>
      </c>
      <c r="K22" s="97">
        <v>12.6</v>
      </c>
      <c r="L22" s="97">
        <v>60.151000000000003</v>
      </c>
      <c r="M22" s="97">
        <v>8.3569999999999993</v>
      </c>
      <c r="N22" s="97">
        <v>64.637</v>
      </c>
      <c r="O22" s="97">
        <v>44.598999999999997</v>
      </c>
      <c r="P22" s="97">
        <v>67.421000000000006</v>
      </c>
      <c r="Q22" s="97">
        <f t="shared" si="1"/>
        <v>185.01400000000001</v>
      </c>
      <c r="R22" s="97">
        <v>16.399999999999999</v>
      </c>
      <c r="S22" s="97">
        <v>7</v>
      </c>
      <c r="T22" s="97">
        <v>3.8</v>
      </c>
      <c r="U22" s="97">
        <v>43.699999999999996</v>
      </c>
      <c r="V22" s="97">
        <v>-109.1</v>
      </c>
      <c r="W22" s="97">
        <v>2.2999999999999998</v>
      </c>
    </row>
    <row r="23" spans="1:23" x14ac:dyDescent="0.25">
      <c r="A23" s="22"/>
      <c r="B23" s="30" t="s">
        <v>268</v>
      </c>
      <c r="C23" s="97">
        <v>-4.2</v>
      </c>
      <c r="D23" s="97">
        <v>-4.3</v>
      </c>
      <c r="E23" s="97">
        <v>-11.4</v>
      </c>
      <c r="F23" s="97">
        <v>-4.5561734057447083</v>
      </c>
      <c r="G23" s="97">
        <v>-18.630426023430402</v>
      </c>
      <c r="H23" s="97">
        <v>-5.9144157577885998</v>
      </c>
      <c r="I23" s="97">
        <v>-4.5068818324179105</v>
      </c>
      <c r="J23" s="97">
        <v>-2.2387875035087972</v>
      </c>
      <c r="K23" s="97">
        <v>-4.6983008869983038</v>
      </c>
      <c r="L23" s="97">
        <v>-17.358385980713614</v>
      </c>
      <c r="M23" s="97">
        <v>6.69</v>
      </c>
      <c r="N23" s="97">
        <v>6.0750000000000002</v>
      </c>
      <c r="O23" s="97">
        <v>-3.3929999999999998</v>
      </c>
      <c r="P23" s="97">
        <v>-8.6389999999999993</v>
      </c>
      <c r="Q23" s="97">
        <f t="shared" si="1"/>
        <v>0.73300000000000054</v>
      </c>
      <c r="R23" s="97">
        <v>-4.2699999999999996</v>
      </c>
      <c r="S23" s="97">
        <v>-4.0149999999999997</v>
      </c>
      <c r="T23" s="97">
        <v>-4.9009999999999998</v>
      </c>
      <c r="U23" s="97">
        <v>-3.2540000000000147</v>
      </c>
      <c r="V23" s="97">
        <v>1.7</v>
      </c>
      <c r="W23" s="97">
        <v>-0.1</v>
      </c>
    </row>
    <row r="24" spans="1:23" x14ac:dyDescent="0.25">
      <c r="A24" s="22"/>
      <c r="B24" s="17" t="s">
        <v>269</v>
      </c>
      <c r="C24" s="97">
        <v>0.2</v>
      </c>
      <c r="D24" s="97">
        <v>1.7</v>
      </c>
      <c r="E24" s="97">
        <v>-0.7</v>
      </c>
      <c r="F24" s="97">
        <v>-2</v>
      </c>
      <c r="G24" s="97">
        <v>-0.8</v>
      </c>
      <c r="H24" s="97">
        <v>0</v>
      </c>
      <c r="I24" s="97">
        <v>0.4</v>
      </c>
      <c r="J24" s="97">
        <v>0.68100000000000005</v>
      </c>
      <c r="K24" s="97">
        <v>1.6</v>
      </c>
      <c r="L24" s="97">
        <v>2.681</v>
      </c>
      <c r="M24" s="97">
        <v>0.35399999999999998</v>
      </c>
      <c r="N24" s="97">
        <v>0.876</v>
      </c>
      <c r="O24" s="97">
        <v>0.63</v>
      </c>
      <c r="P24" s="97">
        <v>1.5860000000000001</v>
      </c>
      <c r="Q24" s="97">
        <f t="shared" si="1"/>
        <v>3.4459999999999997</v>
      </c>
      <c r="R24" s="97">
        <v>1</v>
      </c>
      <c r="S24" s="97">
        <v>0.5</v>
      </c>
      <c r="T24" s="97">
        <v>-0.6</v>
      </c>
      <c r="U24" s="97">
        <v>-0.6</v>
      </c>
      <c r="V24" s="97">
        <v>0</v>
      </c>
      <c r="W24" s="97">
        <v>0</v>
      </c>
    </row>
    <row r="25" spans="1:23" x14ac:dyDescent="0.25">
      <c r="A25" s="22"/>
      <c r="B25" s="86" t="s">
        <v>267</v>
      </c>
      <c r="C25" s="88">
        <f t="shared" ref="C25:O25" si="2">SUM(C17:C24)</f>
        <v>60.2</v>
      </c>
      <c r="D25" s="88">
        <f t="shared" si="2"/>
        <v>17.500000000000007</v>
      </c>
      <c r="E25" s="88">
        <f t="shared" si="2"/>
        <v>74.499999999999986</v>
      </c>
      <c r="F25" s="88">
        <f t="shared" si="2"/>
        <v>50.443826594255292</v>
      </c>
      <c r="G25" s="88">
        <f t="shared" si="2"/>
        <v>202.46957397656959</v>
      </c>
      <c r="H25" s="88">
        <v>60.985584242211402</v>
      </c>
      <c r="I25" s="88">
        <v>73.393118167582116</v>
      </c>
      <c r="J25" s="88">
        <v>98.40485249649133</v>
      </c>
      <c r="K25" s="88">
        <v>101.60169911300167</v>
      </c>
      <c r="L25" s="88">
        <v>334.38525401928655</v>
      </c>
      <c r="M25" s="90">
        <f t="shared" si="2"/>
        <v>102.89699999999999</v>
      </c>
      <c r="N25" s="90">
        <f t="shared" si="2"/>
        <v>137.946</v>
      </c>
      <c r="O25" s="90">
        <f t="shared" si="2"/>
        <v>143.29164000000011</v>
      </c>
      <c r="P25" s="90">
        <f>SUM(P17:P24)</f>
        <v>145.18200000000002</v>
      </c>
      <c r="Q25" s="90">
        <f t="shared" si="1"/>
        <v>529.31664000000012</v>
      </c>
      <c r="R25" s="90">
        <v>143.63</v>
      </c>
      <c r="S25" s="88">
        <f>SUM(S16:S24)</f>
        <v>134.90100000000001</v>
      </c>
      <c r="T25" s="88">
        <f>SUM(T16:T24)</f>
        <v>141.07999999999998</v>
      </c>
      <c r="U25" s="88">
        <v>147.26699999999997</v>
      </c>
      <c r="V25" s="90">
        <v>116.33900000000001</v>
      </c>
      <c r="W25" s="90">
        <v>129.22600020000002</v>
      </c>
    </row>
    <row r="26" spans="1:23" x14ac:dyDescent="0.25">
      <c r="A26" s="22"/>
      <c r="T26" s="88"/>
      <c r="U26" s="88"/>
      <c r="V26" s="88"/>
      <c r="W26" s="88"/>
    </row>
    <row r="27" spans="1:23" ht="18" customHeight="1" x14ac:dyDescent="0.25">
      <c r="A27" s="22"/>
      <c r="B27" s="118" t="s">
        <v>293</v>
      </c>
      <c r="C27" s="119" t="s">
        <v>248</v>
      </c>
      <c r="D27" s="119" t="s">
        <v>249</v>
      </c>
      <c r="E27" s="119" t="s">
        <v>250</v>
      </c>
      <c r="F27" s="119" t="s">
        <v>251</v>
      </c>
      <c r="G27" s="119" t="s">
        <v>252</v>
      </c>
      <c r="H27" s="119" t="s">
        <v>253</v>
      </c>
      <c r="I27" s="119" t="s">
        <v>286</v>
      </c>
      <c r="J27" s="119" t="s">
        <v>287</v>
      </c>
      <c r="K27" s="119" t="s">
        <v>288</v>
      </c>
      <c r="L27" s="119" t="s">
        <v>289</v>
      </c>
      <c r="M27" s="119" t="s">
        <v>290</v>
      </c>
      <c r="N27" s="119" t="s">
        <v>301</v>
      </c>
      <c r="O27" s="119" t="s">
        <v>307</v>
      </c>
      <c r="P27" s="119" t="s">
        <v>311</v>
      </c>
      <c r="Q27" s="119" t="s">
        <v>313</v>
      </c>
      <c r="R27" s="119" t="s">
        <v>317</v>
      </c>
      <c r="S27" s="119" t="s">
        <v>322</v>
      </c>
      <c r="T27" s="119" t="s">
        <v>327</v>
      </c>
      <c r="U27" s="119" t="s">
        <v>331</v>
      </c>
      <c r="V27" s="119" t="s">
        <v>375</v>
      </c>
      <c r="W27" s="119" t="s">
        <v>374</v>
      </c>
    </row>
    <row r="28" spans="1:23" x14ac:dyDescent="0.25">
      <c r="A28" s="22"/>
      <c r="C28" s="114"/>
      <c r="D28" s="114"/>
      <c r="E28" s="114"/>
      <c r="F28" s="114"/>
      <c r="G28" s="115"/>
    </row>
    <row r="29" spans="1:23" x14ac:dyDescent="0.25">
      <c r="B29" s="86" t="s">
        <v>254</v>
      </c>
      <c r="C29" s="90">
        <v>463.7</v>
      </c>
      <c r="D29" s="90">
        <v>414.6</v>
      </c>
      <c r="E29" s="90">
        <v>522.1</v>
      </c>
      <c r="F29" s="90">
        <v>538.70000000000005</v>
      </c>
      <c r="G29" s="90">
        <v>1939.0525060142459</v>
      </c>
      <c r="H29" s="90">
        <v>489.7</v>
      </c>
      <c r="I29" s="90">
        <v>541.12116090000006</v>
      </c>
      <c r="J29" s="90">
        <v>583.42494863000002</v>
      </c>
      <c r="K29" s="90">
        <v>584.10060246400428</v>
      </c>
      <c r="L29" s="88">
        <v>2198.3467119940042</v>
      </c>
      <c r="M29" s="90">
        <v>579.70000000000005</v>
      </c>
      <c r="N29" s="90">
        <v>601.59900000000005</v>
      </c>
      <c r="O29" s="90">
        <v>667.22799999999995</v>
      </c>
      <c r="P29" s="90">
        <v>588.47299999999996</v>
      </c>
      <c r="Q29" s="88">
        <v>2437</v>
      </c>
      <c r="R29" s="88">
        <v>529.279</v>
      </c>
      <c r="S29" s="88">
        <v>534.35599999999999</v>
      </c>
      <c r="T29" s="88">
        <v>558.40899999999999</v>
      </c>
      <c r="U29" s="88">
        <v>633.46600000000001</v>
      </c>
      <c r="V29" s="88">
        <v>484.3</v>
      </c>
      <c r="W29" s="88">
        <v>518.14889953744012</v>
      </c>
    </row>
    <row r="30" spans="1:23" x14ac:dyDescent="0.25">
      <c r="A30" s="22"/>
      <c r="B30" s="86" t="s">
        <v>267</v>
      </c>
      <c r="C30" s="90">
        <v>60.2</v>
      </c>
      <c r="D30" s="90">
        <v>17.5</v>
      </c>
      <c r="E30" s="90">
        <v>74.5</v>
      </c>
      <c r="F30" s="90">
        <v>50.409878981954193</v>
      </c>
      <c r="G30" s="90">
        <v>202.4759443255445</v>
      </c>
      <c r="H30" s="90">
        <v>60.985584242211402</v>
      </c>
      <c r="I30" s="90">
        <v>71.609224549999922</v>
      </c>
      <c r="J30" s="90">
        <v>98.48919740999996</v>
      </c>
      <c r="K30" s="90">
        <v>100.47576356777118</v>
      </c>
      <c r="L30" s="88">
        <v>331.55976976998249</v>
      </c>
      <c r="M30" s="90">
        <v>102.94370608308081</v>
      </c>
      <c r="N30" s="90">
        <v>137.94526956663356</v>
      </c>
      <c r="O30" s="90">
        <v>134.53068443323275</v>
      </c>
      <c r="P30" s="90">
        <v>138.46055989807169</v>
      </c>
      <c r="Q30" s="88">
        <v>513.88021998101885</v>
      </c>
      <c r="R30" s="88">
        <v>149.18348548050574</v>
      </c>
      <c r="S30" s="88">
        <v>134.88624845447504</v>
      </c>
      <c r="T30" s="90">
        <v>126.52705979772117</v>
      </c>
      <c r="U30" s="90">
        <v>147.08969656304049</v>
      </c>
      <c r="V30" s="90">
        <v>116.33900000000001</v>
      </c>
      <c r="W30" s="90">
        <v>129.24057471255219</v>
      </c>
    </row>
    <row r="31" spans="1:23" x14ac:dyDescent="0.25">
      <c r="A31" s="22"/>
      <c r="B31" s="92" t="s">
        <v>256</v>
      </c>
      <c r="C31" s="93">
        <v>0.13</v>
      </c>
      <c r="D31" s="93">
        <v>4.2000000000000003E-2</v>
      </c>
      <c r="E31" s="93">
        <v>0.14299999999999999</v>
      </c>
      <c r="F31" s="93">
        <v>9.3585156328263683E-2</v>
      </c>
      <c r="G31" s="93">
        <v>0.10442004210692422</v>
      </c>
      <c r="H31" s="93">
        <v>0.12453662291650276</v>
      </c>
      <c r="I31" s="93">
        <v>0.16087501287167594</v>
      </c>
      <c r="J31" s="93">
        <v>0.16881211138000279</v>
      </c>
      <c r="K31" s="93">
        <v>0.17201790777807507</v>
      </c>
      <c r="L31" s="93">
        <v>0.15082232841663185</v>
      </c>
      <c r="M31" s="93">
        <v>0.17758100066082594</v>
      </c>
      <c r="N31" s="93">
        <v>0.22929770422928486</v>
      </c>
      <c r="O31" s="93">
        <v>0.20162625734116787</v>
      </c>
      <c r="P31" s="93">
        <v>0.23528787199764764</v>
      </c>
      <c r="Q31" s="93">
        <v>0.21086590889660192</v>
      </c>
      <c r="R31" s="93">
        <v>0.28186171278381672</v>
      </c>
      <c r="S31" s="93">
        <v>0.25242768576468694</v>
      </c>
      <c r="T31" s="93">
        <v>0.22658492215870654</v>
      </c>
      <c r="U31" s="93">
        <v>0.23219824988719281</v>
      </c>
      <c r="V31" s="93">
        <v>0.22452812329401398</v>
      </c>
      <c r="W31" s="93">
        <v>0.24942748084175675</v>
      </c>
    </row>
    <row r="32" spans="1:23" x14ac:dyDescent="0.25">
      <c r="A32" s="22"/>
      <c r="B32" s="86" t="s">
        <v>291</v>
      </c>
      <c r="C32" s="90">
        <v>-2.1470999999999947</v>
      </c>
      <c r="D32" s="90">
        <v>-65.496380000000002</v>
      </c>
      <c r="E32" s="90">
        <v>-2.4</v>
      </c>
      <c r="F32" s="90">
        <v>-54</v>
      </c>
      <c r="G32" s="90">
        <v>-202.39999999999998</v>
      </c>
      <c r="H32" s="90">
        <v>-5</v>
      </c>
      <c r="I32" s="90">
        <v>-22.458919999999999</v>
      </c>
      <c r="J32" s="90">
        <v>35.700000000000003</v>
      </c>
      <c r="K32" s="90">
        <v>23.829000000000001</v>
      </c>
      <c r="L32" s="88">
        <v>32.070080000000004</v>
      </c>
      <c r="M32" s="90">
        <v>-18.100000000000001</v>
      </c>
      <c r="N32" s="90">
        <v>-4.3019999999999996</v>
      </c>
      <c r="O32" s="90">
        <v>22.077999999999999</v>
      </c>
      <c r="P32" s="90">
        <v>24.786000000000001</v>
      </c>
      <c r="Q32" s="88">
        <v>24.462</v>
      </c>
      <c r="R32" s="88">
        <v>59.457000000000001</v>
      </c>
      <c r="S32" s="88">
        <v>57.521000000000001</v>
      </c>
      <c r="T32" s="90">
        <v>60.712000000000003</v>
      </c>
      <c r="U32" s="90">
        <v>35.595999999999997</v>
      </c>
      <c r="V32" s="90">
        <v>147.80000000000001</v>
      </c>
      <c r="W32" s="90">
        <v>79.599999999999994</v>
      </c>
    </row>
    <row r="33" spans="1:23" x14ac:dyDescent="0.25">
      <c r="A33" s="22"/>
      <c r="B33" s="92" t="s">
        <v>256</v>
      </c>
      <c r="C33" s="96">
        <f>C32/C29</f>
        <v>-4.6303644597800184E-3</v>
      </c>
      <c r="D33" s="117">
        <v>-0.35699999999999998</v>
      </c>
      <c r="E33" s="96">
        <v>-5.0000000000000001E-3</v>
      </c>
      <c r="F33" s="96">
        <f>F32/F29</f>
        <v>-0.10024132170038982</v>
      </c>
      <c r="G33" s="96">
        <f>G32/G29</f>
        <v>-0.10438087641888383</v>
      </c>
      <c r="H33" s="96">
        <v>-1.0210332856851134E-2</v>
      </c>
      <c r="I33" s="96">
        <v>-4.150442012403658E-2</v>
      </c>
      <c r="J33" s="96">
        <v>6.1190389755924626E-2</v>
      </c>
      <c r="K33" s="96">
        <v>4.0796054480132959E-2</v>
      </c>
      <c r="L33" s="96">
        <v>1.4588272097857999E-2</v>
      </c>
      <c r="M33" s="96">
        <v>-3.1223046403312058E-2</v>
      </c>
      <c r="N33" s="117">
        <v>-7.1509427376042836E-3</v>
      </c>
      <c r="O33" s="117">
        <v>3.3089138945008305E-2</v>
      </c>
      <c r="P33" s="117">
        <v>4.2119179639507683E-2</v>
      </c>
      <c r="Q33" s="96">
        <v>1.0037751333606893E-2</v>
      </c>
      <c r="R33" s="96">
        <v>0.11233583799848473</v>
      </c>
      <c r="S33" s="96">
        <v>0.10764546482120534</v>
      </c>
      <c r="T33" s="117">
        <v>0.10872317602330908</v>
      </c>
      <c r="U33" s="117">
        <v>5.619243968894936E-2</v>
      </c>
      <c r="V33" s="117">
        <v>0.28524619106967797</v>
      </c>
      <c r="W33" s="117">
        <v>0.1536237943785275</v>
      </c>
    </row>
    <row r="34" spans="1:23" x14ac:dyDescent="0.25">
      <c r="A34" s="22"/>
      <c r="B34" s="86" t="s">
        <v>292</v>
      </c>
      <c r="C34" s="90">
        <f>C70+C81+C90+C99+C108</f>
        <v>2.4065055580240098</v>
      </c>
      <c r="D34" s="90">
        <f>D70+D81+D90+D99+D108</f>
        <v>6.1927919651156689</v>
      </c>
      <c r="E34" s="90">
        <f>E70+E81+E90+E99+E108</f>
        <v>14.036559960951369</v>
      </c>
      <c r="F34" s="90">
        <f>F70+F81+F90+F99+F108</f>
        <v>6.041023263631403</v>
      </c>
      <c r="G34" s="90">
        <f>G70+G81+G90+G99+G108</f>
        <v>33.613104605794881</v>
      </c>
      <c r="H34" s="90">
        <v>-3.3055435952510219</v>
      </c>
      <c r="I34" s="90">
        <v>467.96497557649002</v>
      </c>
      <c r="J34" s="90">
        <v>484.93575122000004</v>
      </c>
      <c r="K34" s="90">
        <v>483.6251592272331</v>
      </c>
      <c r="L34" s="90">
        <v>1865.0784102803214</v>
      </c>
      <c r="M34" s="90">
        <v>476.75629391691922</v>
      </c>
      <c r="N34" s="90">
        <v>463.65373043336649</v>
      </c>
      <c r="O34" s="90">
        <v>532.6973155667672</v>
      </c>
      <c r="P34" s="90">
        <v>450.01244010192829</v>
      </c>
      <c r="Q34" s="90">
        <v>1923.1197800189811</v>
      </c>
      <c r="R34" s="90">
        <v>380.09551451949426</v>
      </c>
      <c r="S34" s="90">
        <v>399.46975154552496</v>
      </c>
      <c r="T34" s="90">
        <v>431.88194020227883</v>
      </c>
      <c r="U34" s="90">
        <v>486.37630343695952</v>
      </c>
      <c r="V34" s="90">
        <v>367.96100000000001</v>
      </c>
      <c r="W34" s="90">
        <v>388.90832482488793</v>
      </c>
    </row>
    <row r="35" spans="1:23" x14ac:dyDescent="0.25">
      <c r="A35" s="22"/>
    </row>
    <row r="36" spans="1:23" x14ac:dyDescent="0.25">
      <c r="A36" s="22"/>
      <c r="B36" s="86" t="s">
        <v>258</v>
      </c>
    </row>
    <row r="37" spans="1:23" x14ac:dyDescent="0.25">
      <c r="A37" s="22"/>
      <c r="B37" s="86" t="s">
        <v>259</v>
      </c>
      <c r="C37" s="89">
        <v>2.1</v>
      </c>
      <c r="D37" s="90">
        <f>D32</f>
        <v>-65.496380000000002</v>
      </c>
      <c r="E37" s="89">
        <v>-2.4</v>
      </c>
      <c r="F37" s="90">
        <v>-54</v>
      </c>
      <c r="G37" s="89">
        <v>-202.4</v>
      </c>
      <c r="H37" s="89">
        <v>-5</v>
      </c>
      <c r="I37" s="90">
        <v>-22.458919999999999</v>
      </c>
      <c r="J37" s="90">
        <v>35.700000000000003</v>
      </c>
      <c r="K37" s="88">
        <v>23.829000000000001</v>
      </c>
      <c r="L37" s="88">
        <v>32.070080000000004</v>
      </c>
      <c r="M37" s="88">
        <v>-18.082999999999998</v>
      </c>
      <c r="N37" s="90">
        <v>-4.3019999999999996</v>
      </c>
      <c r="O37" s="90">
        <v>22.077999999999999</v>
      </c>
      <c r="P37" s="90">
        <v>24.786000000000001</v>
      </c>
      <c r="Q37" s="90">
        <v>24.479000000000003</v>
      </c>
      <c r="R37" s="90">
        <v>64.973149899999981</v>
      </c>
      <c r="S37" s="90">
        <v>57.5</v>
      </c>
      <c r="T37" s="90">
        <v>46.120000000000005</v>
      </c>
      <c r="U37" s="90">
        <v>35.6</v>
      </c>
      <c r="V37" s="90">
        <v>147.80000000000001</v>
      </c>
      <c r="W37" s="90">
        <v>79.599999999999994</v>
      </c>
    </row>
    <row r="38" spans="1:23" x14ac:dyDescent="0.25">
      <c r="A38" s="22"/>
      <c r="B38" s="30" t="s">
        <v>260</v>
      </c>
      <c r="C38" s="97">
        <v>-1.1000000000000001</v>
      </c>
      <c r="D38" s="97">
        <v>0</v>
      </c>
      <c r="E38" s="97">
        <v>2</v>
      </c>
      <c r="F38" s="97">
        <v>-0.1</v>
      </c>
      <c r="G38" s="97">
        <v>0.79999999999999993</v>
      </c>
      <c r="H38" s="97">
        <v>2.2000000000000002</v>
      </c>
      <c r="I38" s="97">
        <v>-0.7</v>
      </c>
      <c r="J38" s="97">
        <v>-0.5</v>
      </c>
      <c r="K38" s="97">
        <v>3.9</v>
      </c>
      <c r="L38" s="97">
        <v>4.9000000000000004</v>
      </c>
      <c r="M38" s="97">
        <v>1.609</v>
      </c>
      <c r="N38" s="97">
        <v>3.7999999999999999E-2</v>
      </c>
      <c r="O38" s="97">
        <v>-0.67535999999986962</v>
      </c>
      <c r="P38" s="97">
        <v>-9.9459999999999997</v>
      </c>
      <c r="Q38" s="97">
        <v>-8.9743599999998693</v>
      </c>
      <c r="R38" s="97">
        <v>0.2</v>
      </c>
      <c r="S38" s="97">
        <v>-2.2999999999999998</v>
      </c>
      <c r="T38" s="97">
        <v>0.3</v>
      </c>
      <c r="U38" s="97">
        <v>-0.8</v>
      </c>
      <c r="V38" s="97">
        <v>-1.2</v>
      </c>
      <c r="W38" s="97">
        <v>0</v>
      </c>
    </row>
    <row r="39" spans="1:23" x14ac:dyDescent="0.25">
      <c r="A39" s="22"/>
      <c r="B39" s="30" t="s">
        <v>261</v>
      </c>
      <c r="C39" s="97">
        <v>5.2120999999999924</v>
      </c>
      <c r="D39" s="97">
        <v>31.653380000000006</v>
      </c>
      <c r="E39" s="97">
        <v>-2.4</v>
      </c>
      <c r="F39" s="97">
        <v>13.100000000000001</v>
      </c>
      <c r="G39" s="97">
        <v>7.2000000000000011</v>
      </c>
      <c r="H39" s="97">
        <v>4.3</v>
      </c>
      <c r="I39" s="97">
        <v>-6.9030799999999992</v>
      </c>
      <c r="J39" s="97">
        <v>-22.7</v>
      </c>
      <c r="K39" s="97">
        <v>-1.6999999999999993</v>
      </c>
      <c r="L39" s="97">
        <v>-27.003079999999997</v>
      </c>
      <c r="M39" s="97">
        <v>-7.9340000000000002</v>
      </c>
      <c r="N39" s="97">
        <v>26.077999999999999</v>
      </c>
      <c r="O39" s="97">
        <v>0.32800000000000001</v>
      </c>
      <c r="P39" s="97">
        <v>0.24399999999999999</v>
      </c>
      <c r="Q39" s="97">
        <v>18.715999999999998</v>
      </c>
      <c r="R39" s="97">
        <v>22.9</v>
      </c>
      <c r="S39" s="97">
        <v>15.5</v>
      </c>
      <c r="T39" s="97">
        <v>26.8</v>
      </c>
      <c r="U39" s="97">
        <v>-2.7000000000000011</v>
      </c>
      <c r="V39" s="97">
        <v>23.499999999999996</v>
      </c>
      <c r="W39" s="97">
        <v>8.6999999999999993</v>
      </c>
    </row>
    <row r="40" spans="1:23" x14ac:dyDescent="0.25">
      <c r="A40" s="22"/>
      <c r="B40" s="30" t="s">
        <v>262</v>
      </c>
      <c r="C40" s="97">
        <v>24</v>
      </c>
      <c r="D40" s="97">
        <v>10.999999999999996</v>
      </c>
      <c r="E40" s="97">
        <v>33.1</v>
      </c>
      <c r="F40" s="97">
        <v>16.999999999999996</v>
      </c>
      <c r="G40" s="97">
        <v>85.1</v>
      </c>
      <c r="H40" s="97">
        <v>18.599999999999998</v>
      </c>
      <c r="I40" s="97">
        <v>57.668000000000006</v>
      </c>
      <c r="J40" s="97">
        <v>1.1000000000000014</v>
      </c>
      <c r="K40" s="97">
        <v>-25.700000000000003</v>
      </c>
      <c r="L40" s="97">
        <v>51.667999999999992</v>
      </c>
      <c r="M40" s="97">
        <v>84.751999999999995</v>
      </c>
      <c r="N40" s="97">
        <v>16.713999999999999</v>
      </c>
      <c r="O40" s="97">
        <v>51.036000000000001</v>
      </c>
      <c r="P40" s="97">
        <v>34.075000000000003</v>
      </c>
      <c r="Q40" s="97">
        <v>186.577</v>
      </c>
      <c r="R40" s="97">
        <v>18.900000000000006</v>
      </c>
      <c r="S40" s="97">
        <v>32.700000000000003</v>
      </c>
      <c r="T40" s="97">
        <v>24.199999999999989</v>
      </c>
      <c r="U40" s="97">
        <v>42.699999999999989</v>
      </c>
      <c r="V40" s="97">
        <v>30.1</v>
      </c>
      <c r="W40" s="97">
        <v>15.900000000000006</v>
      </c>
    </row>
    <row r="41" spans="1:23" x14ac:dyDescent="0.25">
      <c r="A41" s="22"/>
      <c r="B41" s="30" t="s">
        <v>263</v>
      </c>
      <c r="C41" s="97">
        <v>34.4</v>
      </c>
      <c r="D41" s="97">
        <f>D21</f>
        <v>37.200000000000003</v>
      </c>
      <c r="E41" s="97">
        <v>45</v>
      </c>
      <c r="F41" s="97">
        <v>41.500000000000007</v>
      </c>
      <c r="G41" s="97">
        <v>152.1</v>
      </c>
      <c r="H41" s="97">
        <v>36.4</v>
      </c>
      <c r="I41" s="97">
        <v>36.600000000000009</v>
      </c>
      <c r="J41" s="97">
        <v>37.137</v>
      </c>
      <c r="K41" s="97">
        <v>-38.401699113001698</v>
      </c>
      <c r="L41" s="97">
        <v>71.735300886998303</v>
      </c>
      <c r="M41" s="97">
        <v>27.152000000000001</v>
      </c>
      <c r="N41" s="97">
        <v>27.83</v>
      </c>
      <c r="O41" s="97">
        <v>28.689</v>
      </c>
      <c r="P41" s="97">
        <v>35.655000000000001</v>
      </c>
      <c r="Q41" s="97">
        <v>119.32599999999999</v>
      </c>
      <c r="R41" s="97">
        <v>29.1</v>
      </c>
      <c r="S41" s="97">
        <v>28.015999999999998</v>
      </c>
      <c r="T41" s="97">
        <v>30.780999999999999</v>
      </c>
      <c r="U41" s="97">
        <v>32.621000000000016</v>
      </c>
      <c r="V41" s="97">
        <v>23.538999999999998</v>
      </c>
      <c r="W41" s="97">
        <v>22.826000200000006</v>
      </c>
    </row>
    <row r="42" spans="1:23" x14ac:dyDescent="0.25">
      <c r="A42" s="22"/>
      <c r="B42" s="30" t="s">
        <v>265</v>
      </c>
      <c r="C42" s="97">
        <v>3.835000000000008</v>
      </c>
      <c r="D42" s="97">
        <v>5.7430000000000092</v>
      </c>
      <c r="E42" s="97">
        <v>11.3</v>
      </c>
      <c r="F42" s="97">
        <v>39.5</v>
      </c>
      <c r="G42" s="97">
        <v>179.10000000000002</v>
      </c>
      <c r="H42" s="97">
        <v>10.4</v>
      </c>
      <c r="I42" s="97">
        <v>10.559999999999999</v>
      </c>
      <c r="J42" s="97">
        <v>-5.2</v>
      </c>
      <c r="K42" s="97">
        <v>-12.6</v>
      </c>
      <c r="L42" s="97">
        <v>3.1600000000000019</v>
      </c>
      <c r="M42" s="97">
        <v>8.3569999999999993</v>
      </c>
      <c r="N42" s="97">
        <v>64.637</v>
      </c>
      <c r="O42" s="97">
        <v>44.598999999999997</v>
      </c>
      <c r="P42" s="97">
        <v>67.421000000000006</v>
      </c>
      <c r="Q42" s="97">
        <v>185.01400000000001</v>
      </c>
      <c r="R42" s="97">
        <v>16.399999999999999</v>
      </c>
      <c r="S42" s="97">
        <v>7</v>
      </c>
      <c r="T42" s="97">
        <v>3.8</v>
      </c>
      <c r="U42" s="97">
        <v>43.699999999999996</v>
      </c>
      <c r="V42" s="97">
        <v>-109.1</v>
      </c>
      <c r="W42" s="97">
        <v>2.2999999999999998</v>
      </c>
    </row>
    <row r="43" spans="1:23" x14ac:dyDescent="0.25">
      <c r="A43" s="22"/>
      <c r="B43" s="30" t="s">
        <v>268</v>
      </c>
      <c r="C43" s="97">
        <v>-4.2</v>
      </c>
      <c r="D43" s="97">
        <f>D23</f>
        <v>-4.3</v>
      </c>
      <c r="E43" s="97">
        <v>-11.4</v>
      </c>
      <c r="F43" s="97">
        <v>-4.5561734057447083</v>
      </c>
      <c r="G43" s="97">
        <v>-18.630426023430402</v>
      </c>
      <c r="H43" s="97">
        <v>-5.9144157577885998</v>
      </c>
      <c r="I43" s="97">
        <v>-4.5068818324179105</v>
      </c>
      <c r="J43" s="97">
        <v>-2.2387875035087972</v>
      </c>
      <c r="K43" s="97">
        <v>-4.6983008869983038</v>
      </c>
      <c r="L43" s="97">
        <v>-17.358385980713614</v>
      </c>
      <c r="M43" s="97">
        <v>6.69</v>
      </c>
      <c r="N43" s="97">
        <v>6.0750000000000002</v>
      </c>
      <c r="O43" s="97">
        <v>-3.3929999999999998</v>
      </c>
      <c r="P43" s="97">
        <v>-8.6389999999999993</v>
      </c>
      <c r="Q43" s="97">
        <v>0.73300000000000054</v>
      </c>
      <c r="R43" s="97">
        <v>-4.2699999999999996</v>
      </c>
      <c r="S43" s="97">
        <v>-4.0149999999999997</v>
      </c>
      <c r="T43" s="97">
        <v>-4.9009999999999998</v>
      </c>
      <c r="U43" s="97">
        <v>-3.2540000000000147</v>
      </c>
      <c r="V43" s="97">
        <v>1.7</v>
      </c>
      <c r="W43" s="97">
        <v>-0.1</v>
      </c>
    </row>
    <row r="44" spans="1:23" ht="15.75" customHeight="1" x14ac:dyDescent="0.25">
      <c r="A44" s="22"/>
      <c r="B44" s="17" t="s">
        <v>269</v>
      </c>
      <c r="C44" s="97">
        <v>0.2</v>
      </c>
      <c r="D44" s="97">
        <v>1.7</v>
      </c>
      <c r="E44" s="97">
        <v>-0.7</v>
      </c>
      <c r="F44" s="97">
        <v>-2</v>
      </c>
      <c r="G44" s="97">
        <v>-0.8</v>
      </c>
      <c r="H44" s="97">
        <v>0</v>
      </c>
      <c r="I44" s="97">
        <v>0.4</v>
      </c>
      <c r="J44" s="97">
        <v>-0.7</v>
      </c>
      <c r="K44" s="97">
        <v>-1.6</v>
      </c>
      <c r="L44" s="97">
        <v>-1.9</v>
      </c>
      <c r="M44" s="97">
        <v>0.35399999999999998</v>
      </c>
      <c r="N44" s="97">
        <v>0.876</v>
      </c>
      <c r="O44" s="97">
        <v>0.63</v>
      </c>
      <c r="P44" s="97">
        <v>1.5860000000000001</v>
      </c>
      <c r="Q44" s="97">
        <v>3.4459999999999997</v>
      </c>
      <c r="R44" s="97">
        <v>1</v>
      </c>
      <c r="S44" s="97">
        <v>0.5</v>
      </c>
      <c r="T44" s="97">
        <v>-0.6</v>
      </c>
      <c r="U44" s="97">
        <v>-0.6</v>
      </c>
      <c r="V44" s="97">
        <v>0</v>
      </c>
      <c r="W44" s="97">
        <v>0</v>
      </c>
    </row>
    <row r="45" spans="1:23" x14ac:dyDescent="0.25">
      <c r="A45" s="22"/>
      <c r="B45" s="86" t="s">
        <v>267</v>
      </c>
      <c r="C45" s="90">
        <v>60.2</v>
      </c>
      <c r="D45" s="88">
        <v>17.565239405496097</v>
      </c>
      <c r="E45" s="88">
        <f>SUM(E37:E44)</f>
        <v>74.499999999999986</v>
      </c>
      <c r="F45" s="88">
        <f>SUM(F37:F44)</f>
        <v>50.443826594255292</v>
      </c>
      <c r="G45" s="88">
        <f>SUM(G37:G44)</f>
        <v>202.46957397656959</v>
      </c>
      <c r="H45" s="88">
        <v>60.985584242211402</v>
      </c>
      <c r="I45" s="88">
        <v>70.611999999999981</v>
      </c>
      <c r="J45" s="88">
        <v>98.498212496491206</v>
      </c>
      <c r="K45" s="88">
        <v>100.03069911300169</v>
      </c>
      <c r="L45" s="88">
        <v>330.12649585170425</v>
      </c>
      <c r="M45" s="88">
        <v>102.89699999999999</v>
      </c>
      <c r="N45" s="88">
        <v>137.946</v>
      </c>
      <c r="O45" s="88">
        <v>143.29164000000011</v>
      </c>
      <c r="P45" s="88">
        <v>145.18200000000002</v>
      </c>
      <c r="Q45" s="88">
        <v>529.31664000000012</v>
      </c>
      <c r="R45" s="88">
        <v>149.20314989999997</v>
      </c>
      <c r="S45" s="88">
        <v>134.90100000000001</v>
      </c>
      <c r="T45" s="88">
        <v>126.50000000000001</v>
      </c>
      <c r="U45" s="88">
        <v>147.26699999999997</v>
      </c>
      <c r="V45" s="88">
        <v>116.33900000000001</v>
      </c>
      <c r="W45" s="88">
        <v>129.22600020000002</v>
      </c>
    </row>
    <row r="46" spans="1:23" x14ac:dyDescent="0.25">
      <c r="A46" s="22"/>
    </row>
    <row r="47" spans="1:23" x14ac:dyDescent="0.25">
      <c r="A47" s="22"/>
      <c r="B47" s="139" t="s">
        <v>302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</row>
    <row r="48" spans="1:23" x14ac:dyDescent="0.25">
      <c r="A48" s="22"/>
      <c r="B48" s="86" t="s">
        <v>254</v>
      </c>
      <c r="C48" s="88">
        <v>136.73684261376692</v>
      </c>
      <c r="D48" s="88">
        <v>47.022198452472146</v>
      </c>
      <c r="E48" s="88">
        <v>106.0653893307251</v>
      </c>
      <c r="F48" s="88">
        <v>128.78984995478774</v>
      </c>
      <c r="G48" s="88">
        <v>316.15533261730724</v>
      </c>
      <c r="H48" s="88">
        <v>104.11438822568468</v>
      </c>
      <c r="I48" s="88">
        <v>115.92232708790456</v>
      </c>
      <c r="J48" s="88">
        <v>154.42705494999998</v>
      </c>
      <c r="K48" s="88">
        <v>136.94015173677491</v>
      </c>
      <c r="L48" s="88">
        <v>511.40392200036416</v>
      </c>
      <c r="M48" s="88">
        <v>132.29872369900588</v>
      </c>
      <c r="N48" s="88">
        <v>147.42868947289989</v>
      </c>
      <c r="O48" s="88">
        <v>186.16796849424728</v>
      </c>
      <c r="P48" s="88">
        <v>171.39458563500736</v>
      </c>
      <c r="Q48" s="88">
        <f>SUM(M48:P48)</f>
        <v>637.28996730116046</v>
      </c>
      <c r="R48" s="88">
        <v>173.11932101034995</v>
      </c>
      <c r="S48" s="88">
        <v>169.57387773137503</v>
      </c>
      <c r="T48" s="88">
        <v>194.31775999999999</v>
      </c>
      <c r="U48" s="88">
        <v>210.22983000000002</v>
      </c>
      <c r="V48" s="88">
        <v>194.1</v>
      </c>
      <c r="W48" s="88">
        <v>202.43335715838626</v>
      </c>
    </row>
    <row r="49" spans="1:23" x14ac:dyDescent="0.25">
      <c r="A49" s="22"/>
      <c r="B49" s="30" t="s">
        <v>273</v>
      </c>
      <c r="C49" s="94">
        <f>C48/C9</f>
        <v>0.29488212769844063</v>
      </c>
      <c r="D49" s="94">
        <f>D48/D9</f>
        <v>0.11341581874691786</v>
      </c>
      <c r="E49" s="94">
        <f>E48/E9</f>
        <v>0.20315148310807335</v>
      </c>
      <c r="F49" s="94">
        <f>F48/F9</f>
        <v>0.23907527372338544</v>
      </c>
      <c r="G49" s="94">
        <f>G48/G9</f>
        <v>0.16304629794020881</v>
      </c>
      <c r="H49" s="94">
        <v>0.2126085117943326</v>
      </c>
      <c r="I49" s="94">
        <v>0.21422619454597003</v>
      </c>
      <c r="J49" s="94">
        <v>0.26469004629550275</v>
      </c>
      <c r="K49" s="94">
        <v>0.23460707852796797</v>
      </c>
      <c r="L49" s="94">
        <v>0.23267343778681104</v>
      </c>
      <c r="M49" s="94">
        <f>M48/M9</f>
        <v>0.22821929221839893</v>
      </c>
      <c r="N49" s="94">
        <f>N48/N9</f>
        <v>0.24506139384024886</v>
      </c>
      <c r="O49" s="94">
        <f>O48/O9</f>
        <v>0.27901702041018556</v>
      </c>
      <c r="P49" s="94">
        <f>P48/P9</f>
        <v>0.29125310020172102</v>
      </c>
      <c r="Q49" s="94">
        <f>Q48/Q9</f>
        <v>0.26150593652078802</v>
      </c>
      <c r="R49" s="94">
        <v>0.32708518760493038</v>
      </c>
      <c r="S49" s="94">
        <v>0.31734251647099504</v>
      </c>
      <c r="T49" s="94">
        <v>0.34798464924455014</v>
      </c>
      <c r="U49" s="94">
        <v>0.33187231832489827</v>
      </c>
      <c r="V49" s="94">
        <v>0.40078463762130906</v>
      </c>
      <c r="W49" s="94">
        <v>0.39068568386249936</v>
      </c>
    </row>
    <row r="50" spans="1:23" x14ac:dyDescent="0.25">
      <c r="A50" s="22"/>
      <c r="B50" s="86" t="s">
        <v>255</v>
      </c>
      <c r="C50" s="88">
        <v>39.373635184956932</v>
      </c>
      <c r="D50" s="88">
        <v>-21.037071823999984</v>
      </c>
      <c r="E50" s="88">
        <v>15.06933240829999</v>
      </c>
      <c r="F50" s="88">
        <v>5.8645314793999859</v>
      </c>
      <c r="G50" s="88">
        <v>45.042627686900026</v>
      </c>
      <c r="H50" s="88">
        <v>21.893819644600008</v>
      </c>
      <c r="I50" s="88">
        <v>15.687852691414562</v>
      </c>
      <c r="J50" s="88">
        <v>43.493673601399991</v>
      </c>
      <c r="K50" s="88">
        <v>42.077677363974914</v>
      </c>
      <c r="L50" s="88">
        <v>123.15302330138948</v>
      </c>
      <c r="M50" s="88">
        <v>37.379305871554941</v>
      </c>
      <c r="N50" s="88">
        <v>46.99483611059992</v>
      </c>
      <c r="O50" s="88">
        <v>53.143008596047267</v>
      </c>
      <c r="P50" s="88">
        <v>66.342882273407383</v>
      </c>
      <c r="Q50" s="88">
        <f>SUM(M50:P50)</f>
        <v>203.8600328516095</v>
      </c>
      <c r="R50" s="88">
        <v>63.119891726949994</v>
      </c>
      <c r="S50" s="88">
        <v>54.511089077450031</v>
      </c>
      <c r="T50" s="88">
        <v>58.602948310000038</v>
      </c>
      <c r="U50" s="88">
        <v>66.833682820000021</v>
      </c>
      <c r="V50" s="88">
        <v>60.8</v>
      </c>
      <c r="W50" s="88">
        <v>69.525799146553766</v>
      </c>
    </row>
    <row r="51" spans="1:23" x14ac:dyDescent="0.25">
      <c r="A51" s="22"/>
      <c r="B51" s="92" t="s">
        <v>256</v>
      </c>
      <c r="C51" s="93">
        <f t="shared" ref="C51:M51" si="3">IFERROR(C50/C48,"N/A")</f>
        <v>0.28795191136724929</v>
      </c>
      <c r="D51" s="93">
        <f t="shared" si="3"/>
        <v>-0.44738596910272665</v>
      </c>
      <c r="E51" s="93">
        <f t="shared" si="3"/>
        <v>0.14207586945551046</v>
      </c>
      <c r="F51" s="93">
        <f t="shared" si="3"/>
        <v>4.5535665127793501E-2</v>
      </c>
      <c r="G51" s="93">
        <f t="shared" si="3"/>
        <v>0.14246992867086078</v>
      </c>
      <c r="H51" s="93">
        <v>0.21028620556403438</v>
      </c>
      <c r="I51" s="93">
        <v>0.13533072606037638</v>
      </c>
      <c r="J51" s="93">
        <v>0.28164542550838817</v>
      </c>
      <c r="K51" s="93">
        <v>0.30727056184994039</v>
      </c>
      <c r="L51" s="93">
        <v>0.2408136074116807</v>
      </c>
      <c r="M51" s="93">
        <f t="shared" si="3"/>
        <v>0.2825371615571815</v>
      </c>
      <c r="N51" s="93">
        <f>IFERROR(N50/N48,"N/A")</f>
        <v>0.31876316800088245</v>
      </c>
      <c r="O51" s="93">
        <f>IFERROR(O50/O48,"N/A")</f>
        <v>0.28545731591677881</v>
      </c>
      <c r="P51" s="93">
        <f>IFERROR(P50/P48,"N/A")</f>
        <v>0.38707688476628777</v>
      </c>
      <c r="Q51" s="93">
        <f>IFERROR(Q50/Q48,"N/A")</f>
        <v>0.31988583425364442</v>
      </c>
      <c r="R51" s="93">
        <v>0.36460339238031303</v>
      </c>
      <c r="S51" s="93">
        <v>0.32145923538884924</v>
      </c>
      <c r="T51" s="93">
        <v>0.30158307871601669</v>
      </c>
      <c r="U51" s="93">
        <v>0.31790770520054179</v>
      </c>
      <c r="V51" s="93">
        <v>0.313</v>
      </c>
      <c r="W51" s="93">
        <v>0.3434503093882692</v>
      </c>
    </row>
    <row r="52" spans="1:23" x14ac:dyDescent="0.25">
      <c r="A52" s="22"/>
      <c r="B52" s="6" t="s">
        <v>274</v>
      </c>
      <c r="C52" s="94">
        <f>C50/C10</f>
        <v>0.65404709609563005</v>
      </c>
      <c r="D52" s="94">
        <f>D50/D10</f>
        <v>-1.2021183899428562</v>
      </c>
      <c r="E52" s="94">
        <f>E50/E10</f>
        <v>0.20227291823221463</v>
      </c>
      <c r="F52" s="94">
        <f>F50/F10</f>
        <v>0.11633694819024223</v>
      </c>
      <c r="G52" s="94">
        <f>G50/G10</f>
        <v>0.22245915600956365</v>
      </c>
      <c r="H52" s="94">
        <v>0.35899991640067158</v>
      </c>
      <c r="I52" s="94">
        <v>0.21373096309829104</v>
      </c>
      <c r="J52" s="94">
        <v>0.44156013808527911</v>
      </c>
      <c r="K52" s="94">
        <v>0.41414344180579116</v>
      </c>
      <c r="L52" s="94">
        <v>0.36818447047090141</v>
      </c>
      <c r="M52" s="94">
        <f>M50/M10</f>
        <v>0.36310433433771988</v>
      </c>
      <c r="N52" s="94">
        <f>N50/N10</f>
        <v>0.3406774024092169</v>
      </c>
      <c r="O52" s="94">
        <f>O50/O10</f>
        <v>0.39502518566626343</v>
      </c>
      <c r="P52" s="94">
        <f>P50/P10</f>
        <v>0.47914642496206838</v>
      </c>
      <c r="Q52" s="94">
        <f>Q50/Q10</f>
        <v>0.39670729661308907</v>
      </c>
      <c r="R52" s="94">
        <v>0.4231024065676362</v>
      </c>
      <c r="S52" s="94">
        <v>0.40412636352509923</v>
      </c>
      <c r="T52" s="94">
        <v>0.46316533715150404</v>
      </c>
      <c r="U52" s="94">
        <v>0.45437365350302483</v>
      </c>
      <c r="V52" s="94">
        <v>0.52261064647280786</v>
      </c>
      <c r="W52" s="94">
        <v>0.53795643745153687</v>
      </c>
    </row>
    <row r="53" spans="1:23" x14ac:dyDescent="0.25">
      <c r="A53" s="22"/>
      <c r="B53" s="86" t="s">
        <v>292</v>
      </c>
      <c r="C53" s="88">
        <v>97.36320742881</v>
      </c>
      <c r="D53" s="88">
        <v>68.059270276472134</v>
      </c>
      <c r="E53" s="88">
        <v>90.996056922425112</v>
      </c>
      <c r="F53" s="88">
        <v>122.92531847538774</v>
      </c>
      <c r="G53" s="88">
        <v>271.11270493040723</v>
      </c>
      <c r="H53" s="88">
        <v>82.220568581084677</v>
      </c>
      <c r="I53" s="88">
        <v>100.23447439649</v>
      </c>
      <c r="J53" s="88">
        <v>110.93338134859999</v>
      </c>
      <c r="K53" s="88">
        <v>94.862474372800008</v>
      </c>
      <c r="L53" s="88">
        <v>388.25089869897471</v>
      </c>
      <c r="M53" s="88">
        <v>94.919417827450928</v>
      </c>
      <c r="N53" s="88">
        <v>100.43385336229997</v>
      </c>
      <c r="O53" s="88">
        <v>133.0249598982</v>
      </c>
      <c r="P53" s="88">
        <v>105.05170336159998</v>
      </c>
      <c r="Q53" s="88">
        <f>SUM(M53:P53)</f>
        <v>433.42993444955084</v>
      </c>
      <c r="R53" s="88">
        <v>109.99942928339996</v>
      </c>
      <c r="S53" s="88">
        <v>115.062788653925</v>
      </c>
      <c r="T53" s="88">
        <v>135.71481168999995</v>
      </c>
      <c r="U53" s="88">
        <v>143.39614718000001</v>
      </c>
      <c r="V53" s="88">
        <v>133.30000000000001</v>
      </c>
      <c r="W53" s="88">
        <v>132.90755801183249</v>
      </c>
    </row>
    <row r="54" spans="1:23" x14ac:dyDescent="0.25">
      <c r="A54" s="22"/>
      <c r="B54" s="6" t="s">
        <v>295</v>
      </c>
      <c r="C54" s="94">
        <f>C53/C14</f>
        <v>0.24129667268602231</v>
      </c>
      <c r="D54" s="94">
        <f>D53/D14</f>
        <v>0.17139075869169512</v>
      </c>
      <c r="E54" s="94">
        <f>E53/E14</f>
        <v>0.20329771430389881</v>
      </c>
      <c r="F54" s="94">
        <f>F53/F14</f>
        <v>0.25174647854660315</v>
      </c>
      <c r="G54" s="94">
        <f>G53/G14</f>
        <v>0.1561190625921893</v>
      </c>
      <c r="H54" s="94">
        <v>0.1917840071595282</v>
      </c>
      <c r="I54" s="94">
        <v>0.21430391176575475</v>
      </c>
      <c r="J54" s="94">
        <v>0.22876352546285408</v>
      </c>
      <c r="K54" s="94">
        <v>0.19676998279866442</v>
      </c>
      <c r="L54" s="94">
        <v>0.2083494811868539</v>
      </c>
      <c r="M54" s="94">
        <f>M53/M14</f>
        <v>0.19909421026750374</v>
      </c>
      <c r="N54" s="94">
        <f>N53/N14</f>
        <v>0.21661392278333824</v>
      </c>
      <c r="O54" s="94">
        <f>O53/O14</f>
        <v>0.24971959874937066</v>
      </c>
      <c r="P54" s="94">
        <f>P53/P14</f>
        <v>0.23344177627135299</v>
      </c>
      <c r="Q54" s="94">
        <f>Q53/Q14</f>
        <v>0.22537854321547923</v>
      </c>
      <c r="R54" s="94">
        <v>0.28939944061812478</v>
      </c>
      <c r="S54" s="94">
        <v>0.28803880195873116</v>
      </c>
      <c r="T54" s="94">
        <v>0.31424053440724042</v>
      </c>
      <c r="U54" s="94">
        <v>0.29482552124085126</v>
      </c>
      <c r="V54" s="94">
        <v>0.36222826086956522</v>
      </c>
      <c r="W54" s="94">
        <v>0.34174521224680959</v>
      </c>
    </row>
    <row r="55" spans="1:23" x14ac:dyDescent="0.25">
      <c r="A55" s="22"/>
      <c r="B55" s="5" t="s">
        <v>275</v>
      </c>
    </row>
    <row r="56" spans="1:23" x14ac:dyDescent="0.25">
      <c r="A56" s="22"/>
      <c r="B56" s="101" t="s">
        <v>296</v>
      </c>
      <c r="C56" s="87">
        <v>5.5570000000000004</v>
      </c>
      <c r="D56" s="87">
        <v>0.92400000000000004</v>
      </c>
      <c r="E56" s="87">
        <v>3.13</v>
      </c>
      <c r="F56" s="87">
        <v>4.6610000000000005</v>
      </c>
      <c r="G56" s="87">
        <v>14.272249</v>
      </c>
      <c r="H56" s="87">
        <v>3.5560419999999997</v>
      </c>
      <c r="I56" s="87">
        <v>4.4103099999999991</v>
      </c>
      <c r="J56" s="87">
        <v>5.71251</v>
      </c>
      <c r="K56" s="87">
        <v>6.180669</v>
      </c>
      <c r="L56" s="97">
        <v>19.859530999999997</v>
      </c>
      <c r="M56" s="87">
        <v>5.8056200000000002</v>
      </c>
      <c r="N56" s="87">
        <v>6.278925000000001</v>
      </c>
      <c r="O56" s="87">
        <v>7.3682109999999987</v>
      </c>
      <c r="P56" s="87">
        <v>6.9038700000000013</v>
      </c>
      <c r="Q56" s="97">
        <f>SUM(M56:P56)</f>
        <v>26.356626000000002</v>
      </c>
      <c r="R56" s="97">
        <v>7.3144430000000007</v>
      </c>
      <c r="S56" s="97">
        <v>7.0104399999999991</v>
      </c>
      <c r="T56" s="87">
        <v>7.4638100000000005</v>
      </c>
      <c r="U56" s="87">
        <v>7.08568</v>
      </c>
      <c r="V56" s="87">
        <v>7.2</v>
      </c>
      <c r="W56" s="87">
        <v>7.3031590000000008</v>
      </c>
    </row>
    <row r="57" spans="1:23" x14ac:dyDescent="0.25">
      <c r="A57" s="22"/>
    </row>
    <row r="58" spans="1:23" x14ac:dyDescent="0.25">
      <c r="A58" s="22"/>
      <c r="B58" s="141" t="s">
        <v>303</v>
      </c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</row>
    <row r="59" spans="1:23" x14ac:dyDescent="0.25">
      <c r="A59" s="22"/>
      <c r="B59" s="86" t="s">
        <v>254</v>
      </c>
      <c r="C59" s="88">
        <v>103.56816973304096</v>
      </c>
      <c r="D59" s="88">
        <v>101.28737951941416</v>
      </c>
      <c r="E59" s="88">
        <v>118.30700221561663</v>
      </c>
      <c r="F59" s="88">
        <v>127.96560471655036</v>
      </c>
      <c r="G59" s="90">
        <v>136.61892209202918</v>
      </c>
      <c r="H59" s="88">
        <v>130.54728230168101</v>
      </c>
      <c r="I59" s="88">
        <v>149.94094917999999</v>
      </c>
      <c r="J59" s="88">
        <v>147.79034985000001</v>
      </c>
      <c r="K59" s="88">
        <v>165.38576933109474</v>
      </c>
      <c r="L59" s="88">
        <v>593.66435066277575</v>
      </c>
      <c r="M59" s="88">
        <v>159.1664385402502</v>
      </c>
      <c r="N59" s="88">
        <v>160.55421442530445</v>
      </c>
      <c r="O59" s="88">
        <v>178.36106567409868</v>
      </c>
      <c r="P59" s="88">
        <v>186.20248439536448</v>
      </c>
      <c r="Q59" s="88">
        <f>SUM(M59:P59)</f>
        <v>684.28420303501775</v>
      </c>
      <c r="R59" s="88">
        <v>200.37918343982605</v>
      </c>
      <c r="S59" s="88">
        <v>199.73666654949022</v>
      </c>
      <c r="T59" s="88">
        <v>223.86883830243502</v>
      </c>
      <c r="U59" s="88">
        <v>267.51921000000004</v>
      </c>
      <c r="V59" s="88">
        <v>191.3</v>
      </c>
      <c r="W59" s="88">
        <v>204.67838737623194</v>
      </c>
    </row>
    <row r="60" spans="1:23" x14ac:dyDescent="0.25">
      <c r="A60" s="22"/>
      <c r="B60" s="30" t="s">
        <v>273</v>
      </c>
      <c r="C60" s="94">
        <f>C59/C9</f>
        <v>0.22335167076351298</v>
      </c>
      <c r="D60" s="94">
        <f>D59/D9</f>
        <v>0.24430144601884746</v>
      </c>
      <c r="E60" s="94">
        <f>E59/E9</f>
        <v>0.22659835704963921</v>
      </c>
      <c r="F60" s="94">
        <f>F59/F9</f>
        <v>0.23754521016623417</v>
      </c>
      <c r="G60" s="94">
        <f>G59/G9</f>
        <v>7.045653568858308E-2</v>
      </c>
      <c r="H60" s="94">
        <v>0.26658624117149482</v>
      </c>
      <c r="I60" s="94">
        <v>0.27709311705832418</v>
      </c>
      <c r="J60" s="94">
        <v>0.2533146446164552</v>
      </c>
      <c r="K60" s="94">
        <v>0.28334036205429969</v>
      </c>
      <c r="L60" s="94">
        <v>0.27009946427451248</v>
      </c>
      <c r="M60" s="94">
        <f>M59/M9</f>
        <v>0.27456691140288114</v>
      </c>
      <c r="N60" s="94">
        <f>N59/N9</f>
        <v>0.26687912450869172</v>
      </c>
      <c r="O60" s="94">
        <f>O59/O9</f>
        <v>0.2673165180029895</v>
      </c>
      <c r="P60" s="94">
        <f>P59/P9</f>
        <v>0.31641635962119669</v>
      </c>
      <c r="Q60" s="94">
        <f>Q59/Q9</f>
        <v>0.28078957859459081</v>
      </c>
      <c r="R60" s="94">
        <v>0.3785889548609071</v>
      </c>
      <c r="S60" s="94">
        <v>0.37378950839794112</v>
      </c>
      <c r="T60" s="94">
        <v>0.4009047818040809</v>
      </c>
      <c r="U60" s="94">
        <v>0.42231028973930729</v>
      </c>
      <c r="V60" s="94">
        <v>0.39500309725376836</v>
      </c>
      <c r="W60" s="94">
        <v>0.39501847356802577</v>
      </c>
    </row>
    <row r="61" spans="1:23" x14ac:dyDescent="0.25">
      <c r="A61" s="22"/>
      <c r="B61" s="86" t="s">
        <v>255</v>
      </c>
      <c r="C61" s="88">
        <v>9.3379053057921126</v>
      </c>
      <c r="D61" s="88">
        <v>12.579535459595325</v>
      </c>
      <c r="E61" s="88">
        <v>16.55735164829051</v>
      </c>
      <c r="F61" s="88">
        <v>9.1083434554786802</v>
      </c>
      <c r="G61" s="90">
        <v>-2.5857216874418083</v>
      </c>
      <c r="H61" s="88">
        <v>13.247235862886242</v>
      </c>
      <c r="I61" s="88">
        <v>8.9087379999999534</v>
      </c>
      <c r="J61" s="88">
        <v>15.152046670000011</v>
      </c>
      <c r="K61" s="88">
        <v>24.422457509511588</v>
      </c>
      <c r="L61" s="88">
        <v>61.730478042397792</v>
      </c>
      <c r="M61" s="88">
        <v>23.125165692335518</v>
      </c>
      <c r="N61" s="88">
        <v>30.664902861234513</v>
      </c>
      <c r="O61" s="88">
        <v>28.32069692038506</v>
      </c>
      <c r="P61" s="88">
        <v>35.697782645029278</v>
      </c>
      <c r="Q61" s="88">
        <f>SUM(M61:P61)</f>
        <v>117.80854811898438</v>
      </c>
      <c r="R61" s="88">
        <v>43.258713753555753</v>
      </c>
      <c r="S61" s="88">
        <v>42.440191650663444</v>
      </c>
      <c r="T61" s="88">
        <v>48.716859795912754</v>
      </c>
      <c r="U61" s="88">
        <v>56.297323743040472</v>
      </c>
      <c r="V61" s="88">
        <v>41.1</v>
      </c>
      <c r="W61" s="88">
        <v>39.134777780175618</v>
      </c>
    </row>
    <row r="62" spans="1:23" x14ac:dyDescent="0.25">
      <c r="A62" s="22"/>
      <c r="B62" s="92" t="s">
        <v>256</v>
      </c>
      <c r="C62" s="93">
        <f t="shared" ref="C62:M62" si="4">IFERROR(C61/C59,"N/A")</f>
        <v>9.0161922624119484E-2</v>
      </c>
      <c r="D62" s="93">
        <f t="shared" si="4"/>
        <v>0.12419647461788816</v>
      </c>
      <c r="E62" s="93">
        <f t="shared" si="4"/>
        <v>0.13995242325652407</v>
      </c>
      <c r="F62" s="93">
        <f t="shared" si="4"/>
        <v>7.1178059726706058E-2</v>
      </c>
      <c r="G62" s="93">
        <f t="shared" si="4"/>
        <v>-1.8926526778625993E-2</v>
      </c>
      <c r="H62" s="93">
        <v>0.1014746199945647</v>
      </c>
      <c r="I62" s="93">
        <v>5.9414976687290795E-2</v>
      </c>
      <c r="J62" s="93">
        <v>0.10252392450101511</v>
      </c>
      <c r="K62" s="93">
        <v>0.14766964297042356</v>
      </c>
      <c r="L62" s="93">
        <v>0.10398212049195975</v>
      </c>
      <c r="M62" s="93">
        <f t="shared" si="4"/>
        <v>0.14528920735062875</v>
      </c>
      <c r="N62" s="93">
        <f>IFERROR(N61/N59,"N/A")</f>
        <v>0.19099406995324261</v>
      </c>
      <c r="O62" s="93">
        <f>IFERROR(O61/O59,"N/A")</f>
        <v>0.15878295419098154</v>
      </c>
      <c r="P62" s="93">
        <f>IFERROR(P61/P59,"N/A")</f>
        <v>0.19171485687179143</v>
      </c>
      <c r="Q62" s="93">
        <f>IFERROR(Q61/Q59,"N/A")</f>
        <v>0.17216318540814773</v>
      </c>
      <c r="R62" s="93">
        <v>0.21588427006713681</v>
      </c>
      <c r="S62" s="93">
        <v>0.21248072466528184</v>
      </c>
      <c r="T62" s="93">
        <v>0.21761340330045775</v>
      </c>
      <c r="U62" s="93">
        <v>0.21044217251927613</v>
      </c>
      <c r="V62" s="93">
        <v>0.215</v>
      </c>
      <c r="W62" s="93">
        <v>0.19120131969888729</v>
      </c>
    </row>
    <row r="63" spans="1:23" x14ac:dyDescent="0.25">
      <c r="A63" s="22"/>
      <c r="B63" s="6" t="s">
        <v>274</v>
      </c>
      <c r="C63" s="106">
        <f>C61/C10</f>
        <v>0.15511470607628094</v>
      </c>
      <c r="D63" s="106">
        <f>D61/D10</f>
        <v>0.71883059769116142</v>
      </c>
      <c r="E63" s="106">
        <f>E61/E10</f>
        <v>0.22224633084953704</v>
      </c>
      <c r="F63" s="106">
        <f>F61/F10</f>
        <v>0.1806856838267614</v>
      </c>
      <c r="G63" s="106">
        <f>G61/G10</f>
        <v>-1.2770513040721706E-2</v>
      </c>
      <c r="H63" s="106">
        <v>0.21721913510368765</v>
      </c>
      <c r="I63" s="106">
        <v>0.12137245231607564</v>
      </c>
      <c r="J63" s="106">
        <v>0.15382788497461941</v>
      </c>
      <c r="K63" s="106">
        <v>0.24037449887869364</v>
      </c>
      <c r="L63" s="106">
        <v>0.18455254090136011</v>
      </c>
      <c r="M63" s="106">
        <f>M61/M10</f>
        <v>0.22463894658768485</v>
      </c>
      <c r="N63" s="106">
        <f>N61/N10</f>
        <v>0.22229760366245857</v>
      </c>
      <c r="O63" s="106">
        <f>O61/O10</f>
        <v>0.21051477616201791</v>
      </c>
      <c r="P63" s="106">
        <f>P61/P10</f>
        <v>0.25781914121471378</v>
      </c>
      <c r="Q63" s="106">
        <f>Q61/Q10</f>
        <v>0.22925293392949792</v>
      </c>
      <c r="R63" s="106">
        <v>0.28996985567285533</v>
      </c>
      <c r="S63" s="106">
        <v>0.31463690433192881</v>
      </c>
      <c r="T63" s="106">
        <v>0.38503115360300322</v>
      </c>
      <c r="U63" s="106">
        <v>0.38274145000300724</v>
      </c>
      <c r="V63" s="106">
        <v>0.3532779205597435</v>
      </c>
      <c r="W63" s="106">
        <v>0.3028056619774126</v>
      </c>
    </row>
    <row r="64" spans="1:23" x14ac:dyDescent="0.25">
      <c r="A64" s="22"/>
      <c r="B64" s="86" t="s">
        <v>292</v>
      </c>
      <c r="C64" s="88">
        <v>94.230264427248855</v>
      </c>
      <c r="D64" s="88">
        <v>88.707844059818825</v>
      </c>
      <c r="E64" s="88">
        <v>101.74965056732613</v>
      </c>
      <c r="F64" s="88">
        <v>118.85726126107167</v>
      </c>
      <c r="G64" s="90">
        <v>139.20464377947098</v>
      </c>
      <c r="H64" s="88">
        <v>117.30004643879477</v>
      </c>
      <c r="I64" s="88">
        <v>141.03221118000005</v>
      </c>
      <c r="J64" s="88">
        <v>132.63830317999998</v>
      </c>
      <c r="K64" s="88">
        <v>140.96331182158315</v>
      </c>
      <c r="L64" s="88">
        <v>531.933872620378</v>
      </c>
      <c r="M64" s="88">
        <v>136.04127284791468</v>
      </c>
      <c r="N64" s="88">
        <v>129.88931156406991</v>
      </c>
      <c r="O64" s="88">
        <v>150.04036875371361</v>
      </c>
      <c r="P64" s="88">
        <v>150.50470175033519</v>
      </c>
      <c r="Q64" s="88">
        <f>SUM(M64:P64)</f>
        <v>566.47565491603336</v>
      </c>
      <c r="R64" s="88">
        <v>157.1204696862703</v>
      </c>
      <c r="S64" s="88">
        <v>157.29647489882677</v>
      </c>
      <c r="T64" s="88">
        <v>175.15197850652225</v>
      </c>
      <c r="U64" s="88">
        <v>211.22188625695958</v>
      </c>
      <c r="V64" s="88">
        <v>150.30000000000001</v>
      </c>
      <c r="W64" s="88">
        <v>165.54360959605631</v>
      </c>
    </row>
    <row r="65" spans="1:23" x14ac:dyDescent="0.25">
      <c r="A65" s="22"/>
      <c r="B65" s="6" t="s">
        <v>295</v>
      </c>
      <c r="C65" s="94">
        <f>C64/C14</f>
        <v>0.23353225384696122</v>
      </c>
      <c r="D65" s="94">
        <f>D64/D14</f>
        <v>0.22338918171699526</v>
      </c>
      <c r="E65" s="94">
        <f>E64/E14</f>
        <v>0.2273227224471093</v>
      </c>
      <c r="F65" s="94">
        <f>F64/F14</f>
        <v>0.24341524873217543</v>
      </c>
      <c r="G65" s="94">
        <f>G64/G14</f>
        <v>8.016038385552321E-2</v>
      </c>
      <c r="H65" s="94">
        <v>0.27360882239394058</v>
      </c>
      <c r="I65" s="94">
        <v>0.30153053350980003</v>
      </c>
      <c r="J65" s="94">
        <v>0.27352277085575938</v>
      </c>
      <c r="K65" s="94">
        <v>0.29239537157096163</v>
      </c>
      <c r="L65" s="94">
        <v>0.28545496419339639</v>
      </c>
      <c r="M65" s="94">
        <f>M64/M14</f>
        <v>0.28534761802561875</v>
      </c>
      <c r="N65" s="94">
        <f>N64/N14</f>
        <v>0.28014292356208448</v>
      </c>
      <c r="O65" s="94">
        <f>O64/O14</f>
        <v>0.281661582232824</v>
      </c>
      <c r="P65" s="94">
        <f>P64/P14</f>
        <v>0.33444564713865627</v>
      </c>
      <c r="Q65" s="94">
        <f>Q64/Q14</f>
        <v>0.29456077608979836</v>
      </c>
      <c r="R65" s="94">
        <v>0.41337101776877699</v>
      </c>
      <c r="S65" s="94">
        <v>0.39376316802525341</v>
      </c>
      <c r="T65" s="94">
        <v>0.40555522748760231</v>
      </c>
      <c r="U65" s="94">
        <v>0.43427667993767011</v>
      </c>
      <c r="V65" s="94">
        <v>0.4084239130434783</v>
      </c>
      <c r="W65" s="94">
        <v>0.42566229373103526</v>
      </c>
    </row>
    <row r="66" spans="1:23" x14ac:dyDescent="0.25">
      <c r="A66" s="22"/>
    </row>
    <row r="67" spans="1:23" x14ac:dyDescent="0.25">
      <c r="A67" s="22"/>
      <c r="B67" s="126" t="s">
        <v>299</v>
      </c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</row>
    <row r="68" spans="1:23" x14ac:dyDescent="0.25">
      <c r="A68" s="22"/>
      <c r="B68" s="86" t="s">
        <v>254</v>
      </c>
      <c r="C68" s="88">
        <v>151.49661723407064</v>
      </c>
      <c r="D68" s="88">
        <v>144.73481000000001</v>
      </c>
      <c r="E68" s="88">
        <v>161.19812050254478</v>
      </c>
      <c r="F68" s="88">
        <v>158.4095756497795</v>
      </c>
      <c r="G68" s="90">
        <v>631.41884465565283</v>
      </c>
      <c r="H68" s="88">
        <v>124.7950104030665</v>
      </c>
      <c r="I68" s="88">
        <v>148.64263</v>
      </c>
      <c r="J68" s="88">
        <v>161.29709</v>
      </c>
      <c r="K68" s="88">
        <v>146.85307745344127</v>
      </c>
      <c r="L68" s="88">
        <v>581.58780785650777</v>
      </c>
      <c r="M68" s="88">
        <v>132.11411582765612</v>
      </c>
      <c r="N68" s="88">
        <v>144.75561651085852</v>
      </c>
      <c r="O68" s="88">
        <v>170.92696865007258</v>
      </c>
      <c r="P68" s="88">
        <v>109.72260386396499</v>
      </c>
      <c r="Q68" s="88">
        <f>SUM(M68:P68)</f>
        <v>557.51930485255218</v>
      </c>
      <c r="R68" s="88">
        <v>0</v>
      </c>
      <c r="S68" s="88">
        <v>0</v>
      </c>
      <c r="T68" s="88">
        <v>0</v>
      </c>
      <c r="U68" s="88">
        <v>0</v>
      </c>
      <c r="V68" s="88">
        <v>0</v>
      </c>
      <c r="W68" s="88">
        <v>0</v>
      </c>
    </row>
    <row r="69" spans="1:23" s="30" customFormat="1" x14ac:dyDescent="0.25">
      <c r="A69" s="22"/>
      <c r="B69" s="30" t="s">
        <v>273</v>
      </c>
      <c r="C69" s="94">
        <f>C68/C9</f>
        <v>0.3267125668192164</v>
      </c>
      <c r="D69" s="94">
        <f>D68/D9</f>
        <v>0.34909505547515679</v>
      </c>
      <c r="E69" s="94">
        <f>E68/E9</f>
        <v>0.30874951255036348</v>
      </c>
      <c r="F69" s="94">
        <f>F68/F9</f>
        <v>0.29405898579873674</v>
      </c>
      <c r="G69" s="94">
        <f>G68/G9</f>
        <v>0.32563266992369616</v>
      </c>
      <c r="H69" s="94">
        <v>0.25483971901790176</v>
      </c>
      <c r="I69" s="94">
        <v>0.27469380379206676</v>
      </c>
      <c r="J69" s="94">
        <v>0.27646537864270704</v>
      </c>
      <c r="K69" s="94">
        <v>0.25158999049758651</v>
      </c>
      <c r="L69" s="94">
        <v>0.26460499970270585</v>
      </c>
      <c r="M69" s="94">
        <f>M68/M9</f>
        <v>0.22790083806737296</v>
      </c>
      <c r="N69" s="94">
        <f>N68/N9</f>
        <v>0.24061811357874349</v>
      </c>
      <c r="O69" s="94">
        <f>O68/O9</f>
        <v>0.25617475383238203</v>
      </c>
      <c r="P69" s="94">
        <f>P68/P9</f>
        <v>0.18645308087875739</v>
      </c>
      <c r="Q69" s="94">
        <f>Q68/Q9</f>
        <v>0.22877279641056716</v>
      </c>
      <c r="R69" s="94">
        <v>0</v>
      </c>
      <c r="S69" s="94">
        <v>0</v>
      </c>
      <c r="T69" s="94">
        <v>0</v>
      </c>
      <c r="U69" s="94">
        <v>0</v>
      </c>
      <c r="V69" s="94">
        <v>0</v>
      </c>
      <c r="W69" s="94">
        <v>0</v>
      </c>
    </row>
    <row r="70" spans="1:23" x14ac:dyDescent="0.25">
      <c r="B70" s="86" t="s">
        <v>255</v>
      </c>
      <c r="C70" s="88">
        <v>2.2608876987231197</v>
      </c>
      <c r="D70" s="88">
        <v>5.0057300000000104</v>
      </c>
      <c r="E70" s="88">
        <v>13.644109682539012</v>
      </c>
      <c r="F70" s="88">
        <v>5.4456715857080704</v>
      </c>
      <c r="G70" s="90">
        <v>33.174588654713702</v>
      </c>
      <c r="H70" s="88">
        <v>-3.7934237630080605</v>
      </c>
      <c r="I70" s="88">
        <v>11.383119999999995</v>
      </c>
      <c r="J70" s="88">
        <v>8.384590000000026</v>
      </c>
      <c r="K70" s="88">
        <v>0.18313636224094079</v>
      </c>
      <c r="L70" s="88">
        <v>16.157422599232902</v>
      </c>
      <c r="M70" s="88">
        <v>3.8177884057810298</v>
      </c>
      <c r="N70" s="88">
        <v>18.319023893659118</v>
      </c>
      <c r="O70" s="88">
        <v>18.902705248261597</v>
      </c>
      <c r="P70" s="88">
        <v>9.761782430225459</v>
      </c>
      <c r="Q70" s="88">
        <f>SUM(M70:P70)</f>
        <v>50.801299977927208</v>
      </c>
      <c r="R70" s="88">
        <v>0</v>
      </c>
      <c r="S70" s="88">
        <v>0</v>
      </c>
      <c r="T70" s="88">
        <v>0</v>
      </c>
      <c r="U70" s="88">
        <v>0</v>
      </c>
      <c r="V70" s="88">
        <v>0</v>
      </c>
      <c r="W70" s="88">
        <v>0</v>
      </c>
    </row>
    <row r="71" spans="1:23" s="30" customFormat="1" x14ac:dyDescent="0.25">
      <c r="A71" s="22"/>
      <c r="B71" s="92" t="s">
        <v>256</v>
      </c>
      <c r="C71" s="93">
        <f t="shared" ref="C71:M71" si="5">IFERROR(C70/C68,"N/A")</f>
        <v>1.492368436999437E-2</v>
      </c>
      <c r="D71" s="93">
        <f t="shared" si="5"/>
        <v>3.4585529217193912E-2</v>
      </c>
      <c r="E71" s="93">
        <f t="shared" si="5"/>
        <v>8.4641865798451524E-2</v>
      </c>
      <c r="F71" s="93">
        <f t="shared" si="5"/>
        <v>3.4377161629090262E-2</v>
      </c>
      <c r="G71" s="93">
        <f t="shared" si="5"/>
        <v>5.253975065125846E-2</v>
      </c>
      <c r="H71" s="93">
        <v>-3.0397239046304429E-2</v>
      </c>
      <c r="I71" s="93">
        <v>7.6580453400212273E-2</v>
      </c>
      <c r="J71" s="93">
        <v>5.1982276927624832E-2</v>
      </c>
      <c r="K71" s="93">
        <v>1.2470720084092406E-3</v>
      </c>
      <c r="L71" s="93">
        <v>2.7781570350971563E-2</v>
      </c>
      <c r="M71" s="93">
        <f t="shared" si="5"/>
        <v>2.8897657013133737E-2</v>
      </c>
      <c r="N71" s="93">
        <f>IFERROR(N70/N68,"N/A")</f>
        <v>0.12655138595112789</v>
      </c>
      <c r="O71" s="93">
        <f>IFERROR(O70/O68,"N/A")</f>
        <v>0.11058936689481605</v>
      </c>
      <c r="P71" s="93">
        <f>IFERROR(P70/P68,"N/A")</f>
        <v>8.8967834215164993E-2</v>
      </c>
      <c r="Q71" s="93">
        <f>IFERROR(Q70/Q68,"N/A")</f>
        <v>9.1120252762122184E-2</v>
      </c>
      <c r="R71" s="93" t="s">
        <v>316</v>
      </c>
      <c r="S71" s="93" t="s">
        <v>316</v>
      </c>
      <c r="T71" s="93" t="s">
        <v>316</v>
      </c>
      <c r="U71" s="93" t="s">
        <v>316</v>
      </c>
      <c r="V71" s="93" t="s">
        <v>316</v>
      </c>
      <c r="W71" s="93" t="s">
        <v>316</v>
      </c>
    </row>
    <row r="72" spans="1:23" s="30" customFormat="1" x14ac:dyDescent="0.25">
      <c r="A72" s="22"/>
      <c r="B72" s="6" t="s">
        <v>274</v>
      </c>
      <c r="C72" s="106">
        <f>C70/C10</f>
        <v>3.7556274065168101E-2</v>
      </c>
      <c r="D72" s="106">
        <f>D70/D10</f>
        <v>0.2860417142857149</v>
      </c>
      <c r="E72" s="106">
        <f>E70/E10</f>
        <v>0.18314241184616123</v>
      </c>
      <c r="F72" s="106">
        <f>F70/F10</f>
        <v>0.10802786469012395</v>
      </c>
      <c r="G72" s="106">
        <f>G70/G10</f>
        <v>0.16384459282419742</v>
      </c>
      <c r="H72" s="106">
        <v>-6.2201974616526309E-2</v>
      </c>
      <c r="I72" s="106">
        <v>0.15508337874659392</v>
      </c>
      <c r="J72" s="106">
        <v>8.5122741116751527E-2</v>
      </c>
      <c r="K72" s="106">
        <v>1.8024931063136656E-3</v>
      </c>
      <c r="L72" s="106">
        <v>4.8305042981482554E-2</v>
      </c>
      <c r="M72" s="106">
        <f>M70/M10</f>
        <v>3.7086176037803419E-2</v>
      </c>
      <c r="N72" s="106">
        <f>N70/N10</f>
        <v>0.13279921777100326</v>
      </c>
      <c r="O72" s="106">
        <f>O70/O10</f>
        <v>0.1405085042709566</v>
      </c>
      <c r="P72" s="106">
        <f>P70/P10</f>
        <v>7.0502260263945446E-2</v>
      </c>
      <c r="Q72" s="106">
        <f>Q70/Q10</f>
        <v>9.8858251403028605E-2</v>
      </c>
      <c r="R72" s="106">
        <v>0</v>
      </c>
      <c r="S72" s="106">
        <v>0</v>
      </c>
      <c r="T72" s="106">
        <v>0</v>
      </c>
      <c r="U72" s="106">
        <v>0</v>
      </c>
      <c r="V72" s="106">
        <v>0</v>
      </c>
      <c r="W72" s="106">
        <v>0</v>
      </c>
    </row>
    <row r="73" spans="1:23" x14ac:dyDescent="0.25">
      <c r="A73" s="22"/>
      <c r="B73" s="86" t="s">
        <v>292</v>
      </c>
      <c r="C73" s="88">
        <v>149.23572953534753</v>
      </c>
      <c r="D73" s="88">
        <v>139.72907999999998</v>
      </c>
      <c r="E73" s="88">
        <v>147.55401082000577</v>
      </c>
      <c r="F73" s="88">
        <v>152.96390406407141</v>
      </c>
      <c r="G73" s="90">
        <v>598.24425600093923</v>
      </c>
      <c r="H73" s="88">
        <v>128.58843416607456</v>
      </c>
      <c r="I73" s="88">
        <v>137.25951000000001</v>
      </c>
      <c r="J73" s="88">
        <v>152.91249999999997</v>
      </c>
      <c r="K73" s="88">
        <v>146.66994109120034</v>
      </c>
      <c r="L73" s="88">
        <v>565.43038525727491</v>
      </c>
      <c r="M73" s="88">
        <v>128.29632742187508</v>
      </c>
      <c r="N73" s="88">
        <v>126.43659261719941</v>
      </c>
      <c r="O73" s="88">
        <v>152.02426340181097</v>
      </c>
      <c r="P73" s="88">
        <v>99.96082143373954</v>
      </c>
      <c r="Q73" s="88">
        <f>SUM(M73:P73)</f>
        <v>506.71800487462497</v>
      </c>
      <c r="R73" s="88">
        <v>0</v>
      </c>
      <c r="S73" s="88">
        <v>0</v>
      </c>
      <c r="T73" s="88">
        <v>0</v>
      </c>
      <c r="U73" s="88">
        <v>0</v>
      </c>
      <c r="V73" s="88">
        <v>0</v>
      </c>
      <c r="W73" s="88">
        <v>0</v>
      </c>
    </row>
    <row r="74" spans="1:23" s="30" customFormat="1" x14ac:dyDescent="0.25">
      <c r="A74" s="22"/>
      <c r="B74" s="6" t="s">
        <v>295</v>
      </c>
      <c r="C74" s="94">
        <f>C73/C14</f>
        <v>0.36985310913345115</v>
      </c>
      <c r="D74" s="94">
        <f>D73/D14</f>
        <v>0.35187378494082089</v>
      </c>
      <c r="E74" s="94">
        <f>E73/E14</f>
        <v>0.32965596697945881</v>
      </c>
      <c r="F74" s="94">
        <f>F73/F14</f>
        <v>0.31326438418445557</v>
      </c>
      <c r="G74" s="94">
        <f>G73/G14</f>
        <v>0.34449633215087727</v>
      </c>
      <c r="H74" s="94">
        <v>0.29993960883910037</v>
      </c>
      <c r="I74" s="94">
        <v>0.29346440031894649</v>
      </c>
      <c r="J74" s="94">
        <v>0.3153316176076349</v>
      </c>
      <c r="K74" s="94">
        <v>0.30423243728788646</v>
      </c>
      <c r="L74" s="94">
        <v>0.30343040495310325</v>
      </c>
      <c r="M74" s="94">
        <f>M73/M14</f>
        <v>0.26910253531803885</v>
      </c>
      <c r="N74" s="94">
        <f>N73/N14</f>
        <v>0.2726961616355853</v>
      </c>
      <c r="O74" s="94">
        <f>O73/O14</f>
        <v>0.28538582598274154</v>
      </c>
      <c r="P74" s="94">
        <f>P73/P14</f>
        <v>0.22212901805803037</v>
      </c>
      <c r="Q74" s="94">
        <f>Q73/Q14</f>
        <v>0.26348749055538478</v>
      </c>
      <c r="R74" s="94">
        <v>0</v>
      </c>
      <c r="S74" s="94">
        <v>0</v>
      </c>
      <c r="T74" s="94">
        <v>0</v>
      </c>
      <c r="U74" s="94">
        <v>0</v>
      </c>
      <c r="V74" s="94">
        <v>0</v>
      </c>
      <c r="W74" s="94">
        <v>0</v>
      </c>
    </row>
    <row r="75" spans="1:23" s="30" customFormat="1" x14ac:dyDescent="0.25">
      <c r="A75" s="22"/>
      <c r="C75"/>
      <c r="D75"/>
      <c r="E75"/>
      <c r="F75"/>
      <c r="G75"/>
      <c r="H75"/>
      <c r="I75"/>
      <c r="J75"/>
    </row>
    <row r="76" spans="1:23" s="30" customFormat="1" x14ac:dyDescent="0.25">
      <c r="A76" s="22"/>
      <c r="B76" s="143" t="s">
        <v>304</v>
      </c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</row>
    <row r="77" spans="1:23" s="30" customFormat="1" x14ac:dyDescent="0.25">
      <c r="A77" s="22"/>
      <c r="B77" s="86" t="s">
        <v>254</v>
      </c>
      <c r="C77" s="88">
        <v>71.937695482297272</v>
      </c>
      <c r="D77" s="88">
        <v>121.58062592</v>
      </c>
      <c r="E77" s="88">
        <v>136.48821989163019</v>
      </c>
      <c r="F77" s="88">
        <v>124.07142287340344</v>
      </c>
      <c r="G77" s="90">
        <v>454.07796416733095</v>
      </c>
      <c r="H77" s="88">
        <v>130.47737883289523</v>
      </c>
      <c r="I77" s="88">
        <v>126.88224000000002</v>
      </c>
      <c r="J77" s="88">
        <v>119.53218</v>
      </c>
      <c r="K77" s="88">
        <v>134.92192427369335</v>
      </c>
      <c r="L77" s="88">
        <v>511.81372310658855</v>
      </c>
      <c r="M77" s="88">
        <v>156.07817409715179</v>
      </c>
      <c r="N77" s="88">
        <v>148.859195869297</v>
      </c>
      <c r="O77" s="88">
        <v>131.77135609485848</v>
      </c>
      <c r="P77" s="88">
        <v>121.15228019711036</v>
      </c>
      <c r="Q77" s="88">
        <f>SUM(M77:P77)</f>
        <v>557.86100625841766</v>
      </c>
      <c r="R77" s="88">
        <v>155.78134999999997</v>
      </c>
      <c r="S77" s="88">
        <v>164.85004696371959</v>
      </c>
      <c r="T77" s="88">
        <v>140.22394253608681</v>
      </c>
      <c r="U77" s="88">
        <v>155.71572</v>
      </c>
      <c r="V77" s="88">
        <v>98.9</v>
      </c>
      <c r="W77" s="88">
        <v>111.03715500282193</v>
      </c>
    </row>
    <row r="78" spans="1:23" s="30" customFormat="1" x14ac:dyDescent="0.25">
      <c r="A78" s="22"/>
      <c r="B78" s="30" t="s">
        <v>273</v>
      </c>
      <c r="C78" s="94">
        <f>C77/C9</f>
        <v>0.1551384418423491</v>
      </c>
      <c r="D78" s="94">
        <f>D77/D9</f>
        <v>0.2932480123492523</v>
      </c>
      <c r="E78" s="94">
        <f>E77/E9</f>
        <v>0.26142160484893734</v>
      </c>
      <c r="F78" s="94">
        <f>F77/F9</f>
        <v>0.23031635951996179</v>
      </c>
      <c r="G78" s="94">
        <f>G77/G9</f>
        <v>0.23417517718522002</v>
      </c>
      <c r="H78" s="94">
        <v>0.26644349363466457</v>
      </c>
      <c r="I78" s="94">
        <v>0.23448027755737322</v>
      </c>
      <c r="J78" s="94">
        <v>0.20487976195781468</v>
      </c>
      <c r="K78" s="94">
        <v>0.23114943339676775</v>
      </c>
      <c r="L78" s="94">
        <v>0.2328598849924193</v>
      </c>
      <c r="M78" s="94">
        <f>M77/M9</f>
        <v>0.269239562009922</v>
      </c>
      <c r="N78" s="94">
        <f>N77/N9</f>
        <v>0.24743923422295747</v>
      </c>
      <c r="O78" s="94">
        <f>O77/O9</f>
        <v>0.19749074693336982</v>
      </c>
      <c r="P78" s="94">
        <f>P77/P9</f>
        <v>0.20587568197200273</v>
      </c>
      <c r="Q78" s="94">
        <f>Q77/Q9</f>
        <v>0.22891301036455383</v>
      </c>
      <c r="R78" s="94">
        <v>0.29432747190045322</v>
      </c>
      <c r="S78" s="94">
        <v>0.30850228492562937</v>
      </c>
      <c r="T78" s="94">
        <v>0.25111332828820238</v>
      </c>
      <c r="U78" s="94">
        <v>0.24581543445109919</v>
      </c>
      <c r="V78" s="94">
        <v>0.20421226512492258</v>
      </c>
      <c r="W78" s="94">
        <v>0.2142958425694749</v>
      </c>
    </row>
    <row r="79" spans="1:23" s="30" customFormat="1" x14ac:dyDescent="0.25">
      <c r="A79" s="22"/>
      <c r="B79" s="86" t="s">
        <v>255</v>
      </c>
      <c r="C79" s="88">
        <v>8.7661951299135836</v>
      </c>
      <c r="D79" s="88">
        <v>20.773584389524025</v>
      </c>
      <c r="E79" s="88">
        <v>29.237545741720503</v>
      </c>
      <c r="F79" s="88">
        <v>30.011606035818549</v>
      </c>
      <c r="G79" s="90">
        <v>88.788931296976685</v>
      </c>
      <c r="H79" s="88">
        <v>29.753657070851112</v>
      </c>
      <c r="I79" s="88">
        <v>37.443460000000037</v>
      </c>
      <c r="J79" s="88">
        <v>31.360859999999985</v>
      </c>
      <c r="K79" s="88">
        <v>33.792492332043707</v>
      </c>
      <c r="L79" s="88">
        <v>132.35046940289484</v>
      </c>
      <c r="M79" s="88">
        <v>38.577830239460411</v>
      </c>
      <c r="N79" s="88">
        <v>41.966506701140041</v>
      </c>
      <c r="O79" s="88">
        <v>34.164273668538897</v>
      </c>
      <c r="P79" s="88">
        <v>26.658112549409516</v>
      </c>
      <c r="Q79" s="88">
        <f>SUM(M79:P79)</f>
        <v>141.36672315854887</v>
      </c>
      <c r="R79" s="88">
        <v>42.80487999999999</v>
      </c>
      <c r="S79" s="88">
        <v>37.93496772636162</v>
      </c>
      <c r="T79" s="88">
        <v>19.207251691808327</v>
      </c>
      <c r="U79" s="88">
        <v>23.958690000000001</v>
      </c>
      <c r="V79" s="88">
        <v>14.4</v>
      </c>
      <c r="W79" s="88">
        <v>20.579997785822766</v>
      </c>
    </row>
    <row r="80" spans="1:23" x14ac:dyDescent="0.25">
      <c r="B80" s="92" t="s">
        <v>256</v>
      </c>
      <c r="C80" s="93">
        <f t="shared" ref="C80:M80" si="6">IFERROR(C79/C77,"N/A")</f>
        <v>0.12185815894075736</v>
      </c>
      <c r="D80" s="93">
        <f t="shared" si="6"/>
        <v>0.17086262085205117</v>
      </c>
      <c r="E80" s="93">
        <f t="shared" si="6"/>
        <v>0.21421296112539764</v>
      </c>
      <c r="F80" s="93">
        <f t="shared" si="6"/>
        <v>0.2418897546330307</v>
      </c>
      <c r="G80" s="93">
        <f t="shared" si="6"/>
        <v>0.1955367542659642</v>
      </c>
      <c r="H80" s="93">
        <v>0.22803690062594809</v>
      </c>
      <c r="I80" s="93">
        <v>0.29510402716723816</v>
      </c>
      <c r="J80" s="93">
        <v>0.2623633234163385</v>
      </c>
      <c r="K80" s="93">
        <v>0.25045960850287441</v>
      </c>
      <c r="L80" s="93">
        <v>0.25859109169554639</v>
      </c>
      <c r="M80" s="93">
        <f t="shared" si="6"/>
        <v>0.24716992278143524</v>
      </c>
      <c r="N80" s="93">
        <f>IFERROR(N79/N77,"N/A")</f>
        <v>0.28192082092118742</v>
      </c>
      <c r="O80" s="93">
        <f>IFERROR(O79/O77,"N/A")</f>
        <v>0.25926934867350837</v>
      </c>
      <c r="P80" s="93">
        <f>IFERROR(P79/P77,"N/A")</f>
        <v>0.22003805876404253</v>
      </c>
      <c r="Q80" s="93">
        <f>IFERROR(Q79/Q77,"N/A")</f>
        <v>0.25340850421989097</v>
      </c>
      <c r="R80" s="93">
        <v>0.2747753822906272</v>
      </c>
      <c r="S80" s="93">
        <v>0.23011802802040085</v>
      </c>
      <c r="T80" s="93">
        <v>0.13697555028354247</v>
      </c>
      <c r="U80" s="93">
        <v>0.15386172956718822</v>
      </c>
      <c r="V80" s="93">
        <v>0.14499999999999999</v>
      </c>
      <c r="W80" s="93">
        <v>0.18534334552519596</v>
      </c>
    </row>
    <row r="81" spans="1:23" s="30" customFormat="1" x14ac:dyDescent="0.25">
      <c r="A81" s="22"/>
      <c r="B81" s="6" t="s">
        <v>274</v>
      </c>
      <c r="C81" s="106">
        <f>C79/C10</f>
        <v>0.14561785930089008</v>
      </c>
      <c r="D81" s="106">
        <f>D79/D10</f>
        <v>1.1870619651156586</v>
      </c>
      <c r="E81" s="106">
        <f>E79/E10</f>
        <v>0.39245027841235575</v>
      </c>
      <c r="F81" s="106">
        <f>F79/F10</f>
        <v>0.59535167792333221</v>
      </c>
      <c r="G81" s="106">
        <f>G79/G10</f>
        <v>0.43851595108118241</v>
      </c>
      <c r="H81" s="106">
        <v>0.48788016775703863</v>
      </c>
      <c r="I81" s="106">
        <v>0.51012888283378799</v>
      </c>
      <c r="J81" s="106">
        <v>0.31838436548223337</v>
      </c>
      <c r="K81" s="106">
        <v>0.33259770876921663</v>
      </c>
      <c r="L81" s="106">
        <v>0.39568161777422062</v>
      </c>
      <c r="M81" s="106">
        <f>M79/M10</f>
        <v>0.37474685638698629</v>
      </c>
      <c r="N81" s="106">
        <f>N79/N10</f>
        <v>0.30422577615732155</v>
      </c>
      <c r="O81" s="106">
        <f>O79/O10</f>
        <v>0.25395153390076258</v>
      </c>
      <c r="P81" s="106">
        <f>P79/P10</f>
        <v>0.19253217355927199</v>
      </c>
      <c r="Q81" s="106">
        <f>Q79/Q10</f>
        <v>0.27509664248950955</v>
      </c>
      <c r="R81" s="106">
        <v>0.28692773775950847</v>
      </c>
      <c r="S81" s="106">
        <v>0.2812367321429724</v>
      </c>
      <c r="T81" s="106">
        <v>0.15180350924549235</v>
      </c>
      <c r="U81" s="106">
        <v>0.16288489649396792</v>
      </c>
      <c r="V81" s="106">
        <v>0.12377620574355976</v>
      </c>
      <c r="W81" s="106">
        <v>0.15923790057105017</v>
      </c>
    </row>
    <row r="82" spans="1:23" s="30" customFormat="1" x14ac:dyDescent="0.25">
      <c r="A82" s="22"/>
      <c r="B82" s="86" t="s">
        <v>292</v>
      </c>
      <c r="C82" s="88">
        <v>63.171500352383696</v>
      </c>
      <c r="D82" s="88">
        <v>100.80704153047598</v>
      </c>
      <c r="E82" s="88">
        <v>107.2506741499097</v>
      </c>
      <c r="F82" s="88">
        <v>94.05981683758489</v>
      </c>
      <c r="G82" s="90">
        <v>365.28903287035422</v>
      </c>
      <c r="H82" s="88">
        <v>100.72372176204411</v>
      </c>
      <c r="I82" s="88">
        <v>89.43877999999998</v>
      </c>
      <c r="J82" s="88">
        <v>88.171320000000009</v>
      </c>
      <c r="K82" s="88">
        <v>101.12943194164964</v>
      </c>
      <c r="L82" s="88">
        <v>379.46325370369368</v>
      </c>
      <c r="M82" s="88">
        <v>117.50034385769138</v>
      </c>
      <c r="N82" s="88">
        <v>106.89268916815695</v>
      </c>
      <c r="O82" s="88">
        <v>97.607082426319565</v>
      </c>
      <c r="P82" s="88">
        <v>94.494167647700849</v>
      </c>
      <c r="Q82" s="88">
        <f>SUM(M82:P82)</f>
        <v>416.49428309986877</v>
      </c>
      <c r="R82" s="88">
        <v>112.97646999999998</v>
      </c>
      <c r="S82" s="88">
        <v>126.91507923735797</v>
      </c>
      <c r="T82" s="88">
        <v>121.01669084427849</v>
      </c>
      <c r="U82" s="88">
        <v>131.75703000000001</v>
      </c>
      <c r="V82" s="88">
        <v>84.5</v>
      </c>
      <c r="W82" s="88">
        <v>90.457157216999164</v>
      </c>
    </row>
    <row r="83" spans="1:23" x14ac:dyDescent="0.25">
      <c r="B83" s="6" t="s">
        <v>295</v>
      </c>
      <c r="C83" s="94">
        <f>C82/C14</f>
        <v>0.15655886084853457</v>
      </c>
      <c r="D83" s="94">
        <f>D82/D14</f>
        <v>0.25385807486899015</v>
      </c>
      <c r="E83" s="94">
        <f>E82/E14</f>
        <v>0.23961276619729602</v>
      </c>
      <c r="F83" s="94">
        <f>F82/F14</f>
        <v>0.19263100519313742</v>
      </c>
      <c r="G83" s="94">
        <f>G82/G14</f>
        <v>0.21035008817298315</v>
      </c>
      <c r="H83" s="94">
        <v>0.23494363161081605</v>
      </c>
      <c r="I83" s="94">
        <v>0.19122243652158002</v>
      </c>
      <c r="J83" s="94">
        <v>0.18182427834349985</v>
      </c>
      <c r="K83" s="94">
        <v>0.20976931832280804</v>
      </c>
      <c r="L83" s="94">
        <v>0.20363371289950058</v>
      </c>
      <c r="M83" s="94">
        <f>M82/M14</f>
        <v>0.24645787660680005</v>
      </c>
      <c r="N83" s="94">
        <f>N82/N14</f>
        <v>0.23054422331132074</v>
      </c>
      <c r="O83" s="94">
        <f>O82/O14</f>
        <v>0.18323178956227665</v>
      </c>
      <c r="P83" s="94">
        <f>P82/P14</f>
        <v>0.2099812343549832</v>
      </c>
      <c r="Q83" s="94">
        <f>Q82/Q14</f>
        <v>0.2165722007683567</v>
      </c>
      <c r="R83" s="94">
        <v>0.2972317896011521</v>
      </c>
      <c r="S83" s="94">
        <v>0.31770885967293144</v>
      </c>
      <c r="T83" s="94">
        <v>0.2802078058360078</v>
      </c>
      <c r="U83" s="94">
        <v>0.27089524935516801</v>
      </c>
      <c r="V83" s="94">
        <v>0.2296195652173913</v>
      </c>
      <c r="W83" s="94">
        <v>0.23259249402215526</v>
      </c>
    </row>
    <row r="84" spans="1:23" x14ac:dyDescent="0.25">
      <c r="T84" s="30"/>
      <c r="U84" s="30"/>
      <c r="V84" s="30"/>
      <c r="W84" s="30"/>
    </row>
    <row r="85" spans="1:23" s="30" customFormat="1" x14ac:dyDescent="0.25">
      <c r="A85" s="22"/>
      <c r="C85"/>
      <c r="D85"/>
      <c r="E85"/>
      <c r="F85"/>
      <c r="G85"/>
      <c r="H85"/>
      <c r="I85"/>
    </row>
    <row r="86" spans="1:23" s="30" customFormat="1" x14ac:dyDescent="0.25">
      <c r="A86" s="22"/>
      <c r="C86"/>
      <c r="D86"/>
      <c r="E86"/>
      <c r="F86"/>
      <c r="G86"/>
      <c r="H86"/>
      <c r="I86"/>
    </row>
    <row r="87" spans="1:23" s="30" customFormat="1" x14ac:dyDescent="0.25">
      <c r="A87" s="22"/>
      <c r="C87"/>
      <c r="D87"/>
      <c r="E87"/>
      <c r="F87"/>
      <c r="G87"/>
      <c r="H87"/>
      <c r="I87"/>
    </row>
    <row r="88" spans="1:23" s="30" customFormat="1" x14ac:dyDescent="0.25">
      <c r="A88" s="22"/>
      <c r="C88"/>
      <c r="D88"/>
      <c r="E88"/>
      <c r="F88"/>
      <c r="G88"/>
      <c r="H88"/>
      <c r="I88"/>
      <c r="T88"/>
      <c r="U88"/>
      <c r="V88"/>
      <c r="W88"/>
    </row>
    <row r="89" spans="1:23" s="30" customFormat="1" x14ac:dyDescent="0.25">
      <c r="A89" s="22"/>
      <c r="C89"/>
      <c r="D89"/>
      <c r="E89"/>
      <c r="F89"/>
      <c r="G89"/>
      <c r="H89"/>
      <c r="I89"/>
      <c r="T89"/>
      <c r="U89"/>
      <c r="V89"/>
      <c r="W89"/>
    </row>
    <row r="92" spans="1:23" x14ac:dyDescent="0.25">
      <c r="T92" s="30"/>
      <c r="U92" s="30"/>
      <c r="V92" s="30"/>
      <c r="W92" s="30"/>
    </row>
    <row r="93" spans="1:23" s="30" customFormat="1" x14ac:dyDescent="0.25">
      <c r="A93" s="22"/>
      <c r="C93"/>
      <c r="D93"/>
      <c r="E93"/>
      <c r="F93"/>
      <c r="G93"/>
      <c r="H93"/>
      <c r="I93"/>
    </row>
    <row r="94" spans="1:23" s="30" customFormat="1" x14ac:dyDescent="0.25">
      <c r="A94" s="22"/>
      <c r="C94"/>
      <c r="D94"/>
      <c r="E94"/>
      <c r="F94"/>
      <c r="G94"/>
      <c r="H94"/>
      <c r="I94"/>
    </row>
    <row r="95" spans="1:23" s="30" customFormat="1" x14ac:dyDescent="0.25">
      <c r="A95" s="22"/>
      <c r="C95"/>
      <c r="D95"/>
      <c r="E95"/>
      <c r="F95"/>
      <c r="G95"/>
      <c r="H95"/>
      <c r="I95"/>
    </row>
    <row r="96" spans="1:23" s="30" customFormat="1" x14ac:dyDescent="0.25">
      <c r="A96" s="22"/>
      <c r="C96"/>
      <c r="D96"/>
      <c r="E96"/>
      <c r="F96"/>
      <c r="G96"/>
      <c r="H96"/>
      <c r="I96"/>
    </row>
    <row r="97" spans="1:23" s="30" customFormat="1" x14ac:dyDescent="0.25">
      <c r="A97" s="22"/>
      <c r="C97"/>
      <c r="D97"/>
      <c r="E97"/>
      <c r="F97"/>
      <c r="G97"/>
      <c r="H97"/>
      <c r="I97"/>
      <c r="T97"/>
      <c r="U97"/>
      <c r="V97"/>
      <c r="W97"/>
    </row>
  </sheetData>
  <pageMargins left="0" right="0" top="0" bottom="0" header="0" footer="0"/>
  <pageSetup paperSize="9" scale="42" orientation="landscape" r:id="rId1"/>
  <ignoredErrors>
    <ignoredError sqref="Q11 Q13:Q14 Q49" formula="1"/>
    <ignoredError sqref="Q19 Q53:Q68 Q70" formulaRange="1"/>
    <ignoredError sqref="Q69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Menu</vt:lpstr>
      <vt:lpstr>DRE</vt:lpstr>
      <vt:lpstr>Balanço</vt:lpstr>
      <vt:lpstr>DRE Op Continuada</vt:lpstr>
      <vt:lpstr>Margens E Indicadores</vt:lpstr>
      <vt:lpstr>DFC 10-14</vt:lpstr>
      <vt:lpstr>DFC 15</vt:lpstr>
      <vt:lpstr>DFC 16</vt:lpstr>
      <vt:lpstr>DFC 17-24</vt:lpstr>
      <vt:lpstr>Resultados Valid Visão até 2020</vt:lpstr>
      <vt:lpstr>Resultados Valid Visão 2021</vt:lpstr>
      <vt:lpstr>Resultados Valid Visão 2022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Paulo Vitor Moreira Lima</cp:lastModifiedBy>
  <cp:lastPrinted>2023-11-07T18:34:02Z</cp:lastPrinted>
  <dcterms:created xsi:type="dcterms:W3CDTF">2013-11-04T17:11:51Z</dcterms:created>
  <dcterms:modified xsi:type="dcterms:W3CDTF">2024-08-07T20:54:58Z</dcterms:modified>
</cp:coreProperties>
</file>