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3. FIN - Financeiro\04. Relações com Investidores\Valuation\Guia de Valuation\2026\2T26\"/>
    </mc:Choice>
  </mc:AlternateContent>
  <xr:revisionPtr revIDLastSave="0" documentId="13_ncr:1_{683E9DE9-1ECB-4275-9B83-E67216A9C56C}" xr6:coauthVersionLast="47" xr6:coauthVersionMax="47" xr10:uidLastSave="{00000000-0000-0000-0000-000000000000}"/>
  <bookViews>
    <workbookView xWindow="-108" yWindow="-108" windowWidth="23256" windowHeight="13896" firstSheet="3" activeTab="9" xr2:uid="{73C6D59F-7519-49EF-8FD5-A2C088E7D948}"/>
  </bookViews>
  <sheets>
    <sheet name="IS (US$)" sheetId="15" r:id="rId1"/>
    <sheet name="IS EBITDA (US$)" sheetId="16" r:id="rId2"/>
    <sheet name="BS (US$)" sheetId="17" r:id="rId3"/>
    <sheet name="CF (US$)" sheetId="21" r:id="rId4"/>
    <sheet name="IS (R$)" sheetId="4" r:id="rId5"/>
    <sheet name="IS EBITDA (R$) " sheetId="3" r:id="rId6"/>
    <sheet name="BS (R$)" sheetId="7" r:id="rId7"/>
    <sheet name="CF (R$)" sheetId="20" r:id="rId8"/>
    <sheet name="Operational data" sheetId="12" r:id="rId9"/>
    <sheet name="Monthly Data" sheetId="22" r:id="rId10"/>
    <sheet name="Reserves data" sheetId="13" r:id="rId11"/>
    <sheet name="Fx" sheetId="19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7" hidden="1">[1]Qrreshyp!#REF!</definedName>
    <definedName name="__123Graph_A" localSheetId="3" hidden="1">[1]Qrreshyp!#REF!</definedName>
    <definedName name="__123Graph_A" hidden="1">[1]Qrreshyp!#REF!</definedName>
    <definedName name="__123Graph_ADOLLAR" localSheetId="7" hidden="1">[1]Qrreshyp!#REF!</definedName>
    <definedName name="__123Graph_ADOLLAR" localSheetId="3" hidden="1">[1]Qrreshyp!#REF!</definedName>
    <definedName name="__123Graph_ADOLLAR" hidden="1">[1]Qrreshyp!#REF!</definedName>
    <definedName name="__123Graph_ADOLLAR100" localSheetId="7" hidden="1">[1]Qrreshyp!#REF!</definedName>
    <definedName name="__123Graph_ADOLLAR100" localSheetId="3" hidden="1">[1]Qrreshyp!#REF!</definedName>
    <definedName name="__123Graph_ADOLLAR100" hidden="1">[1]Qrreshyp!#REF!</definedName>
    <definedName name="__123Graph_B" hidden="1">[1]Qrreshyp!#REF!</definedName>
    <definedName name="__123Graph_BDOLLAR100" hidden="1">[1]Qrreshyp!#REF!</definedName>
    <definedName name="__123Graph_BHOBKEN4H" hidden="1">'[2]EDISON-2'!#REF!</definedName>
    <definedName name="__123Graph_BHOBOKEN" hidden="1">'[2]EDISON-2'!#REF!</definedName>
    <definedName name="__123Graph_C" hidden="1">[1]Qrreshyp!#REF!</definedName>
    <definedName name="__123Graph_CDOLLAR100" hidden="1">[1]Qrreshyp!#REF!</definedName>
    <definedName name="__123Graph_D" hidden="1">[3]Assum!$E$12:$E$19</definedName>
    <definedName name="__123Graph_E" hidden="1">[3]Assum!$F$12:$F$19</definedName>
    <definedName name="__123Graph_LBL_A" hidden="1">[1]Qrreshyp!#REF!</definedName>
    <definedName name="__123Graph_LBL_ADOLLAR" hidden="1">[1]Qrreshyp!#REF!</definedName>
    <definedName name="__123Graph_LBL_ADOLLAR100" hidden="1">[1]Qrreshyp!#REF!</definedName>
    <definedName name="__123Graph_LBL_B" hidden="1">[1]Qrreshyp!#REF!</definedName>
    <definedName name="__123Graph_LBL_BDOLLAR100" hidden="1">[1]Qrreshyp!#REF!</definedName>
    <definedName name="__123Graph_LBL_C" hidden="1">[1]Qrreshyp!#REF!</definedName>
    <definedName name="__123Graph_LBL_CDOLLAR100" hidden="1">[1]Qrreshyp!#REF!</definedName>
    <definedName name="__123Graph_X" hidden="1">[1]Qrreshyp!#REF!</definedName>
    <definedName name="__123Graph_XDOLLAR" hidden="1">[1]Qrreshyp!#REF!</definedName>
    <definedName name="__123Graph_XDOLLAR100" hidden="1">[1]Qrreshyp!#REF!</definedName>
    <definedName name="__KEY12" hidden="1">#REF!</definedName>
    <definedName name="_10__123Graph_AGraphique_3" hidden="1">[1]Qrreshyp!#REF!</definedName>
    <definedName name="_12__123Graph_AGraphique_4" hidden="1">[1]Qrreshyp!#REF!</definedName>
    <definedName name="_14__123Graph_BGraphique_4" hidden="1">[1]Qrreshyp!#REF!</definedName>
    <definedName name="_16__123Graph_CGraphique_4" hidden="1">[1]Qrreshyp!#REF!</definedName>
    <definedName name="_18__123Graph_LBL_ADOLLAR" hidden="1">[1]Qrreshyp!#REF!</definedName>
    <definedName name="_2__123Graph_ADOLLAR" hidden="1">[1]Qrreshyp!#REF!</definedName>
    <definedName name="_20__123Graph_BCHART_5" hidden="1">[4]MEX95IB!#REF!</definedName>
    <definedName name="_20__123Graph_LBL_ADOLLAR" hidden="1">[1]Qrreshyp!#REF!</definedName>
    <definedName name="_22__123Graph_XDOLLAR" hidden="1">[1]Qrreshyp!#REF!</definedName>
    <definedName name="_24__123Graph_XDOLLAR" hidden="1">[1]Qrreshyp!#REF!</definedName>
    <definedName name="_26__123Graph_XGraphique_1" hidden="1">[1]Qrreshyp!#REF!</definedName>
    <definedName name="_28__123Graph_XGraphique_2" hidden="1">[1]Qrreshyp!#REF!</definedName>
    <definedName name="_30__123Graph_XGraphique_3" hidden="1">[1]Qrreshyp!#REF!</definedName>
    <definedName name="_32__123Graph_XGraphique_4" hidden="1">[1]Qrreshyp!#REF!</definedName>
    <definedName name="_3D_Reality">[5]Fornecedor!#REF!</definedName>
    <definedName name="_4__123Graph_ADOLLAR" hidden="1">[1]Qrreshyp!#REF!</definedName>
    <definedName name="_6__123Graph_AGraphique_1" hidden="1">[1]Qrreshyp!#REF!</definedName>
    <definedName name="_8__123Graph_AGraphique_2" hidden="1">[1]Qrreshyp!#REF!</definedName>
    <definedName name="_DRE0700" localSheetId="7" hidden="1">{"'PXR_6500'!$A$1:$I$124"}</definedName>
    <definedName name="_DRE0700" localSheetId="3" hidden="1">{"'PXR_6500'!$A$1:$I$124"}</definedName>
    <definedName name="_DRE0700" hidden="1">{"'PXR_6500'!$A$1:$I$124"}</definedName>
    <definedName name="_Fill" hidden="1">#REF!</definedName>
    <definedName name="_xlnm._FilterDatabase" hidden="1">#REF!</definedName>
    <definedName name="_j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[6]merger!#REF!</definedName>
    <definedName name="_Table1_Out" hidden="1">[6]merger!#REF!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_Cost">'[7]Unit Price'!$B$7</definedName>
    <definedName name="aa" localSheetId="7" hidden="1">{"'REL CUSTODIF'!$B$1:$H$72"}</definedName>
    <definedName name="aa" localSheetId="3" hidden="1">{"'REL CUSTODIF'!$B$1:$H$72"}</definedName>
    <definedName name="aa" hidden="1">{"'REL CUSTODIF'!$B$1:$H$72"}</definedName>
    <definedName name="aaa" localSheetId="7" hidden="1">{"'Edit'!$A$1:$V$2277"}</definedName>
    <definedName name="aaa" localSheetId="3" hidden="1">{"'Edit'!$A$1:$V$2277"}</definedName>
    <definedName name="aaa" hidden="1">{"'Edit'!$A$1:$V$2277"}</definedName>
    <definedName name="AAA_DOCTOPS" hidden="1">"AAA_SET"</definedName>
    <definedName name="AAA_duser" hidden="1">"OFF"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B_Addin5" hidden="1">"AAB_Description for addin 5,Description for addin 5,Description for addin 5,Description for addin 5,Description for addin 5,Description for addin 5"</definedName>
    <definedName name="ABN" localSheetId="7" hidden="1">{"'PXR_6500'!$A$1:$I$124"}</definedName>
    <definedName name="ABN" localSheetId="3" hidden="1">{"'PXR_6500'!$A$1:$I$124"}</definedName>
    <definedName name="ABN" hidden="1">{"'PXR_6500'!$A$1:$I$124"}</definedName>
    <definedName name="abx" localSheetId="7" hidden="1">{"'Edit'!$A$1:$V$2277"}</definedName>
    <definedName name="abx" localSheetId="3" hidden="1">{"'Edit'!$A$1:$V$2277"}</definedName>
    <definedName name="abx" hidden="1">{"'Edit'!$A$1:$V$2277"}</definedName>
    <definedName name="ac" localSheetId="7" hidden="1">{"'Edit'!$A$1:$V$2277"}</definedName>
    <definedName name="ac" localSheetId="3" hidden="1">{"'Edit'!$A$1:$V$2277"}</definedName>
    <definedName name="ac" hidden="1">{"'Edit'!$A$1:$V$2277"}</definedName>
    <definedName name="AECOM_DO_BRASIL">[5]Fornecedor!#REF!</definedName>
    <definedName name="AEITEC_TECNOLOGIA_E_INOVAÇÃO__SIX_AUTOMAÇÃO">[5]Fornecedor!#REF!</definedName>
    <definedName name="ALARA_RADIOPROTEÇÃO">[5]Fornecedor!#REF!</definedName>
    <definedName name="ALPINA_BRIGGS">[5]Fornecedor!#REF!</definedName>
    <definedName name="AMBIENTAL_ENGENHARIA_E_CONSULTORIA">[5]Fornecedor!#REF!</definedName>
    <definedName name="ano">[8]Plan1!#REF!</definedName>
    <definedName name="anscount" hidden="1">1</definedName>
    <definedName name="ARCTEST">[5]Fornecedor!#REF!</definedName>
    <definedName name="are" localSheetId="7" hidden="1">{#N/A,#N/A,FALSE,"Sheet1"}</definedName>
    <definedName name="are" localSheetId="3" hidden="1">{#N/A,#N/A,FALSE,"Sheet1"}</definedName>
    <definedName name="are" hidden="1">{#N/A,#N/A,FALSE,"Sheet1"}</definedName>
    <definedName name="_xlnm.Print_Area" localSheetId="10">'Reserves data'!$B$17:$K$134</definedName>
    <definedName name="ARYCOM_COMUNICAÇÃO" localSheetId="7">[5]Fornecedor!#REF!</definedName>
    <definedName name="ARYCOM_COMUNICAÇÃO" localSheetId="3">[5]Fornecedor!#REF!</definedName>
    <definedName name="ARYCOM_COMUNICAÇÃO">[5]Fornecedor!#REF!</definedName>
    <definedName name="as" localSheetId="7" hidden="1">{#N/A,#N/A,FALSE,"Sheet1"}</definedName>
    <definedName name="as" localSheetId="3" hidden="1">{#N/A,#N/A,FALSE,"Sheet1"}</definedName>
    <definedName name="as" hidden="1">{#N/A,#N/A,FALSE,"Sheet1"}</definedName>
    <definedName name="AS2DocOpenMode" hidden="1">"AS2DocumentEdit"</definedName>
    <definedName name="ASTROPARGO">[5]Fornecedor!#REF!</definedName>
    <definedName name="Atividades">[8]Plan1!$A$2:$A$18</definedName>
    <definedName name="b" localSheetId="7" hidden="1">{"'REL CUSTODIF'!$B$1:$H$72"}</definedName>
    <definedName name="b" localSheetId="3" hidden="1">{"'REL CUSTODIF'!$B$1:$H$72"}</definedName>
    <definedName name="b" hidden="1">{"'REL CUSTODIF'!$B$1:$H$72"}</definedName>
    <definedName name="B_Cost">'[7]Unit Price'!$B$8</definedName>
    <definedName name="BELOV_ENGENHARIA">[5]Fornecedor!#REF!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ED_Real_WI">OFFSET([9]Datos_para_grafico_Consolidado!$K$3,0,0,[9]Select_PB!$B$1-[9]Datos_para_grafico_Consolidado!$B$3)</definedName>
    <definedName name="BRASBUNKER_PARTICIPAÇÕES___HIDROCLEAN">[5]Fornecedor!#REF!</definedName>
    <definedName name="BRASCO_LOGÍSTICA_OFFSHORE">[5]Fornecedor!#REF!</definedName>
    <definedName name="BRL">[5]Fornecedor!#REF!</definedName>
    <definedName name="BRUNEL">[5]Fornecedor!#REF!</definedName>
    <definedName name="BW">[5]Fornecedor!#REF!</definedName>
    <definedName name="c_c" localSheetId="7" hidden="1">{"'REL CUSTODIF'!$B$1:$H$72"}</definedName>
    <definedName name="c_c" localSheetId="3" hidden="1">{"'REL CUSTODIF'!$B$1:$H$72"}</definedName>
    <definedName name="c_c" hidden="1">{"'REL CUSTODIF'!$B$1:$H$72"}</definedName>
    <definedName name="C_Cost">'[7]Unit Price'!$B$5</definedName>
    <definedName name="CAMORIM_SERVIÇOS_MARÍTIMOS">[5]Fornecedor!#REF!</definedName>
    <definedName name="CC">'[10]Cronograma Perfuração'!#REF!</definedName>
    <definedName name="CC_RIG_DAYS">'[8]Cronograma Perfuração'!#REF!</definedName>
    <definedName name="Coa_Cost">'[7]Unit Price'!$B$9</definedName>
    <definedName name="compresults" localSheetId="7" hidden="1">{"FCB_ALL",#N/A,FALSE,"FCB"}</definedName>
    <definedName name="compresults" localSheetId="3" hidden="1">{"FCB_ALL",#N/A,FALSE,"FCB"}</definedName>
    <definedName name="compresults" hidden="1">{"FCB_ALL",#N/A,FALSE,"FCB"}</definedName>
    <definedName name="Consorcio_Millenium">[5]Fornecedor!#REF!</definedName>
    <definedName name="CONT02092000.4" localSheetId="7" hidden="1">{#N/A,#N/A,FALSE,"1321";#N/A,#N/A,FALSE,"1324";#N/A,#N/A,FALSE,"1333";#N/A,#N/A,FALSE,"1371"}</definedName>
    <definedName name="CONT02092000.4" localSheetId="3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OPERATIVA_DOS_PROFISSIONAIS_DE_ENGENHARIA_EM_INTEGRIDADE_DE_EQUIPAMENTOS__ÍNTEGRA">[5]Fornecedor!#REF!</definedName>
    <definedName name="coucou" localSheetId="7" hidden="1">{#N/A,#N/A,TRUE,"Cover sheet";#N/A,#N/A,TRUE,"INPUTS";#N/A,#N/A,TRUE,"OUTPUTS";#N/A,#N/A,TRUE,"VALUATION"}</definedName>
    <definedName name="coucou" localSheetId="3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rono" localSheetId="7" hidden="1">{#N/A,#N/A,FALSE,"1321";#N/A,#N/A,FALSE,"1324";#N/A,#N/A,FALSE,"1333";#N/A,#N/A,FALSE,"1371"}</definedName>
    <definedName name="crono" localSheetId="3" hidden="1">{#N/A,#N/A,FALSE,"1321";#N/A,#N/A,FALSE,"1324";#N/A,#N/A,FALSE,"1333";#N/A,#N/A,FALSE,"1371"}</definedName>
    <definedName name="crono" hidden="1">{#N/A,#N/A,FALSE,"1321";#N/A,#N/A,FALSE,"1324";#N/A,#N/A,FALSE,"1333";#N/A,#N/A,FALSE,"1371"}</definedName>
    <definedName name="Crude_Cost">[11]Price!$D$3</definedName>
    <definedName name="Crude_Price">'[12]Oct. 2003'!$AH$10</definedName>
    <definedName name="Cwvu.GREY_ALL." hidden="1">#REF!</definedName>
    <definedName name="d" hidden="1">#REF!</definedName>
    <definedName name="D.R._BITTENCOURT_EPP__KRIA_FRIO">[5]Fornecedor!#REF!</definedName>
    <definedName name="D_Cost">'[7]Unit Price'!$B$4</definedName>
    <definedName name="Day">#REF!</definedName>
    <definedName name="DDD" localSheetId="7" hidden="1">{"'PXR_6500'!$A$1:$I$124"}</definedName>
    <definedName name="DDD" localSheetId="3" hidden="1">{"'PXR_6500'!$A$1:$I$124"}</definedName>
    <definedName name="DDD" hidden="1">{"'PXR_6500'!$A$1:$I$124"}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IAM">[8]Plan1!#REF!</definedName>
    <definedName name="Diâmetros">[8]Plan1!#REF!</definedName>
    <definedName name="Diesel_Cost">[11]Price!$D$2</definedName>
    <definedName name="Diesel_Price">'[12]Oct. 2003'!$AH$8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3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sss" localSheetId="7" hidden="1">{#N/A,#N/A,FALSE,"model"}</definedName>
    <definedName name="dssss" localSheetId="3" hidden="1">{#N/A,#N/A,FALSE,"model"}</definedName>
    <definedName name="dssss" hidden="1">{#N/A,#N/A,FALSE,"model"}</definedName>
    <definedName name="DT_NOVO_FORMATO_PREMISSAS">[13]Premissas!$D$198</definedName>
    <definedName name="DT_PREMISSA_PRECO">[13]Premissas!$G$69</definedName>
    <definedName name="ECNOFIBRAS" localSheetId="7" hidden="1">{"'PXR_6500'!$A$1:$I$124"}</definedName>
    <definedName name="ECNOFIBRAS" localSheetId="3" hidden="1">{"'PXR_6500'!$A$1:$I$124"}</definedName>
    <definedName name="ECNOFIBRAS" hidden="1">{"'PXR_6500'!$A$1:$I$124"}</definedName>
    <definedName name="ECNOFIBRAS2" localSheetId="7" hidden="1">{"'PXR_6500'!$A$1:$I$124"}</definedName>
    <definedName name="ECNOFIBRAS2" localSheetId="3" hidden="1">{"'PXR_6500'!$A$1:$I$124"}</definedName>
    <definedName name="ECNOFIBRAS2" hidden="1">{"'PXR_6500'!$A$1:$I$124"}</definedName>
    <definedName name="ECOLAB_QUÍMICA__NALCO">[5]Fornecedor!#REF!</definedName>
    <definedName name="Embratel">[5]Fornecedor!#REF!</definedName>
    <definedName name="empgpqneg" localSheetId="7" hidden="1">{#N/A,#N/A,FALSE,"model"}</definedName>
    <definedName name="empgpqneg" localSheetId="3" hidden="1">{#N/A,#N/A,FALSE,"model"}</definedName>
    <definedName name="empgpqneg" hidden="1">{#N/A,#N/A,FALSE,"model"}</definedName>
    <definedName name="Empresas">#REF!</definedName>
    <definedName name="erew" localSheetId="7" hidden="1">{#N/A,#N/A,FALSE,"Sheet1"}</definedName>
    <definedName name="erew" localSheetId="3" hidden="1">{#N/A,#N/A,FALSE,"Sheet1"}</definedName>
    <definedName name="erew" hidden="1">{#N/A,#N/A,FALSE,"Sheet1"}</definedName>
    <definedName name="Errado" localSheetId="7" hidden="1">{"'Edit'!$A$1:$V$2277"}</definedName>
    <definedName name="Errado" localSheetId="3" hidden="1">{"'Edit'!$A$1:$V$2277"}</definedName>
    <definedName name="Errado" hidden="1">{"'Edit'!$A$1:$V$2277"}</definedName>
    <definedName name="erro" localSheetId="7" hidden="1">{"'Edit'!$A$1:$V$2277"}</definedName>
    <definedName name="erro" localSheetId="3" hidden="1">{"'Edit'!$A$1:$V$2277"}</definedName>
    <definedName name="erro" hidden="1">{"'Edit'!$A$1:$V$2277"}</definedName>
    <definedName name="ev.Calculation" hidden="1">-4135</definedName>
    <definedName name="ev.Initialized" hidden="1">FALSE</definedName>
    <definedName name="expoente_concentracao_vetor_monetario">[13]Premissas!$EK$24</definedName>
    <definedName name="ExRate">#REF!</definedName>
    <definedName name="f" localSheetId="7" hidden="1">{"'REL CUSTODIF'!$B$1:$H$72"}</definedName>
    <definedName name="f" localSheetId="3" hidden="1">{"'REL CUSTODIF'!$B$1:$H$72"}</definedName>
    <definedName name="f" hidden="1">{"'REL CUSTODIF'!$B$1:$H$72"}</definedName>
    <definedName name="Factor">'[7]Unit Price'!$B$13</definedName>
    <definedName name="Feriados_Brasil">[14]FERIADO!$A$2:$A$831</definedName>
    <definedName name="fill1" hidden="1">#REF!</definedName>
    <definedName name="FOCQUS">[5]Fornecedor!#REF!</definedName>
    <definedName name="FORSHIP_ENGENHARIA__Novado">[5]Fornecedor!#REF!</definedName>
    <definedName name="Frank" localSheetId="7" hidden="1">{#N/A,#N/A,TRUE,"Cover sheet";#N/A,#N/A,TRUE,"DCF analysis";#N/A,#N/A,TRUE,"WACC calculation"}</definedName>
    <definedName name="Frank" localSheetId="3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Gas_Total_Medido_WI">OFFSET([9]Datos_para_grafico_Consolidado!$D$3,0,0,[9]Select_PB!$B$1-[9]Datos_para_grafico_Consolidado!$B$3)</definedName>
    <definedName name="gggg" localSheetId="7" hidden="1">{"'Edit'!$A$1:$V$2277"}</definedName>
    <definedName name="gggg" localSheetId="3" hidden="1">{"'Edit'!$A$1:$V$2277"}</definedName>
    <definedName name="gggg" hidden="1">{"'Edit'!$A$1:$V$2277"}</definedName>
    <definedName name="gogo" localSheetId="7" hidden="1">{#N/A,#N/A,TRUE,"Cover sheet";#N/A,#N/A,TRUE,"INPUTS";#N/A,#N/A,TRUE,"OUTPUTS";#N/A,#N/A,TRUE,"VALUATION"}</definedName>
    <definedName name="gogo" localSheetId="3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LS_SERVIÇOS_DE_LOGÍSTICA_OFFSHORE">[5]Fornecedor!#REF!</definedName>
    <definedName name="GOR">#REF!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3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HALLIBURTON">[5]Fornecedor!#REF!</definedName>
    <definedName name="hjhjhj" localSheetId="7" hidden="1">{"'Edit'!$A$1:$V$2277"}</definedName>
    <definedName name="hjhjhj" localSheetId="3" hidden="1">{"'Edit'!$A$1:$V$2277"}</definedName>
    <definedName name="hjhjhj" hidden="1">{"'Edit'!$A$1:$V$2277"}</definedName>
    <definedName name="HTML" localSheetId="7" hidden="1">{"'PXR_6500'!$A$1:$I$124"}</definedName>
    <definedName name="HTML" localSheetId="3" hidden="1">{"'PXR_6500'!$A$1:$I$124"}</definedName>
    <definedName name="HTML" hidden="1">{"'PXR_6500'!$A$1:$I$124"}</definedName>
    <definedName name="HTML_CodePage" hidden="1">1252</definedName>
    <definedName name="HTML_Control" localSheetId="7" hidden="1">{"'REL CUSTODIF'!$B$1:$H$72"}</definedName>
    <definedName name="HTML_Control" localSheetId="3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TMLControl" localSheetId="7" hidden="1">{"'Edit'!$A$1:$V$2277"}</definedName>
    <definedName name="HTMLControl" localSheetId="3" hidden="1">{"'Edit'!$A$1:$V$2277"}</definedName>
    <definedName name="HTMLControl" hidden="1">{"'Edit'!$A$1:$V$2277"}</definedName>
    <definedName name="INSPECTORATE_DO_BRASIL_INSPEÇÕES">[5]Fornecedor!#REF!</definedName>
    <definedName name="INTERTEK_DO_BRASIL_INSPEÇÕES">[5]Fornecedor!#REF!</definedName>
    <definedName name="INTERTEK_RESOURCES_SOLUTIONS">[5]Fornecedor!#REF!</definedName>
    <definedName name="Intervalo_Datas">OFFSET([9]Datos_para_grafico_Consolidado!$B$3,0,0,[9]Select_PB!$B$1-[9]Datos_para_grafico_Consolidado!$B$3)</definedName>
    <definedName name="INVISION_LTDA">[5]Fornecedor!#REF!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41561.5040740741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iki" localSheetId="7" hidden="1">{#N/A,#N/A,FALSE,"model"}</definedName>
    <definedName name="kiki" localSheetId="3" hidden="1">{#N/A,#N/A,FALSE,"model"}</definedName>
    <definedName name="kiki" hidden="1">{#N/A,#N/A,FALSE,"model"}</definedName>
    <definedName name="kjdslf" localSheetId="7" hidden="1">{#N/A,#N/A,FALSE,"Sheet1"}</definedName>
    <definedName name="kjdslf" localSheetId="3" hidden="1">{#N/A,#N/A,FALSE,"Sheet1"}</definedName>
    <definedName name="kjdslf" hidden="1">{#N/A,#N/A,FALSE,"Sheet1"}</definedName>
    <definedName name="kjk" localSheetId="7" hidden="1">{"'Edit'!$A$1:$V$2277"}</definedName>
    <definedName name="kjk" localSheetId="3" hidden="1">{"'Edit'!$A$1:$V$2277"}</definedName>
    <definedName name="kjk" hidden="1">{"'Edit'!$A$1:$V$2277"}</definedName>
    <definedName name="kmh" localSheetId="7" hidden="1">{#N/A,#N/A,TRUE,"Cover sheet";#N/A,#N/A,TRUE,"DCF analysis";#N/A,#N/A,TRUE,"WACC calculation"}</definedName>
    <definedName name="kmh" localSheetId="3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imcount" hidden="1">1</definedName>
    <definedName name="m" hidden="1">#REF!</definedName>
    <definedName name="Merc" localSheetId="7" hidden="1">{"'REL CUSTODIF'!$B$1:$H$72"}</definedName>
    <definedName name="Merc" localSheetId="3" hidden="1">{"'REL CUSTODIF'!$B$1:$H$72"}</definedName>
    <definedName name="Merc" hidden="1">{"'REL CUSTODIF'!$B$1:$H$72"}</definedName>
    <definedName name="mkt_share" localSheetId="7" hidden="1">{#N/A,#N/A,FALSE,"Sheet1"}</definedName>
    <definedName name="mkt_share" localSheetId="3" hidden="1">{#N/A,#N/A,FALSE,"Sheet1"}</definedName>
    <definedName name="mkt_share" hidden="1">{#N/A,#N/A,FALSE,"Sheet1"}</definedName>
    <definedName name="MOA" localSheetId="7" hidden="1">{#N/A,#N/A,FALSE,"DEF1";#N/A,#N/A,FALSE,"DEF2";#N/A,#N/A,FALSE,"DEF3"}</definedName>
    <definedName name="MOA" localSheetId="3" hidden="1">{#N/A,#N/A,FALSE,"DEF1";#N/A,#N/A,FALSE,"DEF2";#N/A,#N/A,FALSE,"DEF3"}</definedName>
    <definedName name="MOA" hidden="1">{#N/A,#N/A,FALSE,"DEF1";#N/A,#N/A,FALSE,"DEF2";#N/A,#N/A,FALSE,"DEF3"}</definedName>
    <definedName name="Month">#REF!</definedName>
    <definedName name="newDC" localSheetId="7" hidden="1">{#N/A,#N/A,TRUE,"Cover sheet";#N/A,#N/A,TRUE,"DCF analysis";#N/A,#N/A,TRUE,"WACC calculation"}</definedName>
    <definedName name="newDC" localSheetId="3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ovo_forncedor">[5]Fornecedor!#REF!</definedName>
    <definedName name="OBRIENS_DO_BRASIL">[5]Fornecedor!#REF!</definedName>
    <definedName name="OVH">#REF!</definedName>
    <definedName name="P_Cost">'[7]Unit Price'!$B$11</definedName>
    <definedName name="PANGEA">[5]Fornecedor!#REF!</definedName>
    <definedName name="PCS_GasSeco">OFFSET([9]Datos_para_grafico_Consolidado!$P$3,0,0,[9]Select_PB!$B$1-[9]Datos_para_grafico_Consolidado!$B$3)</definedName>
    <definedName name="PCS_GasUmido">OFFSET([9]Datos_para_grafico_Consolidado!$Q$3,0,0,[9]Select_PB!$B$1-[9]Datos_para_grafico_Consolidado!$B$3)</definedName>
    <definedName name="Poços">[8]Plan1!$A$20:$A$22</definedName>
    <definedName name="POL_CO_032_14">[5]Fornecedor!#REF!</definedName>
    <definedName name="POL_CO_038_14">[5]Fornecedor!#REF!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DD_GasSeco">OFFSET([9]Datos_para_grafico_Consolidado!$R$3,0,0,[9]Select_PB!$B$1-[9]Datos_para_grafico_Consolidado!$B$3)</definedName>
    <definedName name="QDD_GasUmido">OFFSET([9]Datos_para_grafico_Consolidado!$S$3,0,0,[9]Select_PB!$B$1-[9]Datos_para_grafico_Consolidado!$B$3)</definedName>
    <definedName name="QDD_Total">[15]Front_Page_Auto!#REF!</definedName>
    <definedName name="QDP_GasSeco">OFFSET([9]Datos_para_grafico_Consolidado!$T$3,0,0,[9]Select_PB!$B$1-[9]Datos_para_grafico_Consolidado!$B$3)</definedName>
    <definedName name="QDP_GasUmido">OFFSET([9]Datos_para_grafico_Consolidado!$U$3,0,0,[9]Select_PB!$B$1-[9]Datos_para_grafico_Consolidado!$B$3)</definedName>
    <definedName name="QDP_Total">[15]Front_Page_Auto!#REF!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Q" localSheetId="7" hidden="1">{#N/A,#N/A,FALSE,"model"}</definedName>
    <definedName name="QQQQ" localSheetId="3" hidden="1">{#N/A,#N/A,FALSE,"model"}</definedName>
    <definedName name="QQQQ" hidden="1">{#N/A,#N/A,FALSE,"model"}</definedName>
    <definedName name="QQQQQQ" localSheetId="7" hidden="1">{#N/A,#N/A,FALSE,"model"}</definedName>
    <definedName name="QQQQQQ" localSheetId="3" hidden="1">{#N/A,#N/A,FALSE,"model"}</definedName>
    <definedName name="QQQQQQ" hidden="1">{#N/A,#N/A,FALSE,"model"}</definedName>
    <definedName name="QQQQQQQ" localSheetId="7" hidden="1">{#N/A,#N/A,FALSE,"model"}</definedName>
    <definedName name="QQQQQQQ" localSheetId="3" hidden="1">{#N/A,#N/A,FALSE,"model"}</definedName>
    <definedName name="QQQQQQQ" hidden="1">{#N/A,#N/A,FALSE,"model"}</definedName>
    <definedName name="qsfd" localSheetId="7" hidden="1">{#N/A,#N/A,TRUE,"Cover sheet";#N/A,#N/A,TRUE,"INPUTS";#N/A,#N/A,TRUE,"OUTPUTS";#N/A,#N/A,TRUE,"VALUATION"}</definedName>
    <definedName name="qsfd" localSheetId="3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esults" localSheetId="7" hidden="1">{"FCB_ALL",#N/A,FALSE,"FCB"}</definedName>
    <definedName name="Results" localSheetId="3" hidden="1">{"FCB_ALL",#N/A,FALSE,"FCB"}</definedName>
    <definedName name="Results" hidden="1">{"FCB_ALL",#N/A,FALSE,"FCB"}</definedName>
    <definedName name="rrrr" localSheetId="7" hidden="1">{"'Edit'!$A$1:$V$2277"}</definedName>
    <definedName name="rrrr" localSheetId="3" hidden="1">{"'Edit'!$A$1:$V$2277"}</definedName>
    <definedName name="rrrr" hidden="1">{"'Edit'!$A$1:$V$2277"}</definedName>
    <definedName name="S_Cost">'[7]Unit Price'!$B$6</definedName>
    <definedName name="sdafsdfzSDfasdf" localSheetId="7" hidden="1">{#N/A,#N/A,FALSE,"Sheet1"}</definedName>
    <definedName name="sdafsdfzSDfasdf" localSheetId="3" hidden="1">{#N/A,#N/A,FALSE,"Sheet1"}</definedName>
    <definedName name="sdafsdfzSDfasdf" hidden="1">{#N/A,#N/A,FALSE,"Sheet1"}</definedName>
    <definedName name="semanas">[16]Semanas!#REF!</definedName>
    <definedName name="sencount" hidden="1">1</definedName>
    <definedName name="SIG_CONTROLE" hidden="1">#REF!</definedName>
    <definedName name="SIG_DERNIERECOLONNE" hidden="1">#REF!</definedName>
    <definedName name="SIG_ENTETE_H10" hidden="1">#REF!</definedName>
    <definedName name="SIG_ENTETE_H11" hidden="1">#REF!</definedName>
    <definedName name="SIG_ENTETE_H12" hidden="1">#REF!</definedName>
    <definedName name="SIG_ENTETE_H3" hidden="1">#REF!</definedName>
    <definedName name="SIG_ENTETE_H4" hidden="1">#REF!</definedName>
    <definedName name="SIG_ENTETE_H5" hidden="1">#REF!</definedName>
    <definedName name="SIG_ENTETE_H6" hidden="1">#REF!</definedName>
    <definedName name="SIG_ENTETE_H7" hidden="1">#REF!</definedName>
    <definedName name="SIG_ENTETE_H8" hidden="1">#REF!</definedName>
    <definedName name="SIG_ENTETE_H9" hidden="1">#REF!</definedName>
    <definedName name="SIG_PTBD_S1B" hidden="1">#REF!</definedName>
    <definedName name="SIG_PTBD_S51A1" hidden="1">#REF!</definedName>
    <definedName name="SIG_PTBD_S51AS" hidden="1">#REF!</definedName>
    <definedName name="SIG_PTHG_S1B" hidden="1">#REF!</definedName>
    <definedName name="SIG_PTHG_S51A1" hidden="1">#REF!</definedName>
    <definedName name="SIG_PTHG_S51AS" hidden="1">#REF!</definedName>
    <definedName name="SIG_S1B_firstLine" hidden="1">#REF!</definedName>
    <definedName name="SIG_S1B_H149" hidden="1">#REF!</definedName>
    <definedName name="SIG_S1B_H150" hidden="1">#REF!</definedName>
    <definedName name="SIG_S1B_H151" hidden="1">#REF!</definedName>
    <definedName name="SIG_S1B_H152" hidden="1">#REF!</definedName>
    <definedName name="SIG_S1B_H153" hidden="1">#REF!</definedName>
    <definedName name="SIG_S1B_H154" hidden="1">#REF!</definedName>
    <definedName name="SIG_S1B_H155" hidden="1">#REF!</definedName>
    <definedName name="SIG_S1B_H156" hidden="1">#REF!</definedName>
    <definedName name="SIG_S1B_H157" hidden="1">#REF!</definedName>
    <definedName name="SIG_S1B_H158" hidden="1">#REF!</definedName>
    <definedName name="SIG_S1B_IsControlOK" hidden="1">#REF!</definedName>
    <definedName name="SIG_S1B_lastLine" hidden="1">#REF!</definedName>
    <definedName name="SIG_S1B_TITLECOL" hidden="1">#REF!</definedName>
    <definedName name="SIG_S1B_TITLELINE" hidden="1">#REF!</definedName>
    <definedName name="SIG_S51A1_firstLine" hidden="1">#REF!</definedName>
    <definedName name="SIG_S51A1_IsControlOK" hidden="1">#REF!</definedName>
    <definedName name="SIG_S51A1_lastLine" hidden="1">#REF!</definedName>
    <definedName name="SIG_S51A1_TITLECOL" hidden="1">#REF!</definedName>
    <definedName name="SIG_S51A1_TITLELINE" hidden="1">#REF!</definedName>
    <definedName name="SIG_S51AS_firstLine" hidden="1">#REF!</definedName>
    <definedName name="SIG_S51AS_IsControlOK" hidden="1">#REF!</definedName>
    <definedName name="SIG_S51AS_lastLine" hidden="1">#REF!</definedName>
    <definedName name="SIG_S51AS_TITLECOL" hidden="1">#REF!</definedName>
    <definedName name="SIG_S51AS_TITLELINE" hidden="1">#REF!</definedName>
    <definedName name="ss" localSheetId="7" hidden="1">{"'Edit'!$A$1:$V$2277"}</definedName>
    <definedName name="ss" localSheetId="3" hidden="1">{"'Edit'!$A$1:$V$2277"}</definedName>
    <definedName name="ss" hidden="1">{"'Edit'!$A$1:$V$2277"}</definedName>
    <definedName name="ssss" localSheetId="7" hidden="1">{"'REL CUSTODIF'!$B$1:$H$72"}</definedName>
    <definedName name="ssss" localSheetId="3" hidden="1">{"'REL CUSTODIF'!$B$1:$H$72"}</definedName>
    <definedName name="ssss" hidden="1">{"'REL CUSTODIF'!$B$1:$H$72"}</definedName>
    <definedName name="TECNOFIBRAS" localSheetId="7" hidden="1">{"'PXR_6500'!$A$1:$I$124"}</definedName>
    <definedName name="TECNOFIBRAS" localSheetId="3" hidden="1">{"'PXR_6500'!$A$1:$I$124"}</definedName>
    <definedName name="TECNOFIBRAS" hidden="1">{"'PXR_6500'!$A$1:$I$124"}</definedName>
    <definedName name="TECNOFIBRAS2" localSheetId="7" hidden="1">{"'PXR_6500'!$A$1:$I$124"}</definedName>
    <definedName name="TECNOFIBRAS2" localSheetId="3" hidden="1">{"'PXR_6500'!$A$1:$I$124"}</definedName>
    <definedName name="TECNOFIBRAS2" hidden="1">{"'PXR_6500'!$A$1:$I$124"}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3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es" hidden="1">'[2]EDISON-2'!#REF!</definedName>
    <definedName name="Tudo" localSheetId="7" hidden="1">{"'Edit'!$A$1:$V$2277"}</definedName>
    <definedName name="Tudo" localSheetId="3" hidden="1">{"'Edit'!$A$1:$V$2277"}</definedName>
    <definedName name="Tudo" hidden="1">{"'Edit'!$A$1:$V$2277"}</definedName>
    <definedName name="uuu" localSheetId="7" hidden="1">{"Acquiror Income Statement",#N/A,TRUE,"Acquiror";"Acquiror Balance Sheet",#N/A,TRUE,"Acquiror";"Acquiror Cash Flow",#N/A,TRUE,"Acquiror"}</definedName>
    <definedName name="uuu" localSheetId="3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enda_GasSeco">OFFSET([9]Datos_para_grafico_Consolidado!$H$3,0,0,[9]Select_PB!$B$1-[9]Datos_para_grafico_Consolidado!$B$3)</definedName>
    <definedName name="Venda_GasUmido">OFFSET([9]Datos_para_grafico_Consolidado!$G$3,0,0,[9]Select_PB!$B$1-[9]Datos_para_grafico_Consolidado!$B$3)</definedName>
    <definedName name="W_Cost">'[7]Unit Price'!$B$10</definedName>
    <definedName name="wew" localSheetId="7" hidden="1">{#N/A,#N/A,FALSE,"Sheet1"}</definedName>
    <definedName name="wew" localSheetId="3" hidden="1">{#N/A,#N/A,FALSE,"Sheet1"}</definedName>
    <definedName name="wew" hidden="1">{#N/A,#N/A,FALSE,"Sheet1"}</definedName>
    <definedName name="WI">#REF!</definedName>
    <definedName name="wrn.01." localSheetId="7" hidden="1">{#N/A,#N/A,FALSE,"1321";#N/A,#N/A,FALSE,"1324";#N/A,#N/A,FALSE,"1333";#N/A,#N/A,FALSE,"1371"}</definedName>
    <definedName name="wrn.01." localSheetId="3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3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" localSheetId="7" hidden="1">{#N/A,#N/A,FALSE,"cpt"}</definedName>
    <definedName name="wrn.all." localSheetId="3" hidden="1">{#N/A,#N/A,FALSE,"cpt"}</definedName>
    <definedName name="wrn.all." hidden="1">{#N/A,#N/A,FALSE,"cpt"}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3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7" hidden="1">{#N/A,#N/A,FALSE,"Sheet1"}</definedName>
    <definedName name="wrn.Auto._.Comp." localSheetId="3" hidden="1">{#N/A,#N/A,FALSE,"Sheet1"}</definedName>
    <definedName name="wrn.Auto._.Comp." hidden="1">{#N/A,#N/A,FALSE,"Sheet1"}</definedName>
    <definedName name="wrn.Auto._.Comp2." localSheetId="7" hidden="1">{#N/A,#N/A,FALSE,"Sheet1"}</definedName>
    <definedName name="wrn.Auto._.Comp2." localSheetId="3" hidden="1">{#N/A,#N/A,FALSE,"Sheet1"}</definedName>
    <definedName name="wrn.Auto._.Comp2." hidden="1">{#N/A,#N/A,FALSE,"Sheet1"}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3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7" hidden="1">{"EVA",#N/A,FALSE,"SMT2";#N/A,#N/A,FALSE,"Summary";#N/A,#N/A,FALSE,"Graphs";#N/A,#N/A,FALSE,"4 Panel"}</definedName>
    <definedName name="wrn.Book." localSheetId="3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3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3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3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3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def9806." localSheetId="7" hidden="1">{#N/A,#N/A,FALSE,"DEF1";#N/A,#N/A,FALSE,"DEF2";#N/A,#N/A,FALSE,"DEF3"}</definedName>
    <definedName name="wrn.def9806." localSheetId="3" hidden="1">{#N/A,#N/A,FALSE,"DEF1";#N/A,#N/A,FALSE,"DEF2";#N/A,#N/A,FALSE,"DEF3"}</definedName>
    <definedName name="wrn.def9806." hidden="1">{#N/A,#N/A,FALSE,"DEF1";#N/A,#N/A,FALSE,"DEF2";#N/A,#N/A,FALSE,"DEF3"}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CB." localSheetId="7" hidden="1">{"FCB_ALL",#N/A,FALSE,"FCB"}</definedName>
    <definedName name="wrn.FCB." localSheetId="3" hidden="1">{"FCB_ALL",#N/A,FALSE,"FCB"}</definedName>
    <definedName name="wrn.FCB." hidden="1">{"FCB_ALL",#N/A,FALSE,"FCB"}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3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imp." localSheetId="7" hidden="1">{"vue1",#N/A,FALSE,"synthese";"vue2",#N/A,FALSE,"synthese"}</definedName>
    <definedName name="wrn.imp." localSheetId="3" hidden="1">{"vue1",#N/A,FALSE,"synthese";"vue2",#N/A,FALSE,"synthese"}</definedName>
    <definedName name="wrn.imp." hidden="1">{"vue1",#N/A,FALSE,"synthese";"vue2",#N/A,FALSE,"synthese"}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3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odel." localSheetId="7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localSheetId="3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TMMOEORC." localSheetId="7" hidden="1">{#N/A,#N/A,FALSE,"MTMUSD"}</definedName>
    <definedName name="wrn.MTMMOEORC." localSheetId="3" hidden="1">{#N/A,#N/A,FALSE,"MTMUSD"}</definedName>
    <definedName name="wrn.MTMMOEORC." hidden="1">{#N/A,#N/A,FALSE,"MTMUSD"}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3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3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3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Cap." localSheetId="7" hidden="1">{"page1",#N/A,FALSE,"Capital";"page2",#N/A,FALSE,"Capital";"page3",#N/A,FALSE,"Capital"}</definedName>
    <definedName name="wrn.PrintCap." localSheetId="3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3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STAND_ALONE_BOTH." localSheetId="7" hidden="1">{"FCB_ALL",#N/A,FALSE,"FCB";"GREY_ALL",#N/A,FALSE,"GREY"}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3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3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3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7" hidden="1">{"test2",#N/A,TRUE,"Prices"}</definedName>
    <definedName name="wrn.test." localSheetId="3" hidden="1">{"test2",#N/A,TRUE,"Prices"}</definedName>
    <definedName name="wrn.test." hidden="1">{"test2",#N/A,TRUE,"Prices"}</definedName>
    <definedName name="wrn.TESTE." localSheetId="7" hidden="1">{#N/A,#N/A,FALSE,"MTMUSD"}</definedName>
    <definedName name="wrn.TESTE." localSheetId="3" hidden="1">{#N/A,#N/A,FALSE,"MTMUSD"}</definedName>
    <definedName name="wrn.TESTE." hidden="1">{#N/A,#N/A,FALSE,"MTMUSD"}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3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wwww" localSheetId="7" hidden="1">{#N/A,#N/A,FALSE,"model"}</definedName>
    <definedName name="wwwww" localSheetId="3" hidden="1">{#N/A,#N/A,FALSE,"model"}</definedName>
    <definedName name="wwwww" hidden="1">{#N/A,#N/A,FALSE,"model"}</definedName>
    <definedName name="xx" localSheetId="7" hidden="1">{#N/A,#N/A,FALSE,"Sheet1"}</definedName>
    <definedName name="xx" localSheetId="3" hidden="1">{#N/A,#N/A,FALSE,"Sheet1"}</definedName>
    <definedName name="xx" hidden="1">{#N/A,#N/A,FALSE,"Sheet1"}</definedName>
    <definedName name="xyzdw" localSheetId="7" hidden="1">{#N/A,#N/A,TRUE,"Cover sheet";#N/A,#N/A,TRUE,"INPUTS";#N/A,#N/A,TRUE,"OUTPUTS";#N/A,#N/A,TRUE,"VALUATION"}</definedName>
    <definedName name="xyzdw" localSheetId="3" hidden="1">{#N/A,#N/A,TRUE,"Cover sheet";#N/A,#N/A,TRUE,"INPUTS";#N/A,#N/A,TRUE,"OUTPUTS";#N/A,#N/A,TRUE,"VALUATION"}</definedName>
    <definedName name="xyzdw" hidden="1">{#N/A,#N/A,TRUE,"Cover sheet";#N/A,#N/A,TRUE,"INPUTS";#N/A,#N/A,TRUE,"OUTPUTS";#N/A,#N/A,TRUE,"VALUATION"}</definedName>
    <definedName name="y" localSheetId="7" hidden="1">{#N/A,#N/A,FALSE,"Sheet1"}</definedName>
    <definedName name="y" localSheetId="3" hidden="1">{#N/A,#N/A,FALSE,"Sheet1"}</definedName>
    <definedName name="y" hidden="1">{#N/A,#N/A,FALSE,"Sheet1"}</definedName>
    <definedName name="Year">#REF!</definedName>
    <definedName name="yy" localSheetId="7" hidden="1">{#N/A,#N/A,FALSE,"Sheet1"}</definedName>
    <definedName name="yy" localSheetId="3" hidden="1">{#N/A,#N/A,FALSE,"Sheet1"}</definedName>
    <definedName name="yy" hidden="1">{#N/A,#N/A,FALSE,"Sheet1"}</definedName>
  </definedNames>
  <calcPr calcId="191029" iterateDelta="1E-4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1" l="1"/>
  <c r="AY41" i="17" l="1"/>
  <c r="AY19" i="17"/>
  <c r="CY34" i="17"/>
  <c r="CN14" i="22" l="1"/>
  <c r="AL56" i="12"/>
  <c r="K74" i="20"/>
  <c r="K67" i="20"/>
  <c r="K52" i="20"/>
  <c r="K22" i="20"/>
  <c r="K42" i="20" s="1"/>
  <c r="CY48" i="7"/>
  <c r="CY35" i="7"/>
  <c r="CY18" i="7"/>
  <c r="CY22" i="7" s="1"/>
  <c r="AY42" i="7"/>
  <c r="AY20" i="7"/>
  <c r="AY26" i="7" s="1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39" i="4"/>
  <c r="AY32" i="3" s="1"/>
  <c r="AY36" i="4"/>
  <c r="AY34" i="4" s="1"/>
  <c r="AY30" i="3" s="1"/>
  <c r="AY24" i="4"/>
  <c r="AY23" i="4" s="1"/>
  <c r="AY19" i="4"/>
  <c r="AY27" i="3" s="1"/>
  <c r="AY9" i="4"/>
  <c r="AY7" i="3" s="1"/>
  <c r="CY50" i="7" l="1"/>
  <c r="AY9" i="3"/>
  <c r="AY8" i="3" s="1"/>
  <c r="K69" i="20"/>
  <c r="AY44" i="7"/>
  <c r="AY25" i="3"/>
  <c r="AY28" i="3" l="1"/>
  <c r="AY26" i="3"/>
  <c r="AY31" i="3" l="1"/>
  <c r="AY33" i="3" s="1"/>
  <c r="AY29" i="3"/>
  <c r="J73" i="21" l="1"/>
  <c r="J69" i="21" s="1"/>
  <c r="CY46" i="17"/>
  <c r="CY18" i="17"/>
  <c r="CY21" i="17" s="1"/>
  <c r="AY25" i="17"/>
  <c r="AY10" i="16"/>
  <c r="AY32" i="16"/>
  <c r="AY24" i="16"/>
  <c r="AY23" i="16"/>
  <c r="AY22" i="16"/>
  <c r="AY21" i="16"/>
  <c r="AY20" i="16"/>
  <c r="AY18" i="16"/>
  <c r="AY17" i="16"/>
  <c r="AY16" i="16"/>
  <c r="AY15" i="16"/>
  <c r="AY14" i="16"/>
  <c r="AY13" i="16"/>
  <c r="AY12" i="16"/>
  <c r="AY11" i="16"/>
  <c r="AY39" i="15"/>
  <c r="AY36" i="15"/>
  <c r="AY34" i="15" s="1"/>
  <c r="AY30" i="16" s="1"/>
  <c r="AY24" i="15"/>
  <c r="AY19" i="16" s="1"/>
  <c r="AY23" i="15"/>
  <c r="AY19" i="15"/>
  <c r="AY27" i="16" s="1"/>
  <c r="AY10" i="15"/>
  <c r="AY9" i="15"/>
  <c r="AY7" i="16" s="1"/>
  <c r="CL14" i="22"/>
  <c r="AY9" i="16" l="1"/>
  <c r="AY8" i="16" s="1"/>
  <c r="AY21" i="15"/>
  <c r="AY44" i="17"/>
  <c r="CY48" i="17"/>
  <c r="AY25" i="16"/>
  <c r="AY28" i="16"/>
  <c r="AY26" i="16"/>
  <c r="AY37" i="15"/>
  <c r="AY43" i="15" s="1"/>
  <c r="CM14" i="22"/>
  <c r="AY29" i="16" l="1"/>
  <c r="AY31" i="16"/>
  <c r="AY33" i="16" s="1"/>
  <c r="AW36" i="12" l="1"/>
  <c r="AW35" i="12"/>
  <c r="AW28" i="12"/>
  <c r="AW27" i="12"/>
  <c r="J67" i="21" l="1"/>
  <c r="J53" i="21"/>
  <c r="J23" i="21"/>
  <c r="AX24" i="16"/>
  <c r="AX23" i="16"/>
  <c r="AX22" i="16"/>
  <c r="AX21" i="16"/>
  <c r="AX20" i="16"/>
  <c r="AX18" i="16"/>
  <c r="AX17" i="16"/>
  <c r="AX16" i="16"/>
  <c r="AX15" i="16"/>
  <c r="AX14" i="16"/>
  <c r="AX13" i="16"/>
  <c r="AX12" i="16"/>
  <c r="AX11" i="16"/>
  <c r="AX39" i="15"/>
  <c r="AX32" i="16" s="1"/>
  <c r="AX36" i="15"/>
  <c r="AX34" i="15" s="1"/>
  <c r="AX30" i="16" s="1"/>
  <c r="AX24" i="15"/>
  <c r="AX19" i="16" s="1"/>
  <c r="AX19" i="15"/>
  <c r="AX27" i="16" s="1"/>
  <c r="AX10" i="15"/>
  <c r="AX9" i="15"/>
  <c r="AX7" i="16" s="1"/>
  <c r="AX23" i="15" l="1"/>
  <c r="AX9" i="16"/>
  <c r="AX8" i="16" s="1"/>
  <c r="AX25" i="16" s="1"/>
  <c r="AX21" i="15"/>
  <c r="AX37" i="15" s="1"/>
  <c r="AX43" i="15" s="1"/>
  <c r="AX26" i="16" l="1"/>
  <c r="AX28" i="16"/>
  <c r="AX29" i="16" s="1"/>
  <c r="AX31" i="16" l="1"/>
  <c r="AX33" i="16" s="1"/>
  <c r="CX46" i="17" l="1"/>
  <c r="CX34" i="17"/>
  <c r="CX18" i="17"/>
  <c r="CX21" i="17" s="1"/>
  <c r="AX41" i="17"/>
  <c r="AX19" i="17"/>
  <c r="AX25" i="17" s="1"/>
  <c r="AX24" i="3"/>
  <c r="AX23" i="3"/>
  <c r="AX22" i="3"/>
  <c r="AX21" i="3"/>
  <c r="AX20" i="3"/>
  <c r="AX18" i="3"/>
  <c r="AX17" i="3"/>
  <c r="AX16" i="3"/>
  <c r="AX15" i="3"/>
  <c r="AX14" i="3"/>
  <c r="AX13" i="3"/>
  <c r="AX12" i="3"/>
  <c r="AX11" i="3"/>
  <c r="AX10" i="3"/>
  <c r="AX35" i="4"/>
  <c r="AX36" i="4"/>
  <c r="AX34" i="4" s="1"/>
  <c r="AX30" i="3" s="1"/>
  <c r="AX24" i="4"/>
  <c r="AX23" i="4" s="1"/>
  <c r="AX19" i="4"/>
  <c r="AX27" i="3" s="1"/>
  <c r="AT19" i="4"/>
  <c r="AX9" i="4"/>
  <c r="AX7" i="3" s="1"/>
  <c r="CK21" i="22"/>
  <c r="CJ21" i="22"/>
  <c r="CI21" i="22"/>
  <c r="CI14" i="22"/>
  <c r="CJ14" i="22"/>
  <c r="AV36" i="12"/>
  <c r="AV35" i="12"/>
  <c r="AX9" i="3" l="1"/>
  <c r="AX19" i="3"/>
  <c r="AX8" i="3"/>
  <c r="AX25" i="3" s="1"/>
  <c r="CX48" i="17"/>
  <c r="AX44" i="17"/>
  <c r="CK14" i="22"/>
  <c r="AK56" i="12"/>
  <c r="AX28" i="3" l="1"/>
  <c r="AX26" i="3"/>
  <c r="AV28" i="12"/>
  <c r="AV27" i="12"/>
  <c r="CX48" i="7"/>
  <c r="CX35" i="7"/>
  <c r="CX18" i="7"/>
  <c r="CX22" i="7" s="1"/>
  <c r="AV13" i="7"/>
  <c r="AX29" i="3" l="1"/>
  <c r="AX31" i="3"/>
  <c r="CX50" i="7"/>
  <c r="AX42" i="7"/>
  <c r="AX20" i="7"/>
  <c r="AX26" i="7" s="1"/>
  <c r="AL40" i="12"/>
  <c r="AL38" i="12"/>
  <c r="U28" i="12"/>
  <c r="AL27" i="12"/>
  <c r="T27" i="12"/>
  <c r="U27" i="12"/>
  <c r="V27" i="12"/>
  <c r="W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M27" i="12"/>
  <c r="AN27" i="12"/>
  <c r="AO27" i="12"/>
  <c r="AP27" i="12"/>
  <c r="AQ27" i="12"/>
  <c r="AR27" i="12"/>
  <c r="AS27" i="12"/>
  <c r="AT27" i="12"/>
  <c r="T28" i="12"/>
  <c r="V28" i="12"/>
  <c r="W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AP28" i="12"/>
  <c r="AQ28" i="12"/>
  <c r="AR28" i="12"/>
  <c r="AS28" i="12"/>
  <c r="AT28" i="12"/>
  <c r="AU28" i="12"/>
  <c r="AX44" i="7" l="1"/>
  <c r="CE14" i="22"/>
  <c r="BW14" i="22"/>
  <c r="BX14" i="22"/>
  <c r="BY14" i="22"/>
  <c r="BZ14" i="22"/>
  <c r="CA14" i="22"/>
  <c r="CB14" i="22"/>
  <c r="CC14" i="22"/>
  <c r="CD14" i="22"/>
  <c r="CF14" i="22"/>
  <c r="CG14" i="22"/>
  <c r="CH14" i="22"/>
  <c r="BV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AY14" i="22"/>
  <c r="AY7" i="22"/>
  <c r="AZ7" i="22"/>
  <c r="BA7" i="22"/>
  <c r="BB7" i="22"/>
  <c r="BC7" i="22"/>
  <c r="BD7" i="22"/>
  <c r="BE7" i="22"/>
  <c r="BF7" i="22"/>
  <c r="BG7" i="22"/>
  <c r="BH7" i="22"/>
  <c r="BI7" i="22"/>
  <c r="BJ7" i="22"/>
  <c r="L7" i="22"/>
  <c r="AZ23" i="22"/>
  <c r="C14" i="22" l="1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I23" i="21" l="1"/>
  <c r="I43" i="21" s="1"/>
  <c r="CW46" i="17"/>
  <c r="CW34" i="17"/>
  <c r="CW10" i="17"/>
  <c r="CW18" i="17" s="1"/>
  <c r="CW21" i="17" s="1"/>
  <c r="I73" i="21"/>
  <c r="I67" i="21"/>
  <c r="I53" i="21"/>
  <c r="I69" i="21" l="1"/>
  <c r="CW48" i="17"/>
  <c r="BL9" i="4"/>
  <c r="BL9" i="15"/>
  <c r="BL10" i="16"/>
  <c r="AW40" i="15"/>
  <c r="AW41" i="15"/>
  <c r="AW33" i="15"/>
  <c r="AW24" i="16" s="1"/>
  <c r="AW30" i="15"/>
  <c r="AW29" i="15"/>
  <c r="AW21" i="16" s="1"/>
  <c r="AW28" i="15"/>
  <c r="AW27" i="15"/>
  <c r="AW26" i="15"/>
  <c r="AW25" i="15"/>
  <c r="AW20" i="15"/>
  <c r="AW18" i="16" s="1"/>
  <c r="AW18" i="15"/>
  <c r="AW17" i="16" s="1"/>
  <c r="AW17" i="15"/>
  <c r="AW16" i="16" s="1"/>
  <c r="AW16" i="15"/>
  <c r="AW15" i="16" s="1"/>
  <c r="AW15" i="15"/>
  <c r="AW14" i="16" s="1"/>
  <c r="AW14" i="15"/>
  <c r="AW13" i="16" s="1"/>
  <c r="AW13" i="15"/>
  <c r="AW12" i="16" s="1"/>
  <c r="AW12" i="15"/>
  <c r="AW11" i="16" s="1"/>
  <c r="AW11" i="15"/>
  <c r="BL36" i="15"/>
  <c r="BL35" i="15"/>
  <c r="BL24" i="15"/>
  <c r="BL23" i="15" s="1"/>
  <c r="BL19" i="15"/>
  <c r="BL39" i="15"/>
  <c r="BL32" i="15"/>
  <c r="AW32" i="15" s="1"/>
  <c r="AW22" i="16" s="1"/>
  <c r="BL31" i="15"/>
  <c r="AW31" i="15" s="1"/>
  <c r="AW23" i="16" s="1"/>
  <c r="BL10" i="15"/>
  <c r="BL21" i="15" s="1"/>
  <c r="AW21" i="3"/>
  <c r="AW41" i="4"/>
  <c r="AW40" i="4"/>
  <c r="AW33" i="4"/>
  <c r="AW32" i="4"/>
  <c r="AW31" i="4"/>
  <c r="AW23" i="3" s="1"/>
  <c r="AW30" i="4"/>
  <c r="AW29" i="4"/>
  <c r="AW28" i="4"/>
  <c r="AW27" i="4"/>
  <c r="AW26" i="4"/>
  <c r="AW25" i="4"/>
  <c r="AW20" i="3" s="1"/>
  <c r="AW20" i="4"/>
  <c r="AW15" i="4"/>
  <c r="AW14" i="4"/>
  <c r="AW13" i="4"/>
  <c r="AW12" i="4"/>
  <c r="AW11" i="3" s="1"/>
  <c r="BL24" i="4"/>
  <c r="BL36" i="4"/>
  <c r="BL34" i="15" l="1"/>
  <c r="AW39" i="15"/>
  <c r="AW20" i="16"/>
  <c r="AW9" i="16"/>
  <c r="AW32" i="16"/>
  <c r="AW39" i="4"/>
  <c r="AW32" i="3" s="1"/>
  <c r="AX39" i="4"/>
  <c r="AX32" i="3" s="1"/>
  <c r="AX33" i="3" s="1"/>
  <c r="AW22" i="3"/>
  <c r="AW12" i="3"/>
  <c r="AW24" i="3"/>
  <c r="AW13" i="3"/>
  <c r="AW14" i="3"/>
  <c r="AW18" i="3"/>
  <c r="BL37" i="15"/>
  <c r="BL43" i="15" s="1"/>
  <c r="BL19" i="4"/>
  <c r="I52" i="20"/>
  <c r="J52" i="20"/>
  <c r="BL39" i="4"/>
  <c r="BL23" i="4"/>
  <c r="AW42" i="7"/>
  <c r="AW20" i="7"/>
  <c r="AW26" i="7" s="1"/>
  <c r="CW48" i="7"/>
  <c r="CW35" i="7"/>
  <c r="CW18" i="7"/>
  <c r="CW22" i="7" s="1"/>
  <c r="AW19" i="17"/>
  <c r="AW25" i="17" s="1"/>
  <c r="AW41" i="17"/>
  <c r="CH23" i="22"/>
  <c r="CG23" i="22"/>
  <c r="CF23" i="22"/>
  <c r="N89" i="13"/>
  <c r="N91" i="13" s="1"/>
  <c r="N93" i="13" s="1"/>
  <c r="N78" i="13"/>
  <c r="N80" i="13" s="1"/>
  <c r="N82" i="13" s="1"/>
  <c r="N46" i="13"/>
  <c r="N67" i="13"/>
  <c r="N69" i="13" s="1"/>
  <c r="N71" i="13" s="1"/>
  <c r="N48" i="13"/>
  <c r="N44" i="13"/>
  <c r="N43" i="13"/>
  <c r="N56" i="13"/>
  <c r="N58" i="13" s="1"/>
  <c r="N34" i="13"/>
  <c r="N36" i="13" s="1"/>
  <c r="N38" i="13" s="1"/>
  <c r="N22" i="13"/>
  <c r="N12" i="13"/>
  <c r="N10" i="13"/>
  <c r="N9" i="13"/>
  <c r="N14" i="13"/>
  <c r="AI56" i="12"/>
  <c r="AV9" i="15"/>
  <c r="AV7" i="16" s="1"/>
  <c r="AV24" i="15"/>
  <c r="AV19" i="16" s="1"/>
  <c r="AU24" i="15"/>
  <c r="AV24" i="16"/>
  <c r="AV23" i="16"/>
  <c r="AV22" i="16"/>
  <c r="AV21" i="16"/>
  <c r="AV20" i="16"/>
  <c r="AV18" i="16"/>
  <c r="AV17" i="16"/>
  <c r="AV16" i="16"/>
  <c r="AV15" i="16"/>
  <c r="AV14" i="16"/>
  <c r="AV13" i="16"/>
  <c r="AV12" i="16"/>
  <c r="AV11" i="16"/>
  <c r="AV10" i="15"/>
  <c r="AV35" i="15"/>
  <c r="AV34" i="15" s="1"/>
  <c r="AV30" i="16" s="1"/>
  <c r="AV19" i="15"/>
  <c r="AV27" i="16" s="1"/>
  <c r="CV46" i="17"/>
  <c r="CV34" i="17"/>
  <c r="CV18" i="17"/>
  <c r="CV21" i="17" s="1"/>
  <c r="AV41" i="17"/>
  <c r="AV19" i="17"/>
  <c r="AV25" i="17" s="1"/>
  <c r="AV39" i="15"/>
  <c r="AV32" i="16" s="1"/>
  <c r="AW35" i="15" l="1"/>
  <c r="AW44" i="7"/>
  <c r="N47" i="13"/>
  <c r="N60" i="13"/>
  <c r="N49" i="13" s="1"/>
  <c r="N11" i="13"/>
  <c r="N45" i="13"/>
  <c r="N24" i="13"/>
  <c r="AW44" i="17"/>
  <c r="BL34" i="4"/>
  <c r="AJ56" i="12"/>
  <c r="CW50" i="7"/>
  <c r="AV9" i="16"/>
  <c r="AV8" i="16" s="1"/>
  <c r="AV25" i="16" s="1"/>
  <c r="AV23" i="15"/>
  <c r="AV21" i="15"/>
  <c r="CV48" i="17"/>
  <c r="AV44" i="17"/>
  <c r="AV24" i="3"/>
  <c r="AV23" i="3"/>
  <c r="AV22" i="3"/>
  <c r="AV21" i="3"/>
  <c r="AV20" i="3"/>
  <c r="AV18" i="3"/>
  <c r="AV17" i="3"/>
  <c r="AV14" i="3"/>
  <c r="AV13" i="3"/>
  <c r="AV12" i="3"/>
  <c r="AV11" i="3"/>
  <c r="AV10" i="3"/>
  <c r="AV24" i="4"/>
  <c r="AV19" i="3" s="1"/>
  <c r="AR24" i="4"/>
  <c r="AV9" i="4"/>
  <c r="AV7" i="3" s="1"/>
  <c r="AV19" i="4"/>
  <c r="AV27" i="3" s="1"/>
  <c r="AV35" i="4"/>
  <c r="AV36" i="4"/>
  <c r="AV39" i="4"/>
  <c r="AV32" i="3" s="1"/>
  <c r="CV35" i="7"/>
  <c r="CU35" i="7"/>
  <c r="CV10" i="7"/>
  <c r="CV18" i="7" s="1"/>
  <c r="CV22" i="7" s="1"/>
  <c r="CV48" i="7"/>
  <c r="AV20" i="7"/>
  <c r="AV26" i="7" s="1"/>
  <c r="AV42" i="7"/>
  <c r="AW35" i="4" l="1"/>
  <c r="N13" i="13"/>
  <c r="N26" i="13"/>
  <c r="N15" i="13" s="1"/>
  <c r="AV44" i="7"/>
  <c r="AV23" i="4"/>
  <c r="AV37" i="15"/>
  <c r="AV43" i="15" s="1"/>
  <c r="AV34" i="4"/>
  <c r="AV30" i="3" s="1"/>
  <c r="AV28" i="16"/>
  <c r="AV26" i="16"/>
  <c r="CV50" i="7"/>
  <c r="AH56" i="12"/>
  <c r="AV31" i="16" l="1"/>
  <c r="AV33" i="16" s="1"/>
  <c r="AV29" i="16"/>
  <c r="CE23" i="22" l="1"/>
  <c r="CD23" i="22"/>
  <c r="CC23" i="22"/>
  <c r="AU9" i="4"/>
  <c r="AU9" i="15"/>
  <c r="AU7" i="16" s="1"/>
  <c r="AU23" i="15"/>
  <c r="AU19" i="15"/>
  <c r="AU27" i="16" s="1"/>
  <c r="AP36" i="4"/>
  <c r="AU24" i="16"/>
  <c r="AU23" i="16"/>
  <c r="AU22" i="16"/>
  <c r="AU21" i="16"/>
  <c r="AU20" i="16"/>
  <c r="AU19" i="16"/>
  <c r="AU18" i="16"/>
  <c r="AU17" i="16"/>
  <c r="AU16" i="16"/>
  <c r="AU15" i="16"/>
  <c r="AU14" i="16"/>
  <c r="AU13" i="16"/>
  <c r="AU12" i="16"/>
  <c r="AU11" i="16"/>
  <c r="AU36" i="15"/>
  <c r="AU34" i="15" s="1"/>
  <c r="AU30" i="16" s="1"/>
  <c r="AU39" i="15"/>
  <c r="AU32" i="16" s="1"/>
  <c r="AU10" i="15"/>
  <c r="CU34" i="17"/>
  <c r="CU46" i="17"/>
  <c r="CU18" i="17"/>
  <c r="CU21" i="17" s="1"/>
  <c r="CU48" i="17" l="1"/>
  <c r="AU9" i="16"/>
  <c r="AU8" i="16" s="1"/>
  <c r="AU25" i="16" s="1"/>
  <c r="AU28" i="16" s="1"/>
  <c r="AU21" i="15"/>
  <c r="AU37" i="15" s="1"/>
  <c r="AU43" i="15" s="1"/>
  <c r="AU41" i="17"/>
  <c r="AU19" i="17"/>
  <c r="AU25" i="17" s="1"/>
  <c r="AU20" i="3"/>
  <c r="AU24" i="3"/>
  <c r="AU21" i="3"/>
  <c r="AU18" i="3"/>
  <c r="AU17" i="3"/>
  <c r="AU14" i="3"/>
  <c r="AU13" i="3"/>
  <c r="AU12" i="3"/>
  <c r="AU11" i="3"/>
  <c r="AU10" i="3"/>
  <c r="AU36" i="4"/>
  <c r="AU24" i="4"/>
  <c r="AQ24" i="4"/>
  <c r="AU19" i="4"/>
  <c r="AU7" i="3"/>
  <c r="J22" i="20"/>
  <c r="AU39" i="4"/>
  <c r="AU32" i="3" s="1"/>
  <c r="AU20" i="7"/>
  <c r="AU42" i="7"/>
  <c r="AU23" i="4" l="1"/>
  <c r="AU34" i="4"/>
  <c r="AU30" i="3" s="1"/>
  <c r="AU27" i="3"/>
  <c r="AU19" i="3"/>
  <c r="AU26" i="16"/>
  <c r="AU29" i="16"/>
  <c r="AU31" i="16"/>
  <c r="AU33" i="16" s="1"/>
  <c r="AU44" i="17"/>
  <c r="AU26" i="7"/>
  <c r="AU44" i="7" s="1"/>
  <c r="AT24" i="15" l="1"/>
  <c r="AT9" i="15"/>
  <c r="AW9" i="15" s="1"/>
  <c r="AW7" i="16" s="1"/>
  <c r="AW24" i="15" l="1"/>
  <c r="AW19" i="16" s="1"/>
  <c r="AW8" i="16" s="1"/>
  <c r="AW25" i="16" s="1"/>
  <c r="CU48" i="7"/>
  <c r="CU18" i="7"/>
  <c r="CU22" i="7" s="1"/>
  <c r="AG56" i="12"/>
  <c r="AW26" i="16" l="1"/>
  <c r="AW23" i="15"/>
  <c r="CU50" i="7"/>
  <c r="CB23" i="22"/>
  <c r="CA23" i="22"/>
  <c r="BZ23" i="22"/>
  <c r="BK10" i="16"/>
  <c r="BK24" i="15"/>
  <c r="AT19" i="15"/>
  <c r="AW19" i="15" l="1"/>
  <c r="AW27" i="16" s="1"/>
  <c r="AW28" i="16" s="1"/>
  <c r="BK9" i="15"/>
  <c r="AT9" i="4"/>
  <c r="AW9" i="4" s="1"/>
  <c r="AT39" i="15"/>
  <c r="AT32" i="16" s="1"/>
  <c r="BL32" i="16" s="1"/>
  <c r="AT27" i="16"/>
  <c r="AT24" i="16"/>
  <c r="BL24" i="16" s="1"/>
  <c r="AT23" i="16"/>
  <c r="BL23" i="16" s="1"/>
  <c r="AT22" i="16"/>
  <c r="BL22" i="16" s="1"/>
  <c r="AT21" i="16"/>
  <c r="BL21" i="16" s="1"/>
  <c r="AT20" i="16"/>
  <c r="BL20" i="16" s="1"/>
  <c r="AT18" i="16"/>
  <c r="BL18" i="16" s="1"/>
  <c r="AT17" i="16"/>
  <c r="BL17" i="16" s="1"/>
  <c r="AT16" i="16"/>
  <c r="BL16" i="16" s="1"/>
  <c r="AT15" i="16"/>
  <c r="BL15" i="16" s="1"/>
  <c r="AT14" i="16"/>
  <c r="BL14" i="16" s="1"/>
  <c r="AT13" i="16"/>
  <c r="BL13" i="16" s="1"/>
  <c r="AT12" i="16"/>
  <c r="BL12" i="16" s="1"/>
  <c r="AT11" i="16"/>
  <c r="BL11" i="16" s="1"/>
  <c r="AT7" i="16"/>
  <c r="BL7" i="16" s="1"/>
  <c r="AT10" i="15"/>
  <c r="AT36" i="15"/>
  <c r="AT19" i="17"/>
  <c r="AT25" i="17" s="1"/>
  <c r="AT41" i="17"/>
  <c r="CT46" i="17"/>
  <c r="CT34" i="17"/>
  <c r="CT18" i="17"/>
  <c r="CT21" i="17" s="1"/>
  <c r="J67" i="20"/>
  <c r="J74" i="20"/>
  <c r="J42" i="20"/>
  <c r="AT24" i="3"/>
  <c r="BL24" i="3" s="1"/>
  <c r="AT21" i="3"/>
  <c r="BL21" i="3" s="1"/>
  <c r="AT20" i="3"/>
  <c r="BL20" i="3" s="1"/>
  <c r="AT18" i="3"/>
  <c r="BL18" i="3" s="1"/>
  <c r="AT14" i="3"/>
  <c r="BL14" i="3" s="1"/>
  <c r="AT13" i="3"/>
  <c r="BL13" i="3" s="1"/>
  <c r="AT12" i="3"/>
  <c r="BL12" i="3" s="1"/>
  <c r="AT11" i="3"/>
  <c r="BL11" i="3" s="1"/>
  <c r="AT10" i="3"/>
  <c r="AT24" i="4"/>
  <c r="AW24" i="4" s="1"/>
  <c r="AT39" i="4"/>
  <c r="AT32" i="3" s="1"/>
  <c r="BL32" i="3" s="1"/>
  <c r="AT36" i="4"/>
  <c r="AW19" i="4"/>
  <c r="AT18" i="4"/>
  <c r="AW18" i="4" s="1"/>
  <c r="AP9" i="4"/>
  <c r="CT35" i="7"/>
  <c r="CT48" i="7"/>
  <c r="CT18" i="7"/>
  <c r="CT22" i="7" s="1"/>
  <c r="AT20" i="7"/>
  <c r="J69" i="20" l="1"/>
  <c r="AT34" i="15"/>
  <c r="AT30" i="16" s="1"/>
  <c r="AW36" i="15"/>
  <c r="AW34" i="15" s="1"/>
  <c r="AW30" i="16" s="1"/>
  <c r="AW31" i="16" s="1"/>
  <c r="AW33" i="16" s="1"/>
  <c r="BL27" i="16"/>
  <c r="AT21" i="15"/>
  <c r="AW10" i="15"/>
  <c r="AW21" i="15" s="1"/>
  <c r="AW37" i="15" s="1"/>
  <c r="AW43" i="15" s="1"/>
  <c r="AW29" i="16"/>
  <c r="AW17" i="3"/>
  <c r="AW36" i="4"/>
  <c r="AW27" i="3"/>
  <c r="AW7" i="3"/>
  <c r="AW19" i="3"/>
  <c r="AT19" i="3"/>
  <c r="AW23" i="4"/>
  <c r="AT17" i="3"/>
  <c r="AT27" i="3"/>
  <c r="AT7" i="3"/>
  <c r="AT9" i="16"/>
  <c r="BL9" i="16" s="1"/>
  <c r="AT19" i="16"/>
  <c r="BL19" i="16" s="1"/>
  <c r="AT23" i="15"/>
  <c r="AT44" i="17"/>
  <c r="CT48" i="17"/>
  <c r="CT50" i="7"/>
  <c r="BL7" i="3" l="1"/>
  <c r="BL17" i="3"/>
  <c r="BL30" i="16"/>
  <c r="BL19" i="3"/>
  <c r="AW34" i="4"/>
  <c r="AW30" i="3" s="1"/>
  <c r="BL27" i="3"/>
  <c r="AT8" i="16"/>
  <c r="BY23" i="22"/>
  <c r="BX23" i="22"/>
  <c r="BW23" i="22"/>
  <c r="AT25" i="16" l="1"/>
  <c r="BL8" i="16"/>
  <c r="AT28" i="16"/>
  <c r="AF56" i="12"/>
  <c r="AE56" i="12"/>
  <c r="AD56" i="12"/>
  <c r="AC56" i="12"/>
  <c r="AB56" i="12"/>
  <c r="AA56" i="12"/>
  <c r="Y56" i="12"/>
  <c r="X56" i="12"/>
  <c r="W56" i="12"/>
  <c r="V56" i="12"/>
  <c r="T56" i="12"/>
  <c r="B56" i="12"/>
  <c r="F52" i="12"/>
  <c r="F56" i="12" s="1"/>
  <c r="K52" i="12"/>
  <c r="K53" i="12"/>
  <c r="C56" i="12"/>
  <c r="D56" i="12"/>
  <c r="E56" i="12"/>
  <c r="G56" i="12"/>
  <c r="H56" i="12"/>
  <c r="I56" i="12"/>
  <c r="J56" i="12"/>
  <c r="L56" i="12"/>
  <c r="M56" i="12"/>
  <c r="N56" i="12"/>
  <c r="O56" i="12"/>
  <c r="P56" i="12"/>
  <c r="R56" i="12"/>
  <c r="S56" i="12"/>
  <c r="AT29" i="16" l="1"/>
  <c r="BL28" i="16"/>
  <c r="BL29" i="16" s="1"/>
  <c r="AT26" i="16"/>
  <c r="BL25" i="16"/>
  <c r="Z56" i="12"/>
  <c r="AT31" i="16"/>
  <c r="U56" i="12"/>
  <c r="K56" i="12"/>
  <c r="AT42" i="7"/>
  <c r="AT26" i="7"/>
  <c r="BK9" i="4"/>
  <c r="BK24" i="4"/>
  <c r="BK23" i="4" s="1"/>
  <c r="AQ9" i="4"/>
  <c r="AS17" i="4"/>
  <c r="BJ9" i="4"/>
  <c r="AO9" i="4" s="1"/>
  <c r="AP24" i="4"/>
  <c r="AS27" i="15"/>
  <c r="AS28" i="15"/>
  <c r="AT33" i="16" l="1"/>
  <c r="BL33" i="16" s="1"/>
  <c r="BL31" i="16"/>
  <c r="AT17" i="4"/>
  <c r="AT44" i="7"/>
  <c r="AS33" i="15"/>
  <c r="AS30" i="15"/>
  <c r="AS41" i="4"/>
  <c r="AS40" i="4"/>
  <c r="AT16" i="3" l="1"/>
  <c r="AS39" i="4"/>
  <c r="AU17" i="4"/>
  <c r="M87" i="13"/>
  <c r="AU16" i="3" l="1"/>
  <c r="AV17" i="4"/>
  <c r="M89" i="13"/>
  <c r="M91" i="13" s="1"/>
  <c r="M93" i="13" s="1"/>
  <c r="AO36" i="15"/>
  <c r="AO35" i="15"/>
  <c r="AO20" i="15"/>
  <c r="AO18" i="15"/>
  <c r="AO17" i="15"/>
  <c r="AO16" i="15"/>
  <c r="AO15" i="15"/>
  <c r="AO14" i="15"/>
  <c r="BJ13" i="15"/>
  <c r="AO13" i="15" s="1"/>
  <c r="AV16" i="3" l="1"/>
  <c r="AW17" i="4"/>
  <c r="AW16" i="3" s="1"/>
  <c r="BL16" i="3" s="1"/>
  <c r="BJ9" i="15"/>
  <c r="AS12" i="15"/>
  <c r="AS20" i="15"/>
  <c r="AS18" i="16" s="1"/>
  <c r="AS18" i="15"/>
  <c r="AS17" i="16" s="1"/>
  <c r="AS17" i="15"/>
  <c r="AS16" i="15"/>
  <c r="AS15" i="16" s="1"/>
  <c r="AS15" i="15"/>
  <c r="AS14" i="16" s="1"/>
  <c r="AS14" i="15"/>
  <c r="AS13" i="16" s="1"/>
  <c r="AS13" i="15"/>
  <c r="AS12" i="16" s="1"/>
  <c r="BK10" i="15"/>
  <c r="BK39" i="15"/>
  <c r="BK35" i="15"/>
  <c r="AS24" i="15"/>
  <c r="BK19" i="15"/>
  <c r="CH34" i="17"/>
  <c r="CS46" i="17"/>
  <c r="CP46" i="17"/>
  <c r="CQ46" i="17"/>
  <c r="CR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BQ46" i="17"/>
  <c r="BR46" i="17"/>
  <c r="BS46" i="17"/>
  <c r="BT46" i="17"/>
  <c r="BU46" i="17"/>
  <c r="BV46" i="17"/>
  <c r="BW46" i="17"/>
  <c r="BX46" i="17"/>
  <c r="BY46" i="17"/>
  <c r="BZ46" i="17"/>
  <c r="CA46" i="17"/>
  <c r="CB46" i="17"/>
  <c r="CC46" i="17"/>
  <c r="CD46" i="17"/>
  <c r="CE46" i="17"/>
  <c r="CF46" i="17"/>
  <c r="CG46" i="17"/>
  <c r="CH46" i="17"/>
  <c r="CI46" i="17"/>
  <c r="CJ46" i="17"/>
  <c r="CK46" i="17"/>
  <c r="CL46" i="17"/>
  <c r="CM46" i="17"/>
  <c r="CN46" i="17"/>
  <c r="CO46" i="17"/>
  <c r="CO18" i="17"/>
  <c r="G73" i="21"/>
  <c r="G23" i="21"/>
  <c r="G43" i="21" s="1"/>
  <c r="BK32" i="15"/>
  <c r="AS32" i="15" s="1"/>
  <c r="BK31" i="15"/>
  <c r="AS31" i="15" s="1"/>
  <c r="AS10" i="3"/>
  <c r="AS13" i="4"/>
  <c r="AS14" i="4"/>
  <c r="AS13" i="3" s="1"/>
  <c r="AS15" i="4"/>
  <c r="AS14" i="3" s="1"/>
  <c r="AS16" i="3"/>
  <c r="AS20" i="4"/>
  <c r="AS12" i="4"/>
  <c r="AS11" i="3" s="1"/>
  <c r="M48" i="13"/>
  <c r="M46" i="13"/>
  <c r="M44" i="13"/>
  <c r="M43" i="13"/>
  <c r="M9" i="13"/>
  <c r="M10" i="13"/>
  <c r="M12" i="13"/>
  <c r="L78" i="13"/>
  <c r="L80" i="13" s="1"/>
  <c r="L82" i="13" s="1"/>
  <c r="L67" i="13"/>
  <c r="L69" i="13" s="1"/>
  <c r="L71" i="13" s="1"/>
  <c r="L56" i="13"/>
  <c r="L48" i="13"/>
  <c r="L46" i="13"/>
  <c r="L44" i="13"/>
  <c r="L43" i="13"/>
  <c r="L34" i="13"/>
  <c r="L36" i="13" s="1"/>
  <c r="L38" i="13" s="1"/>
  <c r="L22" i="13"/>
  <c r="L14" i="13"/>
  <c r="L12" i="13"/>
  <c r="L10" i="13"/>
  <c r="L9" i="13"/>
  <c r="CS34" i="17"/>
  <c r="CS18" i="17"/>
  <c r="CS21" i="17" s="1"/>
  <c r="L45" i="13" l="1"/>
  <c r="CS48" i="17"/>
  <c r="AS11" i="16"/>
  <c r="AS22" i="16"/>
  <c r="AS10" i="15"/>
  <c r="AS23" i="16"/>
  <c r="AS12" i="3"/>
  <c r="AS18" i="3"/>
  <c r="AS16" i="16"/>
  <c r="AS9" i="16" s="1"/>
  <c r="L11" i="13"/>
  <c r="BK21" i="15"/>
  <c r="L58" i="13"/>
  <c r="L24" i="13"/>
  <c r="L60" i="13" l="1"/>
  <c r="L49" i="13" s="1"/>
  <c r="L47" i="13"/>
  <c r="L13" i="13"/>
  <c r="L26" i="13"/>
  <c r="L15" i="13" s="1"/>
  <c r="AS19" i="17" l="1"/>
  <c r="AS25" i="17" s="1"/>
  <c r="AS41" i="17"/>
  <c r="H67" i="21"/>
  <c r="H23" i="21"/>
  <c r="BK35" i="4"/>
  <c r="BK36" i="4"/>
  <c r="BK19" i="4"/>
  <c r="BK39" i="4"/>
  <c r="AS44" i="17" l="1"/>
  <c r="BK34" i="4"/>
  <c r="CS48" i="7"/>
  <c r="CS35" i="7"/>
  <c r="CS18" i="7"/>
  <c r="AS42" i="7"/>
  <c r="AR20" i="7"/>
  <c r="AR26" i="7" s="1"/>
  <c r="AR42" i="7"/>
  <c r="CS22" i="7" l="1"/>
  <c r="CS50" i="7" s="1"/>
  <c r="AR44" i="7"/>
  <c r="AR9" i="4"/>
  <c r="AS9" i="4" l="1"/>
  <c r="AS7" i="3" s="1"/>
  <c r="H67" i="20"/>
  <c r="I67" i="20"/>
  <c r="H22" i="20"/>
  <c r="I22" i="20"/>
  <c r="I42" i="20" s="1"/>
  <c r="C23" i="22" l="1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R9" i="15" l="1"/>
  <c r="AR19" i="17"/>
  <c r="AS9" i="15" l="1"/>
  <c r="AR27" i="16"/>
  <c r="AS7" i="16" l="1"/>
  <c r="AR23" i="15"/>
  <c r="CR34" i="17" l="1"/>
  <c r="CR18" i="17"/>
  <c r="CR21" i="17" s="1"/>
  <c r="CR48" i="17" l="1"/>
  <c r="AR41" i="17"/>
  <c r="AR25" i="17"/>
  <c r="AR44" i="17" l="1"/>
  <c r="AR18" i="4" l="1"/>
  <c r="AR10" i="4" l="1"/>
  <c r="AS18" i="4"/>
  <c r="AS17" i="3" s="1"/>
  <c r="AR7" i="3"/>
  <c r="I74" i="20"/>
  <c r="I69" i="20"/>
  <c r="CR48" i="7"/>
  <c r="CR35" i="7"/>
  <c r="CR18" i="7"/>
  <c r="CR22" i="7" s="1"/>
  <c r="AS20" i="7"/>
  <c r="AS26" i="7" s="1"/>
  <c r="AR24" i="3"/>
  <c r="AR23" i="3"/>
  <c r="AR22" i="3"/>
  <c r="AR21" i="3"/>
  <c r="AR18" i="3"/>
  <c r="AR17" i="3"/>
  <c r="AR16" i="3"/>
  <c r="AR15" i="3"/>
  <c r="AR14" i="3"/>
  <c r="AR13" i="3"/>
  <c r="AR12" i="3"/>
  <c r="AR11" i="3"/>
  <c r="AR10" i="3"/>
  <c r="AR39" i="4"/>
  <c r="AR32" i="3" s="1"/>
  <c r="AR36" i="4"/>
  <c r="AR34" i="4" s="1"/>
  <c r="AR30" i="3" s="1"/>
  <c r="AR28" i="4"/>
  <c r="AR20" i="3" s="1"/>
  <c r="AR19" i="4"/>
  <c r="AR27" i="3" s="1"/>
  <c r="AR23" i="4" l="1"/>
  <c r="AR19" i="3"/>
  <c r="CR50" i="7"/>
  <c r="AS44" i="7"/>
  <c r="AR21" i="4"/>
  <c r="AR9" i="3"/>
  <c r="AR8" i="3" l="1"/>
  <c r="AR25" i="3" s="1"/>
  <c r="AR26" i="3" s="1"/>
  <c r="AR37" i="4"/>
  <c r="AR43" i="4" s="1"/>
  <c r="AR28" i="3" l="1"/>
  <c r="AR31" i="3" s="1"/>
  <c r="AR33" i="3" s="1"/>
  <c r="AR29" i="3" l="1"/>
  <c r="AR32" i="16"/>
  <c r="AR30" i="16"/>
  <c r="AR24" i="16"/>
  <c r="AR23" i="16"/>
  <c r="AR22" i="16"/>
  <c r="AR21" i="16"/>
  <c r="AR20" i="16"/>
  <c r="AR19" i="16"/>
  <c r="AR18" i="16"/>
  <c r="AR17" i="16"/>
  <c r="AR16" i="16"/>
  <c r="AR15" i="16"/>
  <c r="AR14" i="16"/>
  <c r="AR13" i="16"/>
  <c r="AR12" i="16"/>
  <c r="AR11" i="16"/>
  <c r="AR7" i="16"/>
  <c r="AS19" i="16"/>
  <c r="AS24" i="16"/>
  <c r="AQ19" i="15"/>
  <c r="AQ23" i="3"/>
  <c r="AQ22" i="3"/>
  <c r="AQ18" i="3"/>
  <c r="AQ17" i="3"/>
  <c r="AQ16" i="3"/>
  <c r="AQ15" i="3"/>
  <c r="AQ14" i="3"/>
  <c r="AQ13" i="3"/>
  <c r="AQ12" i="3"/>
  <c r="AQ11" i="3"/>
  <c r="AQ10" i="3"/>
  <c r="AQ7" i="3"/>
  <c r="AQ19" i="4"/>
  <c r="AQ39" i="4"/>
  <c r="AQ36" i="4"/>
  <c r="AQ35" i="4"/>
  <c r="AQ33" i="4"/>
  <c r="AQ30" i="4"/>
  <c r="AQ29" i="4"/>
  <c r="AQ28" i="4"/>
  <c r="AQ27" i="4"/>
  <c r="AQ26" i="4"/>
  <c r="AQ25" i="4"/>
  <c r="AS28" i="4" l="1"/>
  <c r="AQ27" i="3"/>
  <c r="AS26" i="4"/>
  <c r="AS27" i="4"/>
  <c r="AQ21" i="3"/>
  <c r="AS29" i="4"/>
  <c r="AS21" i="3" s="1"/>
  <c r="AS30" i="4"/>
  <c r="AQ24" i="3"/>
  <c r="AS33" i="4"/>
  <c r="AS24" i="3" s="1"/>
  <c r="AS35" i="4"/>
  <c r="AS25" i="4"/>
  <c r="AR9" i="16"/>
  <c r="AR8" i="16" s="1"/>
  <c r="AR25" i="16" s="1"/>
  <c r="AQ20" i="3"/>
  <c r="AQ9" i="3"/>
  <c r="AR10" i="15"/>
  <c r="AR21" i="15" s="1"/>
  <c r="AR37" i="15" s="1"/>
  <c r="AR43" i="15" s="1"/>
  <c r="AQ34" i="4"/>
  <c r="AQ10" i="4"/>
  <c r="AS20" i="3" l="1"/>
  <c r="AR28" i="16"/>
  <c r="AR31" i="16" s="1"/>
  <c r="AR33" i="16" s="1"/>
  <c r="AR26" i="16"/>
  <c r="AR29" i="16" l="1"/>
  <c r="CQ48" i="7"/>
  <c r="CQ35" i="7"/>
  <c r="CQ18" i="7"/>
  <c r="CQ22" i="7" s="1"/>
  <c r="AQ42" i="7"/>
  <c r="AQ20" i="7"/>
  <c r="AQ26" i="7" s="1"/>
  <c r="AQ32" i="3"/>
  <c r="AQ30" i="3"/>
  <c r="AQ21" i="4"/>
  <c r="H73" i="21"/>
  <c r="H53" i="21"/>
  <c r="H43" i="21"/>
  <c r="CQ50" i="7" l="1"/>
  <c r="H69" i="21"/>
  <c r="AQ44" i="7"/>
  <c r="AQ41" i="17" l="1"/>
  <c r="AQ19" i="17"/>
  <c r="AQ25" i="17" s="1"/>
  <c r="AQ44" i="17" l="1"/>
  <c r="CQ18" i="17"/>
  <c r="CQ34" i="17"/>
  <c r="AQ23" i="16"/>
  <c r="AQ22" i="16"/>
  <c r="AQ17" i="16"/>
  <c r="AQ16" i="16"/>
  <c r="AQ15" i="16"/>
  <c r="AQ14" i="16"/>
  <c r="AQ13" i="16"/>
  <c r="AQ12" i="16"/>
  <c r="AQ11" i="16"/>
  <c r="AQ24" i="16"/>
  <c r="AQ21" i="16"/>
  <c r="AQ19" i="16"/>
  <c r="AQ23" i="15" l="1"/>
  <c r="AQ18" i="16"/>
  <c r="AQ20" i="16"/>
  <c r="AQ32" i="16"/>
  <c r="AQ9" i="16"/>
  <c r="CQ21" i="17"/>
  <c r="CQ48" i="17" s="1"/>
  <c r="AQ30" i="16"/>
  <c r="AQ27" i="16"/>
  <c r="AQ10" i="15"/>
  <c r="AQ7" i="16"/>
  <c r="AQ8" i="16" l="1"/>
  <c r="AQ21" i="15"/>
  <c r="AQ25" i="16" l="1"/>
  <c r="AQ28" i="16" s="1"/>
  <c r="AQ37" i="15"/>
  <c r="AQ43" i="15" s="1"/>
  <c r="AS39" i="15"/>
  <c r="AS34" i="15"/>
  <c r="AS30" i="16" s="1"/>
  <c r="AS29" i="15"/>
  <c r="AS26" i="15"/>
  <c r="AS25" i="15"/>
  <c r="AQ26" i="16" l="1"/>
  <c r="AS23" i="15"/>
  <c r="AS21" i="16"/>
  <c r="AS32" i="16"/>
  <c r="AS20" i="16"/>
  <c r="AQ29" i="16"/>
  <c r="AQ31" i="16"/>
  <c r="AP17" i="16"/>
  <c r="BK17" i="16" s="1"/>
  <c r="AP16" i="16"/>
  <c r="BK16" i="16" s="1"/>
  <c r="AP15" i="16"/>
  <c r="BK15" i="16" s="1"/>
  <c r="AP14" i="16"/>
  <c r="BK14" i="16" s="1"/>
  <c r="AP13" i="16"/>
  <c r="BK13" i="16" s="1"/>
  <c r="AP12" i="16"/>
  <c r="BK12" i="16" s="1"/>
  <c r="AP11" i="16"/>
  <c r="BK11" i="16" s="1"/>
  <c r="AQ33" i="16" l="1"/>
  <c r="AS8" i="16"/>
  <c r="AP19" i="15"/>
  <c r="AS19" i="15" s="1"/>
  <c r="AS25" i="16" l="1"/>
  <c r="AS21" i="15"/>
  <c r="AS37" i="15" s="1"/>
  <c r="AS43" i="15" s="1"/>
  <c r="AS27" i="16"/>
  <c r="CP48" i="7"/>
  <c r="CP35" i="7"/>
  <c r="CP18" i="7"/>
  <c r="CP22" i="7" s="1"/>
  <c r="AP42" i="7"/>
  <c r="AP20" i="7"/>
  <c r="AP26" i="7" s="1"/>
  <c r="AP24" i="3"/>
  <c r="BK24" i="3" s="1"/>
  <c r="AP21" i="3"/>
  <c r="BK21" i="3" s="1"/>
  <c r="AP20" i="3"/>
  <c r="BK20" i="3" s="1"/>
  <c r="AP18" i="3"/>
  <c r="BK18" i="3" s="1"/>
  <c r="AP17" i="3"/>
  <c r="BK17" i="3" s="1"/>
  <c r="AP16" i="3"/>
  <c r="BK16" i="3" s="1"/>
  <c r="AP14" i="3"/>
  <c r="BK14" i="3" s="1"/>
  <c r="AP13" i="3"/>
  <c r="BK13" i="3" s="1"/>
  <c r="AP12" i="3"/>
  <c r="BK12" i="3" s="1"/>
  <c r="AP11" i="3"/>
  <c r="BK11" i="3" s="1"/>
  <c r="AP7" i="3"/>
  <c r="BK7" i="3" s="1"/>
  <c r="AP39" i="4"/>
  <c r="AP19" i="4"/>
  <c r="AS28" i="16" l="1"/>
  <c r="AS31" i="16" s="1"/>
  <c r="AS26" i="16"/>
  <c r="BL26" i="16"/>
  <c r="AT37" i="15"/>
  <c r="AT43" i="15" s="1"/>
  <c r="AP27" i="3"/>
  <c r="AS19" i="4"/>
  <c r="AP32" i="3"/>
  <c r="AP34" i="4"/>
  <c r="AP30" i="3" s="1"/>
  <c r="AS36" i="4"/>
  <c r="AP44" i="7"/>
  <c r="CP50" i="7"/>
  <c r="AS29" i="16" l="1"/>
  <c r="AS33" i="16"/>
  <c r="AS32" i="3"/>
  <c r="AT34" i="4"/>
  <c r="AT30" i="3" s="1"/>
  <c r="BL30" i="3" s="1"/>
  <c r="AS34" i="4"/>
  <c r="AS30" i="3" s="1"/>
  <c r="AS27" i="3"/>
  <c r="CP34" i="17"/>
  <c r="BK27" i="3" l="1"/>
  <c r="BK30" i="3"/>
  <c r="BK32" i="3"/>
  <c r="AP41" i="17"/>
  <c r="AP19" i="17" l="1"/>
  <c r="AP25" i="17" s="1"/>
  <c r="AP44" i="17" s="1"/>
  <c r="CP18" i="17"/>
  <c r="CP21" i="17" s="1"/>
  <c r="CP48" i="17" s="1"/>
  <c r="AP23" i="16"/>
  <c r="BK23" i="16" s="1"/>
  <c r="AP22" i="16"/>
  <c r="BK22" i="16" s="1"/>
  <c r="AP9" i="16"/>
  <c r="BK9" i="16" s="1"/>
  <c r="AP24" i="16"/>
  <c r="BK24" i="16" s="1"/>
  <c r="AP27" i="16"/>
  <c r="BK27" i="16" s="1"/>
  <c r="AP21" i="16"/>
  <c r="BK21" i="16" s="1"/>
  <c r="AP19" i="16"/>
  <c r="BK19" i="16" s="1"/>
  <c r="AP18" i="16"/>
  <c r="BK18" i="16" s="1"/>
  <c r="AP10" i="15"/>
  <c r="AP7" i="16"/>
  <c r="BK7" i="16" s="1"/>
  <c r="AP20" i="16" l="1"/>
  <c r="AP8" i="16" l="1"/>
  <c r="BK20" i="16"/>
  <c r="AP32" i="16"/>
  <c r="BK32" i="16" s="1"/>
  <c r="AP30" i="16"/>
  <c r="BK30" i="16" s="1"/>
  <c r="AP23" i="15"/>
  <c r="AP21" i="15"/>
  <c r="AN18" i="16"/>
  <c r="AM18" i="16"/>
  <c r="AN19" i="16"/>
  <c r="AM19" i="16"/>
  <c r="AN21" i="16"/>
  <c r="AM21" i="16"/>
  <c r="AM24" i="16"/>
  <c r="AM17" i="16"/>
  <c r="AN17" i="16"/>
  <c r="AM16" i="16"/>
  <c r="AN16" i="16"/>
  <c r="AM15" i="16"/>
  <c r="AN15" i="16"/>
  <c r="AM14" i="16"/>
  <c r="AN14" i="16"/>
  <c r="AM13" i="16"/>
  <c r="AN13" i="16"/>
  <c r="AM11" i="16"/>
  <c r="AN11" i="16"/>
  <c r="AM12" i="16"/>
  <c r="AN12" i="16"/>
  <c r="AN33" i="15"/>
  <c r="AO18" i="16"/>
  <c r="AO17" i="16"/>
  <c r="AO16" i="16"/>
  <c r="AO15" i="16"/>
  <c r="AO14" i="16"/>
  <c r="AO13" i="16"/>
  <c r="AO12" i="16"/>
  <c r="AP25" i="16" l="1"/>
  <c r="BK8" i="16"/>
  <c r="AN24" i="16"/>
  <c r="AO33" i="15"/>
  <c r="AO24" i="16" s="1"/>
  <c r="AP37" i="15"/>
  <c r="AP43" i="15" s="1"/>
  <c r="AN9" i="16"/>
  <c r="AL39" i="15"/>
  <c r="AL19" i="15"/>
  <c r="AN19" i="15"/>
  <c r="AN27" i="16" s="1"/>
  <c r="AL10" i="15"/>
  <c r="AN10" i="15"/>
  <c r="AO19" i="15" l="1"/>
  <c r="BK25" i="16"/>
  <c r="AP26" i="16"/>
  <c r="AP28" i="16"/>
  <c r="M34" i="13"/>
  <c r="M36" i="13" s="1"/>
  <c r="M38" i="13" s="1"/>
  <c r="M22" i="13"/>
  <c r="M11" i="13" s="1"/>
  <c r="K22" i="13"/>
  <c r="M78" i="13"/>
  <c r="M80" i="13" s="1"/>
  <c r="M82" i="13" s="1"/>
  <c r="M67" i="13"/>
  <c r="M56" i="13"/>
  <c r="M58" i="13" s="1"/>
  <c r="M14" i="13"/>
  <c r="BK28" i="16" l="1"/>
  <c r="AP31" i="16"/>
  <c r="AP29" i="16"/>
  <c r="M45" i="13"/>
  <c r="M24" i="13"/>
  <c r="M26" i="13" s="1"/>
  <c r="M15" i="13" s="1"/>
  <c r="M69" i="13"/>
  <c r="M71" i="13" s="1"/>
  <c r="M13" i="13" l="1"/>
  <c r="AP33" i="16"/>
  <c r="BK33" i="16" s="1"/>
  <c r="BK31" i="16"/>
  <c r="M47" i="13"/>
  <c r="M60" i="13"/>
  <c r="M49" i="13" s="1"/>
  <c r="AI19" i="12"/>
  <c r="AH19" i="12"/>
  <c r="AE19" i="12" l="1"/>
  <c r="H74" i="20" l="1"/>
  <c r="H52" i="20"/>
  <c r="H42" i="20"/>
  <c r="CO48" i="7"/>
  <c r="CO35" i="7"/>
  <c r="CO18" i="7"/>
  <c r="CO22" i="7" s="1"/>
  <c r="H69" i="20" l="1"/>
  <c r="CO50" i="7"/>
  <c r="AO42" i="7"/>
  <c r="AO20" i="7"/>
  <c r="AO26" i="7" s="1"/>
  <c r="AO40" i="4"/>
  <c r="BJ36" i="4"/>
  <c r="BJ19" i="4"/>
  <c r="AO7" i="3"/>
  <c r="BJ23" i="4"/>
  <c r="AO24" i="4"/>
  <c r="AO19" i="3" s="1"/>
  <c r="AO41" i="4"/>
  <c r="AO35" i="4"/>
  <c r="AO33" i="4"/>
  <c r="AO24" i="3" s="1"/>
  <c r="AO32" i="4"/>
  <c r="AP32" i="4" s="1"/>
  <c r="AO31" i="4"/>
  <c r="AP31" i="4" s="1"/>
  <c r="AO30" i="4"/>
  <c r="AO29" i="4"/>
  <c r="AO21" i="3" s="1"/>
  <c r="AO28" i="4"/>
  <c r="AO27" i="4"/>
  <c r="AO26" i="4"/>
  <c r="AO25" i="4"/>
  <c r="AN10" i="4"/>
  <c r="AO12" i="4"/>
  <c r="AO11" i="3" s="1"/>
  <c r="AO13" i="4"/>
  <c r="AO12" i="3" s="1"/>
  <c r="AO14" i="4"/>
  <c r="AO13" i="3" s="1"/>
  <c r="AO15" i="4"/>
  <c r="AO14" i="3" s="1"/>
  <c r="AO17" i="4"/>
  <c r="AO16" i="3" s="1"/>
  <c r="AO18" i="4"/>
  <c r="AO17" i="3" s="1"/>
  <c r="AO20" i="4"/>
  <c r="AO18" i="3" s="1"/>
  <c r="BJ39" i="4"/>
  <c r="AP22" i="3" l="1"/>
  <c r="AS32" i="4"/>
  <c r="AP23" i="3"/>
  <c r="AS31" i="4"/>
  <c r="AO20" i="3"/>
  <c r="AO39" i="4"/>
  <c r="AO32" i="3" s="1"/>
  <c r="AO22" i="3"/>
  <c r="AO23" i="3"/>
  <c r="AO44" i="7"/>
  <c r="BJ34" i="4"/>
  <c r="AO23" i="4"/>
  <c r="BJ31" i="15"/>
  <c r="BJ32" i="15"/>
  <c r="AO23" i="16"/>
  <c r="AO22" i="16"/>
  <c r="AO7" i="16"/>
  <c r="AT22" i="3" l="1"/>
  <c r="AS22" i="3"/>
  <c r="AT23" i="3"/>
  <c r="AS23" i="3"/>
  <c r="BJ39" i="15"/>
  <c r="BJ34" i="15"/>
  <c r="BK34" i="15"/>
  <c r="AO41" i="17"/>
  <c r="CO21" i="17"/>
  <c r="CO34" i="17"/>
  <c r="AO32" i="16"/>
  <c r="AO34" i="15"/>
  <c r="AO30" i="16" s="1"/>
  <c r="BK22" i="3" l="1"/>
  <c r="BK23" i="3"/>
  <c r="CO48" i="17"/>
  <c r="BK23" i="15"/>
  <c r="BK37" i="15" s="1"/>
  <c r="AU22" i="3" l="1"/>
  <c r="BL22" i="3" s="1"/>
  <c r="AU23" i="3"/>
  <c r="BL23" i="3" s="1"/>
  <c r="BK43" i="15"/>
  <c r="AO19" i="17"/>
  <c r="AO25" i="17" s="1"/>
  <c r="AO44" i="17" s="1"/>
  <c r="AL19" i="17"/>
  <c r="AL25" i="17" s="1"/>
  <c r="AK19" i="17"/>
  <c r="AK25" i="17" s="1"/>
  <c r="AJ19" i="17"/>
  <c r="AJ25" i="17" s="1"/>
  <c r="AI19" i="17"/>
  <c r="AI25" i="17" s="1"/>
  <c r="AH19" i="17"/>
  <c r="AH25" i="17" s="1"/>
  <c r="AG19" i="17"/>
  <c r="AG25" i="17" s="1"/>
  <c r="AF19" i="17"/>
  <c r="AF25" i="17" s="1"/>
  <c r="AE19" i="17"/>
  <c r="AE25" i="17" s="1"/>
  <c r="AD19" i="17"/>
  <c r="AD25" i="17" s="1"/>
  <c r="AC19" i="17"/>
  <c r="AC25" i="17" s="1"/>
  <c r="AB19" i="17"/>
  <c r="AB25" i="17" s="1"/>
  <c r="AA19" i="17"/>
  <c r="AA25" i="17" s="1"/>
  <c r="Z19" i="17"/>
  <c r="Z25" i="17" s="1"/>
  <c r="Y19" i="17"/>
  <c r="Y25" i="17" s="1"/>
  <c r="X19" i="17"/>
  <c r="X25" i="17" s="1"/>
  <c r="W19" i="17"/>
  <c r="W25" i="17" s="1"/>
  <c r="V19" i="17"/>
  <c r="V25" i="17" s="1"/>
  <c r="U19" i="17"/>
  <c r="U25" i="17" s="1"/>
  <c r="T19" i="17"/>
  <c r="T25" i="17" s="1"/>
  <c r="S19" i="17"/>
  <c r="S25" i="17" s="1"/>
  <c r="R19" i="17"/>
  <c r="R25" i="17" s="1"/>
  <c r="Q19" i="17"/>
  <c r="Q25" i="17" s="1"/>
  <c r="P19" i="17"/>
  <c r="P25" i="17" s="1"/>
  <c r="O19" i="17"/>
  <c r="O25" i="17" s="1"/>
  <c r="N19" i="17"/>
  <c r="N25" i="17" s="1"/>
  <c r="M19" i="17"/>
  <c r="M25" i="17" s="1"/>
  <c r="L19" i="17"/>
  <c r="L25" i="17" s="1"/>
  <c r="K19" i="17"/>
  <c r="K25" i="17" s="1"/>
  <c r="J19" i="17"/>
  <c r="J25" i="17" s="1"/>
  <c r="I19" i="17"/>
  <c r="I25" i="17" s="1"/>
  <c r="H19" i="17"/>
  <c r="H25" i="17" s="1"/>
  <c r="G19" i="17"/>
  <c r="G25" i="17" s="1"/>
  <c r="F19" i="17"/>
  <c r="F25" i="17" s="1"/>
  <c r="E19" i="17"/>
  <c r="E25" i="17" s="1"/>
  <c r="D19" i="17"/>
  <c r="D25" i="17" s="1"/>
  <c r="C19" i="17"/>
  <c r="C25" i="17" s="1"/>
  <c r="B19" i="17"/>
  <c r="B25" i="17" s="1"/>
  <c r="AM19" i="17"/>
  <c r="AM25" i="17" s="1"/>
  <c r="AG41" i="17"/>
  <c r="AI41" i="17"/>
  <c r="AJ41" i="17"/>
  <c r="AK41" i="17"/>
  <c r="AH41" i="17"/>
  <c r="AL41" i="17"/>
  <c r="AM41" i="17"/>
  <c r="AE39" i="15" l="1"/>
  <c r="AF39" i="15"/>
  <c r="AG39" i="15"/>
  <c r="AH39" i="15"/>
  <c r="AI39" i="15"/>
  <c r="AD39" i="15"/>
  <c r="AC39" i="15"/>
  <c r="AB39" i="15"/>
  <c r="AA39" i="15"/>
  <c r="Z39" i="15"/>
  <c r="Y39" i="15"/>
  <c r="X39" i="15"/>
  <c r="W39" i="15"/>
  <c r="V39" i="15"/>
  <c r="V34" i="15"/>
  <c r="W34" i="15"/>
  <c r="X34" i="15"/>
  <c r="Y34" i="15"/>
  <c r="Z34" i="15"/>
  <c r="AA34" i="15"/>
  <c r="AB34" i="15"/>
  <c r="AC34" i="15"/>
  <c r="AD34" i="15"/>
  <c r="AF34" i="15"/>
  <c r="AG34" i="15"/>
  <c r="AH34" i="15"/>
  <c r="AI34" i="15"/>
  <c r="AL34" i="15"/>
  <c r="AM34" i="15"/>
  <c r="BA11" i="15"/>
  <c r="B10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I10" i="15"/>
  <c r="AJ10" i="15"/>
  <c r="AK10" i="15"/>
  <c r="AM10" i="15"/>
  <c r="AH10" i="15"/>
  <c r="AG10" i="15"/>
  <c r="AM24" i="3"/>
  <c r="AN24" i="3"/>
  <c r="AM23" i="3"/>
  <c r="AN23" i="3"/>
  <c r="AM22" i="3"/>
  <c r="AN22" i="3"/>
  <c r="AM21" i="3"/>
  <c r="AN21" i="3"/>
  <c r="AM20" i="3"/>
  <c r="AN20" i="3"/>
  <c r="AM19" i="3"/>
  <c r="AN19" i="3"/>
  <c r="AM18" i="3"/>
  <c r="AN18" i="3"/>
  <c r="AM17" i="3"/>
  <c r="AN17" i="3"/>
  <c r="AM16" i="3"/>
  <c r="AN16" i="3"/>
  <c r="AM15" i="3"/>
  <c r="AN15" i="3"/>
  <c r="AM14" i="3"/>
  <c r="AN14" i="3"/>
  <c r="AM13" i="3"/>
  <c r="AN13" i="3"/>
  <c r="AM12" i="3"/>
  <c r="AN12" i="3"/>
  <c r="AM11" i="3"/>
  <c r="AN11" i="3"/>
  <c r="AM10" i="3"/>
  <c r="AN10" i="3"/>
  <c r="AL21" i="3"/>
  <c r="AN36" i="4"/>
  <c r="AN34" i="4" s="1"/>
  <c r="AN30" i="3" s="1"/>
  <c r="AN23" i="4"/>
  <c r="AN21" i="4"/>
  <c r="BJ21" i="3" l="1"/>
  <c r="AN9" i="3"/>
  <c r="AN8" i="3" s="1"/>
  <c r="AN25" i="3" s="1"/>
  <c r="AN26" i="3" s="1"/>
  <c r="AM9" i="3"/>
  <c r="AM8" i="3" l="1"/>
  <c r="AN41" i="17"/>
  <c r="AN39" i="4"/>
  <c r="AN32" i="3" s="1"/>
  <c r="AN37" i="4"/>
  <c r="AM25" i="3" l="1"/>
  <c r="AN21" i="15"/>
  <c r="AN7" i="16"/>
  <c r="AN19" i="17"/>
  <c r="AN25" i="17" s="1"/>
  <c r="AN44" i="17" s="1"/>
  <c r="AM26" i="3" l="1"/>
  <c r="CN35" i="7"/>
  <c r="CM48" i="7"/>
  <c r="CM35" i="7"/>
  <c r="CM18" i="7"/>
  <c r="CM22" i="7" s="1"/>
  <c r="AM42" i="7"/>
  <c r="AM20" i="7"/>
  <c r="AM26" i="7" s="1"/>
  <c r="BJ11" i="4"/>
  <c r="BJ16" i="4"/>
  <c r="AO16" i="4" s="1"/>
  <c r="AM39" i="4"/>
  <c r="AM32" i="3" s="1"/>
  <c r="AM36" i="4"/>
  <c r="AM34" i="4" s="1"/>
  <c r="AM30" i="3" s="1"/>
  <c r="AM23" i="4"/>
  <c r="AM19" i="4"/>
  <c r="AM27" i="3" s="1"/>
  <c r="AM10" i="4"/>
  <c r="CN18" i="17"/>
  <c r="CN21" i="17" s="1"/>
  <c r="CN34" i="17"/>
  <c r="BK16" i="4" l="1"/>
  <c r="CN48" i="17"/>
  <c r="AM28" i="3"/>
  <c r="AM29" i="3" s="1"/>
  <c r="AO15" i="3"/>
  <c r="BJ10" i="4"/>
  <c r="BJ21" i="4" s="1"/>
  <c r="BJ37" i="4" s="1"/>
  <c r="BJ43" i="4" s="1"/>
  <c r="AO11" i="4"/>
  <c r="AM21" i="4"/>
  <c r="AM37" i="4" s="1"/>
  <c r="AM43" i="4" s="1"/>
  <c r="CM50" i="7"/>
  <c r="AM44" i="7"/>
  <c r="AP16" i="4" l="1"/>
  <c r="AP15" i="3" s="1"/>
  <c r="AO10" i="4"/>
  <c r="AM31" i="3"/>
  <c r="AM33" i="3" s="1"/>
  <c r="BK11" i="4"/>
  <c r="BK10" i="4" s="1"/>
  <c r="BK21" i="4" s="1"/>
  <c r="BK37" i="4" s="1"/>
  <c r="AO10" i="3"/>
  <c r="BL16" i="4" l="1"/>
  <c r="AS16" i="4"/>
  <c r="BK43" i="4"/>
  <c r="AP11" i="4"/>
  <c r="BL11" i="4" s="1"/>
  <c r="AO9" i="3"/>
  <c r="AN34" i="15"/>
  <c r="AN30" i="16" s="1"/>
  <c r="AS10" i="4" l="1"/>
  <c r="AS21" i="4" s="1"/>
  <c r="AS15" i="3"/>
  <c r="BL10" i="4"/>
  <c r="BL21" i="4" s="1"/>
  <c r="BL37" i="4" s="1"/>
  <c r="BL43" i="4" s="1"/>
  <c r="AW11" i="4"/>
  <c r="AT16" i="4"/>
  <c r="AP10" i="4"/>
  <c r="AP21" i="4" s="1"/>
  <c r="AP10" i="3"/>
  <c r="BK10" i="3" s="1"/>
  <c r="AO8" i="3"/>
  <c r="AN39" i="15"/>
  <c r="AN32" i="16" s="1"/>
  <c r="G67" i="21"/>
  <c r="G53" i="21"/>
  <c r="AT15" i="3" l="1"/>
  <c r="AT10" i="4"/>
  <c r="AT21" i="4" s="1"/>
  <c r="AU16" i="4"/>
  <c r="AW10" i="3"/>
  <c r="BK15" i="3"/>
  <c r="AS9" i="3"/>
  <c r="G69" i="21"/>
  <c r="AP9" i="3"/>
  <c r="AO25" i="3"/>
  <c r="AN27" i="3"/>
  <c r="CN48" i="7"/>
  <c r="CN18" i="7"/>
  <c r="CN22" i="7" s="1"/>
  <c r="CN50" i="7" s="1"/>
  <c r="BK9" i="3" l="1"/>
  <c r="BL10" i="3"/>
  <c r="AV16" i="4"/>
  <c r="AU10" i="4"/>
  <c r="AU21" i="4" s="1"/>
  <c r="AU37" i="4" s="1"/>
  <c r="AU43" i="4" s="1"/>
  <c r="AU15" i="3"/>
  <c r="AU9" i="3" s="1"/>
  <c r="AU8" i="3" s="1"/>
  <c r="AU25" i="3" s="1"/>
  <c r="AT9" i="3"/>
  <c r="AO26" i="3"/>
  <c r="AL23" i="4"/>
  <c r="AU28" i="3" l="1"/>
  <c r="AU26" i="3"/>
  <c r="AT8" i="3"/>
  <c r="AV15" i="3"/>
  <c r="AV10" i="4"/>
  <c r="AV21" i="4" s="1"/>
  <c r="AV37" i="4" s="1"/>
  <c r="AV43" i="4" s="1"/>
  <c r="AW16" i="4"/>
  <c r="AY10" i="4" s="1"/>
  <c r="AY21" i="4" s="1"/>
  <c r="AY37" i="4" s="1"/>
  <c r="AY43" i="4" s="1"/>
  <c r="AN28" i="3"/>
  <c r="AM9" i="16"/>
  <c r="AW15" i="3" l="1"/>
  <c r="AW9" i="3" s="1"/>
  <c r="AW8" i="3" s="1"/>
  <c r="AW25" i="3" s="1"/>
  <c r="AW10" i="4"/>
  <c r="AW21" i="4" s="1"/>
  <c r="AW37" i="4" s="1"/>
  <c r="AW43" i="4" s="1"/>
  <c r="AX10" i="4"/>
  <c r="AX21" i="4" s="1"/>
  <c r="AV9" i="3"/>
  <c r="AT25" i="3"/>
  <c r="AU31" i="3"/>
  <c r="AU33" i="3" s="1"/>
  <c r="AU29" i="3"/>
  <c r="AN31" i="3"/>
  <c r="AN33" i="3" s="1"/>
  <c r="AN29" i="3"/>
  <c r="BL15" i="3" l="1"/>
  <c r="AX37" i="4"/>
  <c r="AX43" i="4" s="1"/>
  <c r="AV8" i="3"/>
  <c r="BL9" i="3"/>
  <c r="AT26" i="3"/>
  <c r="AT28" i="3"/>
  <c r="AW28" i="3"/>
  <c r="AW26" i="3"/>
  <c r="AL15" i="16"/>
  <c r="BJ15" i="16" s="1"/>
  <c r="AW29" i="3" l="1"/>
  <c r="AW31" i="3"/>
  <c r="AW33" i="3" s="1"/>
  <c r="AT31" i="3"/>
  <c r="AT29" i="3"/>
  <c r="AV25" i="3"/>
  <c r="BL8" i="3"/>
  <c r="AL7" i="16"/>
  <c r="BJ7" i="16" s="1"/>
  <c r="AV26" i="3" l="1"/>
  <c r="AV28" i="3"/>
  <c r="BL25" i="3"/>
  <c r="BL26" i="3" s="1"/>
  <c r="AT33" i="3"/>
  <c r="CM34" i="17"/>
  <c r="CM18" i="17"/>
  <c r="AV31" i="3" l="1"/>
  <c r="AV29" i="3"/>
  <c r="BL28" i="3"/>
  <c r="BL29" i="3" s="1"/>
  <c r="AG19" i="12"/>
  <c r="AV33" i="3" l="1"/>
  <c r="BL33" i="3" s="1"/>
  <c r="BL31" i="3"/>
  <c r="CM21" i="17"/>
  <c r="CM48" i="17" s="1"/>
  <c r="AN20" i="7"/>
  <c r="AN26" i="7" s="1"/>
  <c r="AN42" i="7"/>
  <c r="BB2" i="22"/>
  <c r="BC2" i="22" s="1"/>
  <c r="BD2" i="22" s="1"/>
  <c r="BE2" i="22" s="1"/>
  <c r="BF2" i="22" s="1"/>
  <c r="BG2" i="22" s="1"/>
  <c r="BH2" i="22" s="1"/>
  <c r="BI2" i="22" s="1"/>
  <c r="BJ2" i="22" s="1"/>
  <c r="BK2" i="22" s="1"/>
  <c r="BL2" i="22" s="1"/>
  <c r="BM2" i="22" s="1"/>
  <c r="BN2" i="22" s="1"/>
  <c r="BO2" i="22" s="1"/>
  <c r="BP2" i="22" s="1"/>
  <c r="BQ2" i="22" s="1"/>
  <c r="BR2" i="22" s="1"/>
  <c r="BS2" i="22" s="1"/>
  <c r="BT2" i="22" s="1"/>
  <c r="BU2" i="22" s="1"/>
  <c r="BV2" i="22" s="1"/>
  <c r="BW2" i="22" s="1"/>
  <c r="BX2" i="22" s="1"/>
  <c r="BY2" i="22" s="1"/>
  <c r="BB16" i="22"/>
  <c r="BC16" i="22" s="1"/>
  <c r="BD16" i="22" s="1"/>
  <c r="BE16" i="22" s="1"/>
  <c r="BF16" i="22" s="1"/>
  <c r="BG16" i="22" s="1"/>
  <c r="BH16" i="22" s="1"/>
  <c r="BI16" i="22" s="1"/>
  <c r="BJ16" i="22" s="1"/>
  <c r="BK16" i="22" s="1"/>
  <c r="BL16" i="22" s="1"/>
  <c r="BM16" i="22" s="1"/>
  <c r="BN16" i="22" s="1"/>
  <c r="BO16" i="22" s="1"/>
  <c r="BP16" i="22" s="1"/>
  <c r="BQ16" i="22" s="1"/>
  <c r="BR16" i="22" s="1"/>
  <c r="BS16" i="22" s="1"/>
  <c r="BT16" i="22" s="1"/>
  <c r="BU16" i="22" s="1"/>
  <c r="BV16" i="22" s="1"/>
  <c r="BW16" i="22" s="1"/>
  <c r="BX16" i="22" s="1"/>
  <c r="BY16" i="22" s="1"/>
  <c r="BZ16" i="22" s="1"/>
  <c r="CA16" i="22" s="1"/>
  <c r="CB16" i="22" s="1"/>
  <c r="CC16" i="22" s="1"/>
  <c r="CD16" i="22" s="1"/>
  <c r="CE16" i="22" s="1"/>
  <c r="CF16" i="22" s="1"/>
  <c r="CG16" i="22" s="1"/>
  <c r="CH16" i="22" s="1"/>
  <c r="CI16" i="22" s="1"/>
  <c r="CJ16" i="22" s="1"/>
  <c r="CK16" i="22" s="1"/>
  <c r="CL16" i="22" s="1"/>
  <c r="CM16" i="22" s="1"/>
  <c r="CN16" i="22" s="1"/>
  <c r="AL14" i="16"/>
  <c r="BJ14" i="16" s="1"/>
  <c r="AK11" i="16"/>
  <c r="AL11" i="16"/>
  <c r="BZ2" i="22" l="1"/>
  <c r="CA2" i="22" s="1"/>
  <c r="CB2" i="22" s="1"/>
  <c r="CC2" i="22" s="1"/>
  <c r="CD2" i="22" s="1"/>
  <c r="CE2" i="22" s="1"/>
  <c r="CF2" i="22" s="1"/>
  <c r="CG2" i="22" s="1"/>
  <c r="CH2" i="22" s="1"/>
  <c r="CI2" i="22" s="1"/>
  <c r="CJ2" i="22" s="1"/>
  <c r="CK2" i="22" s="1"/>
  <c r="CL2" i="22" s="1"/>
  <c r="CM2" i="22" s="1"/>
  <c r="CN2" i="22" s="1"/>
  <c r="AM44" i="17"/>
  <c r="AN44" i="7"/>
  <c r="AM27" i="16" l="1"/>
  <c r="AM39" i="15" l="1"/>
  <c r="AM23" i="15"/>
  <c r="AM20" i="16"/>
  <c r="AM30" i="16"/>
  <c r="AM32" i="16" l="1"/>
  <c r="AL17" i="16"/>
  <c r="BJ17" i="16" s="1"/>
  <c r="AM8" i="16" l="1"/>
  <c r="AM21" i="15"/>
  <c r="K34" i="13"/>
  <c r="K11" i="13" s="1"/>
  <c r="AM37" i="15" l="1"/>
  <c r="AM43" i="15" s="1"/>
  <c r="AL19" i="3"/>
  <c r="BJ19" i="3" s="1"/>
  <c r="AL7" i="3"/>
  <c r="BJ7" i="3" s="1"/>
  <c r="AL10" i="3"/>
  <c r="BJ10" i="3" s="1"/>
  <c r="AL11" i="3"/>
  <c r="BJ11" i="3" s="1"/>
  <c r="AL12" i="3"/>
  <c r="BJ12" i="3" s="1"/>
  <c r="AL13" i="3"/>
  <c r="BJ13" i="3" s="1"/>
  <c r="AL14" i="3"/>
  <c r="BJ14" i="3" s="1"/>
  <c r="AL15" i="3"/>
  <c r="BJ15" i="3" s="1"/>
  <c r="AL16" i="3"/>
  <c r="BJ16" i="3" s="1"/>
  <c r="AL17" i="3"/>
  <c r="BJ17" i="3" s="1"/>
  <c r="AL18" i="3"/>
  <c r="BJ18" i="3" s="1"/>
  <c r="AL20" i="3"/>
  <c r="BJ20" i="3" s="1"/>
  <c r="AL22" i="3"/>
  <c r="BJ22" i="3" s="1"/>
  <c r="AL23" i="3"/>
  <c r="BJ23" i="3" s="1"/>
  <c r="AL24" i="3"/>
  <c r="BJ24" i="3" s="1"/>
  <c r="AL36" i="4"/>
  <c r="AO36" i="4" s="1"/>
  <c r="AO34" i="4" s="1"/>
  <c r="AJ35" i="4"/>
  <c r="AJ36" i="4"/>
  <c r="AL19" i="4"/>
  <c r="AO19" i="4" s="1"/>
  <c r="AI23" i="4"/>
  <c r="AL39" i="4"/>
  <c r="AJ39" i="4"/>
  <c r="AL10" i="4"/>
  <c r="CL48" i="7"/>
  <c r="CL35" i="7"/>
  <c r="CL18" i="7"/>
  <c r="CL22" i="7" s="1"/>
  <c r="AL42" i="7"/>
  <c r="CK18" i="7"/>
  <c r="CK22" i="7" s="1"/>
  <c r="CK35" i="7"/>
  <c r="CK48" i="7"/>
  <c r="AL20" i="7"/>
  <c r="AL26" i="7" s="1"/>
  <c r="AL44" i="7" l="1"/>
  <c r="AO27" i="3"/>
  <c r="AO21" i="4"/>
  <c r="AO37" i="4" s="1"/>
  <c r="AO43" i="4" s="1"/>
  <c r="AO30" i="3"/>
  <c r="AL27" i="3"/>
  <c r="AL34" i="4"/>
  <c r="AL30" i="3" s="1"/>
  <c r="AL21" i="4"/>
  <c r="AL32" i="3"/>
  <c r="BJ32" i="3" s="1"/>
  <c r="AL9" i="3"/>
  <c r="BJ9" i="3" s="1"/>
  <c r="CJ35" i="7"/>
  <c r="CL50" i="7"/>
  <c r="CJ48" i="7"/>
  <c r="CJ18" i="7"/>
  <c r="CJ22" i="7" s="1"/>
  <c r="CK50" i="7"/>
  <c r="BJ30" i="3" l="1"/>
  <c r="AL37" i="4"/>
  <c r="AL43" i="4" s="1"/>
  <c r="BJ27" i="3"/>
  <c r="AO28" i="3"/>
  <c r="AL8" i="3"/>
  <c r="BJ8" i="3" s="1"/>
  <c r="CJ50" i="7"/>
  <c r="AO29" i="3" l="1"/>
  <c r="AO31" i="3"/>
  <c r="AO33" i="3" s="1"/>
  <c r="AL25" i="3"/>
  <c r="C19" i="20"/>
  <c r="C22" i="20" s="1"/>
  <c r="D19" i="20"/>
  <c r="D22" i="20" s="1"/>
  <c r="E22" i="20"/>
  <c r="J9" i="13"/>
  <c r="K9" i="13"/>
  <c r="J10" i="13"/>
  <c r="K10" i="13"/>
  <c r="J12" i="13"/>
  <c r="K12" i="13"/>
  <c r="J14" i="13"/>
  <c r="K14" i="13"/>
  <c r="I12" i="13"/>
  <c r="I14" i="13"/>
  <c r="I10" i="13"/>
  <c r="I9" i="13"/>
  <c r="K44" i="13"/>
  <c r="K46" i="13"/>
  <c r="K48" i="13"/>
  <c r="K43" i="13"/>
  <c r="J44" i="13"/>
  <c r="J43" i="13"/>
  <c r="J46" i="13"/>
  <c r="J48" i="13"/>
  <c r="K67" i="13"/>
  <c r="K69" i="13" s="1"/>
  <c r="K71" i="13" s="1"/>
  <c r="K78" i="13"/>
  <c r="K80" i="13" s="1"/>
  <c r="K82" i="13" s="1"/>
  <c r="K56" i="13"/>
  <c r="K36" i="13"/>
  <c r="K38" i="13" s="1"/>
  <c r="J22" i="13"/>
  <c r="J24" i="13" s="1"/>
  <c r="J34" i="13"/>
  <c r="K24" i="13"/>
  <c r="K26" i="13" s="1"/>
  <c r="F67" i="21"/>
  <c r="C23" i="21"/>
  <c r="D23" i="21"/>
  <c r="E23" i="21"/>
  <c r="F23" i="21"/>
  <c r="AL10" i="16"/>
  <c r="AL12" i="16"/>
  <c r="BJ12" i="16" s="1"/>
  <c r="AL13" i="16"/>
  <c r="BJ13" i="16" s="1"/>
  <c r="AL16" i="16"/>
  <c r="BJ16" i="16" s="1"/>
  <c r="AL22" i="16"/>
  <c r="BJ22" i="16" s="1"/>
  <c r="AL23" i="16"/>
  <c r="BJ23" i="16" s="1"/>
  <c r="BI32" i="15"/>
  <c r="BI31" i="15"/>
  <c r="BI17" i="15"/>
  <c r="BI16" i="15"/>
  <c r="BI15" i="15"/>
  <c r="BI14" i="15"/>
  <c r="BI13" i="15"/>
  <c r="BI12" i="15"/>
  <c r="BI11" i="15"/>
  <c r="F22" i="20" l="1"/>
  <c r="F42" i="20" s="1"/>
  <c r="K58" i="13"/>
  <c r="K60" i="13" s="1"/>
  <c r="K49" i="13" s="1"/>
  <c r="K45" i="13"/>
  <c r="BJ25" i="3"/>
  <c r="BJ26" i="3" s="1"/>
  <c r="BJ10" i="16"/>
  <c r="AL9" i="16"/>
  <c r="K15" i="13"/>
  <c r="CL34" i="17"/>
  <c r="AL28" i="3"/>
  <c r="AL26" i="3"/>
  <c r="CL18" i="17"/>
  <c r="CL21" i="17" s="1"/>
  <c r="K13" i="13"/>
  <c r="J11" i="13"/>
  <c r="CL48" i="17" l="1"/>
  <c r="K47" i="13"/>
  <c r="BJ28" i="3"/>
  <c r="BJ31" i="3" s="1"/>
  <c r="AL31" i="3"/>
  <c r="AL29" i="3"/>
  <c r="W11" i="12"/>
  <c r="X11" i="12"/>
  <c r="Y11" i="12"/>
  <c r="Z11" i="12"/>
  <c r="AA11" i="12"/>
  <c r="AB11" i="12"/>
  <c r="AC11" i="12"/>
  <c r="V11" i="12"/>
  <c r="Q11" i="12"/>
  <c r="R11" i="12"/>
  <c r="S11" i="12"/>
  <c r="T11" i="12"/>
  <c r="U11" i="12"/>
  <c r="BJ29" i="3" l="1"/>
  <c r="AL33" i="3"/>
  <c r="BJ33" i="3" s="1"/>
  <c r="D73" i="21"/>
  <c r="F53" i="21"/>
  <c r="D67" i="20"/>
  <c r="D74" i="20"/>
  <c r="C73" i="21"/>
  <c r="C67" i="20"/>
  <c r="F43" i="21" l="1"/>
  <c r="F69" i="21" s="1"/>
  <c r="D53" i="21"/>
  <c r="D43" i="21"/>
  <c r="E43" i="21"/>
  <c r="E53" i="21"/>
  <c r="E67" i="21"/>
  <c r="D67" i="21"/>
  <c r="C53" i="21"/>
  <c r="C67" i="21"/>
  <c r="F73" i="21"/>
  <c r="E73" i="21"/>
  <c r="E69" i="21" l="1"/>
  <c r="D69" i="21"/>
  <c r="C43" i="21"/>
  <c r="C69" i="21" s="1"/>
  <c r="F74" i="20" l="1"/>
  <c r="G52" i="20"/>
  <c r="G74" i="20" l="1"/>
  <c r="G67" i="20"/>
  <c r="G22" i="20" l="1"/>
  <c r="G42" i="20" s="1"/>
  <c r="G69" i="20" s="1"/>
  <c r="AK10" i="16"/>
  <c r="AK12" i="16"/>
  <c r="AK13" i="16"/>
  <c r="AK14" i="16"/>
  <c r="AK15" i="16"/>
  <c r="AK16" i="16"/>
  <c r="AK17" i="16"/>
  <c r="AK22" i="16"/>
  <c r="AK23" i="16"/>
  <c r="AJ10" i="16"/>
  <c r="AK30" i="16"/>
  <c r="AK21" i="16"/>
  <c r="AK32" i="16"/>
  <c r="AK7" i="16"/>
  <c r="AK42" i="7"/>
  <c r="AK20" i="7"/>
  <c r="AK26" i="7" s="1"/>
  <c r="AK44" i="7" l="1"/>
  <c r="AK20" i="16"/>
  <c r="AK18" i="16"/>
  <c r="AK23" i="15"/>
  <c r="AK27" i="16" l="1"/>
  <c r="AK24" i="16"/>
  <c r="AK9" i="16"/>
  <c r="AK8" i="16" l="1"/>
  <c r="AK25" i="16" s="1"/>
  <c r="AK26" i="16" s="1"/>
  <c r="AK21" i="15"/>
  <c r="AK37" i="15" s="1"/>
  <c r="AK43" i="15" s="1"/>
  <c r="AK28" i="16" l="1"/>
  <c r="AK29" i="16" s="1"/>
  <c r="AK23" i="3"/>
  <c r="AK22" i="3"/>
  <c r="AJ10" i="3"/>
  <c r="AK41" i="4"/>
  <c r="AK40" i="4"/>
  <c r="AJ23" i="3"/>
  <c r="AJ22" i="3"/>
  <c r="AJ15" i="3"/>
  <c r="AK16" i="4"/>
  <c r="AK15" i="3" s="1"/>
  <c r="AK11" i="4"/>
  <c r="AK10" i="3" s="1"/>
  <c r="BI23" i="4"/>
  <c r="BI39" i="4"/>
  <c r="BI35" i="4"/>
  <c r="BG31" i="4"/>
  <c r="BG30" i="4"/>
  <c r="BG28" i="4"/>
  <c r="BG27" i="4"/>
  <c r="BG26" i="4"/>
  <c r="BG25" i="4"/>
  <c r="BI10" i="4"/>
  <c r="CK34" i="17" l="1"/>
  <c r="BI34" i="4"/>
  <c r="AK35" i="4"/>
  <c r="AK31" i="16"/>
  <c r="AK33" i="16" s="1"/>
  <c r="AK39" i="4"/>
  <c r="AK32" i="3" s="1"/>
  <c r="CK18" i="17"/>
  <c r="CK21" i="17" s="1"/>
  <c r="L37" i="19"/>
  <c r="CK48" i="17" l="1"/>
  <c r="AK44" i="17"/>
  <c r="AJ42" i="7" l="1"/>
  <c r="AJ20" i="7"/>
  <c r="AJ26" i="7" s="1"/>
  <c r="AJ44" i="7" l="1"/>
  <c r="AK36" i="4"/>
  <c r="AK34" i="4" s="1"/>
  <c r="AJ33" i="4"/>
  <c r="AK33" i="4" s="1"/>
  <c r="AJ29" i="4"/>
  <c r="AJ26" i="4"/>
  <c r="AK26" i="4" s="1"/>
  <c r="AJ28" i="4"/>
  <c r="AK28" i="4" s="1"/>
  <c r="AJ27" i="4"/>
  <c r="AK27" i="4" s="1"/>
  <c r="AJ25" i="4"/>
  <c r="AJ19" i="4"/>
  <c r="AJ30" i="4"/>
  <c r="AK30" i="4" s="1"/>
  <c r="AK25" i="4" l="1"/>
  <c r="AJ23" i="4"/>
  <c r="AJ27" i="3"/>
  <c r="AK30" i="3"/>
  <c r="AJ20" i="3"/>
  <c r="AJ34" i="4"/>
  <c r="AJ30" i="3" s="1"/>
  <c r="AJ32" i="3"/>
  <c r="AK24" i="3"/>
  <c r="AJ24" i="3"/>
  <c r="AJ21" i="3"/>
  <c r="AK29" i="4"/>
  <c r="AK21" i="3" s="1"/>
  <c r="AK23" i="4" l="1"/>
  <c r="AK20" i="3"/>
  <c r="AJ20" i="4" l="1"/>
  <c r="AJ18" i="4"/>
  <c r="AK18" i="4" s="1"/>
  <c r="AJ17" i="4"/>
  <c r="AJ15" i="4"/>
  <c r="AJ14" i="4"/>
  <c r="AJ13" i="4"/>
  <c r="AJ12" i="4"/>
  <c r="AJ9" i="4"/>
  <c r="AK12" i="4" l="1"/>
  <c r="AJ10" i="4"/>
  <c r="AJ21" i="4" s="1"/>
  <c r="AJ37" i="4" s="1"/>
  <c r="AJ43" i="4" s="1"/>
  <c r="AJ17" i="3"/>
  <c r="AK17" i="3"/>
  <c r="AJ11" i="3"/>
  <c r="AJ12" i="3"/>
  <c r="AK13" i="4"/>
  <c r="AK12" i="3" s="1"/>
  <c r="AJ18" i="3"/>
  <c r="AK20" i="4"/>
  <c r="AK18" i="3" s="1"/>
  <c r="AJ13" i="3"/>
  <c r="AK14" i="4"/>
  <c r="AK13" i="3" s="1"/>
  <c r="AJ14" i="3"/>
  <c r="AK15" i="4"/>
  <c r="AK14" i="3" s="1"/>
  <c r="AJ16" i="3"/>
  <c r="AK17" i="4"/>
  <c r="AK16" i="3" s="1"/>
  <c r="AJ7" i="3"/>
  <c r="AJ11" i="16"/>
  <c r="AJ12" i="16"/>
  <c r="AJ13" i="16"/>
  <c r="AJ14" i="16"/>
  <c r="AJ15" i="16"/>
  <c r="AJ16" i="16"/>
  <c r="AJ17" i="16"/>
  <c r="AJ22" i="16"/>
  <c r="AJ23" i="16"/>
  <c r="CJ34" i="17" l="1"/>
  <c r="AJ9" i="3"/>
  <c r="AJ8" i="3" s="1"/>
  <c r="AJ25" i="3" s="1"/>
  <c r="AK11" i="3"/>
  <c r="AK9" i="3" s="1"/>
  <c r="AK8" i="3" s="1"/>
  <c r="AK10" i="4"/>
  <c r="AJ18" i="16"/>
  <c r="AJ27" i="16"/>
  <c r="AJ20" i="16"/>
  <c r="AJ21" i="16"/>
  <c r="AJ30" i="16"/>
  <c r="AJ32" i="16"/>
  <c r="AJ7" i="16"/>
  <c r="CJ18" i="17"/>
  <c r="CJ21" i="17" s="1"/>
  <c r="CJ48" i="17" l="1"/>
  <c r="AJ26" i="3"/>
  <c r="AJ28" i="3"/>
  <c r="AJ44" i="17"/>
  <c r="AJ29" i="3" l="1"/>
  <c r="AJ31" i="3"/>
  <c r="AJ33" i="3" s="1"/>
  <c r="AJ24" i="16"/>
  <c r="AJ9" i="16"/>
  <c r="AJ8" i="16" l="1"/>
  <c r="AJ21" i="15"/>
  <c r="AJ23" i="15"/>
  <c r="AJ25" i="16" l="1"/>
  <c r="AJ37" i="15"/>
  <c r="D16" i="22"/>
  <c r="E16" i="22" s="1"/>
  <c r="F16" i="22" s="1"/>
  <c r="G16" i="22" s="1"/>
  <c r="H16" i="22" s="1"/>
  <c r="I16" i="22" s="1"/>
  <c r="J16" i="22" s="1"/>
  <c r="K16" i="22" s="1"/>
  <c r="L16" i="22" s="1"/>
  <c r="M16" i="22" s="1"/>
  <c r="N16" i="22" s="1"/>
  <c r="O16" i="22" s="1"/>
  <c r="P16" i="22" s="1"/>
  <c r="Q16" i="22" s="1"/>
  <c r="R16" i="22" s="1"/>
  <c r="S16" i="22" s="1"/>
  <c r="T16" i="22" s="1"/>
  <c r="U16" i="22" s="1"/>
  <c r="V16" i="22" s="1"/>
  <c r="W16" i="22" s="1"/>
  <c r="X16" i="22" s="1"/>
  <c r="Y16" i="22" s="1"/>
  <c r="Z16" i="22" s="1"/>
  <c r="AA16" i="22" s="1"/>
  <c r="AB16" i="22" s="1"/>
  <c r="AC16" i="22" s="1"/>
  <c r="AD16" i="22" s="1"/>
  <c r="AE16" i="22" s="1"/>
  <c r="AF16" i="22" s="1"/>
  <c r="AG16" i="22" s="1"/>
  <c r="AH16" i="22" s="1"/>
  <c r="AI16" i="22" s="1"/>
  <c r="AJ16" i="22" s="1"/>
  <c r="AK16" i="22" s="1"/>
  <c r="AL16" i="22" s="1"/>
  <c r="AM16" i="22" s="1"/>
  <c r="AN16" i="22" s="1"/>
  <c r="AO16" i="22" s="1"/>
  <c r="AP16" i="22" s="1"/>
  <c r="AQ16" i="22" s="1"/>
  <c r="AR16" i="22" s="1"/>
  <c r="AS16" i="22" s="1"/>
  <c r="AT16" i="22" s="1"/>
  <c r="AU16" i="22" s="1"/>
  <c r="AV16" i="22" s="1"/>
  <c r="AW16" i="22" s="1"/>
  <c r="AX16" i="22" s="1"/>
  <c r="AY16" i="22" s="1"/>
  <c r="AJ43" i="15" l="1"/>
  <c r="AJ28" i="16"/>
  <c r="AJ26" i="16"/>
  <c r="AJ31" i="16" l="1"/>
  <c r="AJ29" i="16"/>
  <c r="AA14" i="22"/>
  <c r="AD14" i="22"/>
  <c r="AF14" i="22" l="1"/>
  <c r="AC14" i="22"/>
  <c r="AB14" i="22"/>
  <c r="AE14" i="22"/>
  <c r="AJ33" i="16"/>
  <c r="D2" i="22" l="1"/>
  <c r="E2" i="22" s="1"/>
  <c r="F2" i="22" s="1"/>
  <c r="G2" i="22" s="1"/>
  <c r="H2" i="22" s="1"/>
  <c r="I2" i="22" s="1"/>
  <c r="J2" i="22" s="1"/>
  <c r="K2" i="22" s="1"/>
  <c r="L2" i="22" s="1"/>
  <c r="M2" i="22" s="1"/>
  <c r="N2" i="22" s="1"/>
  <c r="O2" i="22" s="1"/>
  <c r="P2" i="22" s="1"/>
  <c r="Q2" i="22" s="1"/>
  <c r="R2" i="22" s="1"/>
  <c r="S2" i="22" s="1"/>
  <c r="T2" i="22" s="1"/>
  <c r="U2" i="22" s="1"/>
  <c r="V2" i="22" s="1"/>
  <c r="W2" i="22" s="1"/>
  <c r="X2" i="22" s="1"/>
  <c r="Y2" i="22" s="1"/>
  <c r="Z2" i="22" s="1"/>
  <c r="AA2" i="22" s="1"/>
  <c r="AB2" i="22" s="1"/>
  <c r="AC2" i="22" s="1"/>
  <c r="AD2" i="22" s="1"/>
  <c r="AE2" i="22" s="1"/>
  <c r="AF2" i="22" s="1"/>
  <c r="AG2" i="22" s="1"/>
  <c r="AH2" i="22" s="1"/>
  <c r="AI2" i="22" s="1"/>
  <c r="AJ2" i="22" s="1"/>
  <c r="AK2" i="22" s="1"/>
  <c r="AL2" i="22" s="1"/>
  <c r="AM2" i="22" s="1"/>
  <c r="AN2" i="22" s="1"/>
  <c r="AO2" i="22" s="1"/>
  <c r="AP2" i="22" s="1"/>
  <c r="AQ2" i="22" s="1"/>
  <c r="AR2" i="22" s="1"/>
  <c r="AS2" i="22" s="1"/>
  <c r="AT2" i="22" s="1"/>
  <c r="AU2" i="22" s="1"/>
  <c r="AV2" i="22" s="1"/>
  <c r="AW2" i="22" s="1"/>
  <c r="AX2" i="22" s="1"/>
  <c r="AY2" i="22" s="1"/>
  <c r="E74" i="20" l="1"/>
  <c r="C74" i="20"/>
  <c r="F67" i="20"/>
  <c r="E67" i="20"/>
  <c r="F52" i="20"/>
  <c r="E52" i="20"/>
  <c r="D52" i="20"/>
  <c r="C52" i="20"/>
  <c r="E42" i="20"/>
  <c r="D42" i="20"/>
  <c r="C42" i="20"/>
  <c r="AH24" i="16"/>
  <c r="AH23" i="16"/>
  <c r="AH22" i="16"/>
  <c r="AH21" i="16"/>
  <c r="AH20" i="16"/>
  <c r="AH18" i="16"/>
  <c r="AH16" i="16"/>
  <c r="AH15" i="16"/>
  <c r="AH14" i="16"/>
  <c r="AH13" i="16"/>
  <c r="AH12" i="16"/>
  <c r="AH11" i="16"/>
  <c r="AH10" i="16"/>
  <c r="AH7" i="16"/>
  <c r="AH32" i="16"/>
  <c r="AH23" i="15"/>
  <c r="AH27" i="16"/>
  <c r="AH17" i="16"/>
  <c r="C69" i="20" l="1"/>
  <c r="D69" i="20"/>
  <c r="AH30" i="16"/>
  <c r="BI18" i="15"/>
  <c r="E69" i="20"/>
  <c r="F69" i="20"/>
  <c r="AH9" i="16"/>
  <c r="BI9" i="16" s="1"/>
  <c r="AH21" i="15" l="1"/>
  <c r="AH37" i="15" s="1"/>
  <c r="AH8" i="16"/>
  <c r="AH43" i="15" l="1"/>
  <c r="AH25" i="16"/>
  <c r="AH28" i="16" l="1"/>
  <c r="AH26" i="16"/>
  <c r="AI23" i="16"/>
  <c r="BI23" i="16" s="1"/>
  <c r="AI22" i="16"/>
  <c r="BI22" i="16" s="1"/>
  <c r="AI17" i="16"/>
  <c r="BI17" i="16" s="1"/>
  <c r="AI16" i="16"/>
  <c r="BI16" i="16" s="1"/>
  <c r="AI15" i="16"/>
  <c r="BI15" i="16" s="1"/>
  <c r="AI14" i="16"/>
  <c r="BI14" i="16" s="1"/>
  <c r="AI13" i="16"/>
  <c r="BI13" i="16" s="1"/>
  <c r="AI12" i="16"/>
  <c r="BI12" i="16" s="1"/>
  <c r="AI11" i="16"/>
  <c r="BI11" i="16" s="1"/>
  <c r="AI10" i="16"/>
  <c r="BI10" i="16" s="1"/>
  <c r="BI40" i="15"/>
  <c r="BI41" i="15"/>
  <c r="BI35" i="15"/>
  <c r="BI36" i="15"/>
  <c r="BI30" i="15"/>
  <c r="BI33" i="15"/>
  <c r="BI29" i="15"/>
  <c r="BI28" i="15"/>
  <c r="BI27" i="15"/>
  <c r="BI26" i="15"/>
  <c r="BI25" i="15"/>
  <c r="BI19" i="15"/>
  <c r="BI20" i="15"/>
  <c r="BI10" i="15"/>
  <c r="BI9" i="15"/>
  <c r="L36" i="19"/>
  <c r="CI34" i="17" l="1"/>
  <c r="AH44" i="17"/>
  <c r="AI27" i="16"/>
  <c r="BI27" i="16" s="1"/>
  <c r="AI21" i="16"/>
  <c r="BI21" i="16" s="1"/>
  <c r="AH31" i="16"/>
  <c r="AH29" i="16"/>
  <c r="AI7" i="16"/>
  <c r="BI7" i="16" s="1"/>
  <c r="BI39" i="15"/>
  <c r="AI20" i="16"/>
  <c r="BI20" i="16" s="1"/>
  <c r="CI18" i="17"/>
  <c r="CI21" i="17" s="1"/>
  <c r="AI24" i="16"/>
  <c r="BI24" i="16" s="1"/>
  <c r="AI18" i="16"/>
  <c r="BI18" i="16" s="1"/>
  <c r="BI34" i="15"/>
  <c r="AI23" i="15"/>
  <c r="BI23" i="15" s="1"/>
  <c r="AI21" i="15"/>
  <c r="BI21" i="15" s="1"/>
  <c r="CI48" i="17" l="1"/>
  <c r="AI44" i="17"/>
  <c r="AI30" i="16"/>
  <c r="BI30" i="16" s="1"/>
  <c r="AI32" i="16"/>
  <c r="BI32" i="16" s="1"/>
  <c r="AI8" i="16"/>
  <c r="BI8" i="16" s="1"/>
  <c r="AH33" i="16"/>
  <c r="AI37" i="15"/>
  <c r="BI37" i="15" s="1"/>
  <c r="AI43" i="15" l="1"/>
  <c r="BI43" i="15" s="1"/>
  <c r="AI25" i="16"/>
  <c r="BI25" i="16" s="1"/>
  <c r="BI26" i="16" s="1"/>
  <c r="AI26" i="16" l="1"/>
  <c r="AI28" i="16"/>
  <c r="BI28" i="16" s="1"/>
  <c r="BI29" i="16" s="1"/>
  <c r="J78" i="13"/>
  <c r="J80" i="13" s="1"/>
  <c r="J82" i="13" s="1"/>
  <c r="AI31" i="16" l="1"/>
  <c r="BI31" i="16" s="1"/>
  <c r="AI29" i="16"/>
  <c r="AF19" i="12"/>
  <c r="AI33" i="16" l="1"/>
  <c r="BI33" i="16" s="1"/>
  <c r="AI24" i="3"/>
  <c r="AI23" i="3"/>
  <c r="AI22" i="3"/>
  <c r="AI21" i="3"/>
  <c r="AI20" i="3"/>
  <c r="AI18" i="3"/>
  <c r="AI17" i="3"/>
  <c r="AI16" i="3"/>
  <c r="AI15" i="3"/>
  <c r="AI14" i="3"/>
  <c r="AI13" i="3"/>
  <c r="AI12" i="3"/>
  <c r="AI11" i="3"/>
  <c r="AI10" i="3"/>
  <c r="AI7" i="3"/>
  <c r="AI19" i="4"/>
  <c r="AI27" i="3" s="1"/>
  <c r="AH39" i="4"/>
  <c r="AH32" i="3" s="1"/>
  <c r="AI39" i="4"/>
  <c r="AI32" i="3" s="1"/>
  <c r="AH34" i="4"/>
  <c r="AH30" i="3" s="1"/>
  <c r="AI34" i="4"/>
  <c r="AI30" i="3" s="1"/>
  <c r="AH23" i="4"/>
  <c r="AH10" i="4"/>
  <c r="AI10" i="4"/>
  <c r="CH48" i="7"/>
  <c r="CI48" i="7"/>
  <c r="CH35" i="7"/>
  <c r="CI35" i="7"/>
  <c r="CH18" i="7"/>
  <c r="CH22" i="7" s="1"/>
  <c r="CI18" i="7"/>
  <c r="CI22" i="7" s="1"/>
  <c r="AH42" i="7"/>
  <c r="AI42" i="7"/>
  <c r="AH20" i="7"/>
  <c r="AH26" i="7" s="1"/>
  <c r="AI20" i="7"/>
  <c r="AI26" i="7" s="1"/>
  <c r="AH24" i="3"/>
  <c r="BI24" i="3" s="1"/>
  <c r="AH23" i="3"/>
  <c r="AH22" i="3"/>
  <c r="AH21" i="3"/>
  <c r="AH20" i="3"/>
  <c r="AH18" i="3"/>
  <c r="AH17" i="3"/>
  <c r="AH16" i="3"/>
  <c r="AH15" i="3"/>
  <c r="AH14" i="3"/>
  <c r="AH13" i="3"/>
  <c r="AH12" i="3"/>
  <c r="AH11" i="3"/>
  <c r="AH10" i="3"/>
  <c r="AH7" i="3"/>
  <c r="AH19" i="4"/>
  <c r="BI12" i="3" l="1"/>
  <c r="BI32" i="3"/>
  <c r="AK19" i="4"/>
  <c r="AK27" i="3" s="1"/>
  <c r="BI21" i="3"/>
  <c r="BI14" i="3"/>
  <c r="BI16" i="3"/>
  <c r="BI15" i="3"/>
  <c r="CH50" i="7"/>
  <c r="BI13" i="3"/>
  <c r="BI22" i="3"/>
  <c r="BI23" i="3"/>
  <c r="AG7" i="3"/>
  <c r="BH9" i="4"/>
  <c r="AI44" i="7"/>
  <c r="BI30" i="3"/>
  <c r="AH44" i="7"/>
  <c r="BI17" i="3"/>
  <c r="BI11" i="3"/>
  <c r="BI20" i="3"/>
  <c r="BI10" i="3"/>
  <c r="BI18" i="3"/>
  <c r="CI50" i="7"/>
  <c r="AH21" i="4"/>
  <c r="AI9" i="3"/>
  <c r="AI8" i="3" s="1"/>
  <c r="AI25" i="3" s="1"/>
  <c r="AI21" i="4"/>
  <c r="AI37" i="4" s="1"/>
  <c r="AI43" i="4" s="1"/>
  <c r="AH27" i="3"/>
  <c r="AH9" i="3"/>
  <c r="CH51" i="7" l="1"/>
  <c r="CI51" i="7"/>
  <c r="BI27" i="3"/>
  <c r="BI9" i="3"/>
  <c r="AH37" i="4"/>
  <c r="AI28" i="3"/>
  <c r="AI26" i="3"/>
  <c r="AH8" i="3"/>
  <c r="BI8" i="3" s="1"/>
  <c r="AH43" i="4" l="1"/>
  <c r="AI31" i="3"/>
  <c r="AI33" i="3" s="1"/>
  <c r="AI29" i="3"/>
  <c r="AH25" i="3"/>
  <c r="AH28" i="3" l="1"/>
  <c r="AH26" i="3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6" i="19"/>
  <c r="L5" i="19"/>
  <c r="L4" i="19"/>
  <c r="L3" i="19"/>
  <c r="CH18" i="17" l="1"/>
  <c r="CH21" i="17" s="1"/>
  <c r="CH48" i="17" s="1"/>
  <c r="BI35" i="17"/>
  <c r="BQ35" i="17"/>
  <c r="BY35" i="17"/>
  <c r="BB35" i="17"/>
  <c r="BC35" i="17"/>
  <c r="BK35" i="17"/>
  <c r="BS35" i="17"/>
  <c r="BH35" i="17"/>
  <c r="BL35" i="17"/>
  <c r="BT35" i="17"/>
  <c r="BX35" i="17"/>
  <c r="BR35" i="17"/>
  <c r="BD35" i="17"/>
  <c r="BE35" i="17"/>
  <c r="BM35" i="17"/>
  <c r="BU35" i="17"/>
  <c r="BP35" i="17"/>
  <c r="BJ35" i="17"/>
  <c r="BF35" i="17"/>
  <c r="BN35" i="17"/>
  <c r="BV35" i="17"/>
  <c r="BG35" i="17"/>
  <c r="BO35" i="17"/>
  <c r="BW35" i="17"/>
  <c r="AH31" i="3"/>
  <c r="AH29" i="3"/>
  <c r="AB41" i="17" l="1"/>
  <c r="L41" i="17"/>
  <c r="N41" i="17"/>
  <c r="V41" i="17"/>
  <c r="X41" i="17"/>
  <c r="R41" i="17"/>
  <c r="O41" i="17"/>
  <c r="AA41" i="17"/>
  <c r="U41" i="17"/>
  <c r="AD41" i="17"/>
  <c r="J41" i="17"/>
  <c r="K41" i="17"/>
  <c r="I41" i="17"/>
  <c r="S41" i="17"/>
  <c r="F41" i="17"/>
  <c r="AC41" i="17"/>
  <c r="P41" i="17"/>
  <c r="B41" i="17"/>
  <c r="T41" i="17"/>
  <c r="G41" i="17"/>
  <c r="C41" i="17"/>
  <c r="Z41" i="17"/>
  <c r="Y41" i="17"/>
  <c r="H41" i="17"/>
  <c r="Q41" i="17"/>
  <c r="D41" i="17"/>
  <c r="M41" i="17"/>
  <c r="W41" i="17"/>
  <c r="AE41" i="17"/>
  <c r="E41" i="17"/>
  <c r="BP34" i="17"/>
  <c r="BP48" i="17" s="1"/>
  <c r="BE34" i="17"/>
  <c r="BE48" i="17" s="1"/>
  <c r="BK34" i="17"/>
  <c r="BK48" i="17" s="1"/>
  <c r="CB34" i="17"/>
  <c r="BF34" i="17"/>
  <c r="BF48" i="17" s="1"/>
  <c r="BO34" i="17"/>
  <c r="BO48" i="17" s="1"/>
  <c r="CD34" i="17"/>
  <c r="BD34" i="17"/>
  <c r="BD48" i="17" s="1"/>
  <c r="BT34" i="17"/>
  <c r="BC34" i="17"/>
  <c r="BC48" i="17" s="1"/>
  <c r="BG34" i="17"/>
  <c r="BG48" i="17" s="1"/>
  <c r="BX34" i="17"/>
  <c r="BH34" i="17"/>
  <c r="BH48" i="17" s="1"/>
  <c r="BY34" i="17"/>
  <c r="BV34" i="17"/>
  <c r="BJ34" i="17"/>
  <c r="BJ48" i="17" s="1"/>
  <c r="BL34" i="17"/>
  <c r="BL48" i="17" s="1"/>
  <c r="CE34" i="17"/>
  <c r="BZ34" i="17"/>
  <c r="BB34" i="17"/>
  <c r="BB48" i="17" s="1"/>
  <c r="BI34" i="17"/>
  <c r="BI48" i="17" s="1"/>
  <c r="CC34" i="17"/>
  <c r="BR34" i="17"/>
  <c r="CA34" i="17"/>
  <c r="BW34" i="17"/>
  <c r="BN34" i="17"/>
  <c r="BN48" i="17" s="1"/>
  <c r="BU34" i="17"/>
  <c r="BM34" i="17"/>
  <c r="BM48" i="17" s="1"/>
  <c r="BS34" i="17"/>
  <c r="CB18" i="17"/>
  <c r="CB21" i="17" s="1"/>
  <c r="CA18" i="17"/>
  <c r="CA21" i="17" s="1"/>
  <c r="CD18" i="17"/>
  <c r="CD21" i="17" s="1"/>
  <c r="CE18" i="17"/>
  <c r="CE21" i="17" s="1"/>
  <c r="CC18" i="17"/>
  <c r="CC21" i="17" s="1"/>
  <c r="BZ18" i="17"/>
  <c r="BZ21" i="17" s="1"/>
  <c r="AH33" i="3"/>
  <c r="CC48" i="17" l="1"/>
  <c r="CA48" i="17"/>
  <c r="CD48" i="17"/>
  <c r="BZ48" i="17"/>
  <c r="CE48" i="17"/>
  <c r="CB48" i="17"/>
  <c r="J67" i="13"/>
  <c r="J69" i="13" s="1"/>
  <c r="J71" i="13" s="1"/>
  <c r="I56" i="13"/>
  <c r="I58" i="13" s="1"/>
  <c r="I60" i="13" s="1"/>
  <c r="J56" i="13"/>
  <c r="J45" i="13" s="1"/>
  <c r="I34" i="13"/>
  <c r="I36" i="13" s="1"/>
  <c r="I38" i="13" s="1"/>
  <c r="J36" i="13"/>
  <c r="I22" i="13"/>
  <c r="J26" i="13"/>
  <c r="I24" i="13" l="1"/>
  <c r="I11" i="13"/>
  <c r="J58" i="13"/>
  <c r="J38" i="13"/>
  <c r="J15" i="13" s="1"/>
  <c r="J13" i="13"/>
  <c r="E2154" i="19"/>
  <c r="D2154" i="19" s="1"/>
  <c r="E2153" i="19"/>
  <c r="D2153" i="19" s="1"/>
  <c r="E2152" i="19"/>
  <c r="D2152" i="19" s="1"/>
  <c r="E2151" i="19"/>
  <c r="D2151" i="19" s="1"/>
  <c r="E2150" i="19"/>
  <c r="D2150" i="19" s="1"/>
  <c r="E2149" i="19"/>
  <c r="D2149" i="19" s="1"/>
  <c r="E2148" i="19"/>
  <c r="D2148" i="19" s="1"/>
  <c r="E2147" i="19"/>
  <c r="D2147" i="19" s="1"/>
  <c r="E2146" i="19"/>
  <c r="D2146" i="19" s="1"/>
  <c r="E2145" i="19"/>
  <c r="D2145" i="19" s="1"/>
  <c r="E2144" i="19"/>
  <c r="D2144" i="19" s="1"/>
  <c r="E2143" i="19"/>
  <c r="D2143" i="19" s="1"/>
  <c r="E2142" i="19"/>
  <c r="D2142" i="19" s="1"/>
  <c r="E2141" i="19"/>
  <c r="D2141" i="19" s="1"/>
  <c r="E2140" i="19"/>
  <c r="D2140" i="19" s="1"/>
  <c r="E2139" i="19"/>
  <c r="D2139" i="19" s="1"/>
  <c r="E2138" i="19"/>
  <c r="D2138" i="19" s="1"/>
  <c r="E2137" i="19"/>
  <c r="D2137" i="19" s="1"/>
  <c r="E2136" i="19"/>
  <c r="D2136" i="19" s="1"/>
  <c r="E2135" i="19"/>
  <c r="D2135" i="19" s="1"/>
  <c r="E2134" i="19"/>
  <c r="D2134" i="19" s="1"/>
  <c r="E2133" i="19"/>
  <c r="D2133" i="19" s="1"/>
  <c r="E2132" i="19"/>
  <c r="D2132" i="19" s="1"/>
  <c r="E2131" i="19"/>
  <c r="D2131" i="19" s="1"/>
  <c r="E2130" i="19"/>
  <c r="D2130" i="19" s="1"/>
  <c r="E2129" i="19"/>
  <c r="D2129" i="19" s="1"/>
  <c r="E2128" i="19"/>
  <c r="D2128" i="19" s="1"/>
  <c r="E2127" i="19"/>
  <c r="D2127" i="19" s="1"/>
  <c r="E2126" i="19"/>
  <c r="D2126" i="19" s="1"/>
  <c r="E2125" i="19"/>
  <c r="D2125" i="19" s="1"/>
  <c r="E2124" i="19"/>
  <c r="D2124" i="19" s="1"/>
  <c r="E2123" i="19"/>
  <c r="D2123" i="19" s="1"/>
  <c r="E2122" i="19"/>
  <c r="D2122" i="19" s="1"/>
  <c r="E2121" i="19"/>
  <c r="D2121" i="19" s="1"/>
  <c r="E2120" i="19"/>
  <c r="D2120" i="19" s="1"/>
  <c r="E2119" i="19"/>
  <c r="D2119" i="19" s="1"/>
  <c r="E2118" i="19"/>
  <c r="D2118" i="19" s="1"/>
  <c r="E2117" i="19"/>
  <c r="D2117" i="19" s="1"/>
  <c r="E2116" i="19"/>
  <c r="D2116" i="19" s="1"/>
  <c r="E2115" i="19"/>
  <c r="D2115" i="19" s="1"/>
  <c r="E2114" i="19"/>
  <c r="D2114" i="19" s="1"/>
  <c r="E2113" i="19"/>
  <c r="D2113" i="19" s="1"/>
  <c r="E2112" i="19"/>
  <c r="D2112" i="19" s="1"/>
  <c r="E2111" i="19"/>
  <c r="D2111" i="19" s="1"/>
  <c r="E2110" i="19"/>
  <c r="D2110" i="19" s="1"/>
  <c r="E2109" i="19"/>
  <c r="D2109" i="19" s="1"/>
  <c r="E2108" i="19"/>
  <c r="D2108" i="19" s="1"/>
  <c r="E2107" i="19"/>
  <c r="D2107" i="19" s="1"/>
  <c r="E2106" i="19"/>
  <c r="D2106" i="19" s="1"/>
  <c r="E2105" i="19"/>
  <c r="D2105" i="19" s="1"/>
  <c r="E2104" i="19"/>
  <c r="D2104" i="19" s="1"/>
  <c r="E2103" i="19"/>
  <c r="D2103" i="19" s="1"/>
  <c r="E2102" i="19"/>
  <c r="D2102" i="19" s="1"/>
  <c r="E2101" i="19"/>
  <c r="D2101" i="19" s="1"/>
  <c r="E2100" i="19"/>
  <c r="D2100" i="19" s="1"/>
  <c r="E2099" i="19"/>
  <c r="D2099" i="19" s="1"/>
  <c r="E2098" i="19"/>
  <c r="D2098" i="19" s="1"/>
  <c r="E2097" i="19"/>
  <c r="D2097" i="19" s="1"/>
  <c r="E2096" i="19"/>
  <c r="D2096" i="19" s="1"/>
  <c r="E2095" i="19"/>
  <c r="D2095" i="19" s="1"/>
  <c r="E2094" i="19"/>
  <c r="D2094" i="19" s="1"/>
  <c r="E2093" i="19"/>
  <c r="D2093" i="19" s="1"/>
  <c r="E2092" i="19"/>
  <c r="D2092" i="19" s="1"/>
  <c r="E2091" i="19"/>
  <c r="D2091" i="19" s="1"/>
  <c r="E2090" i="19"/>
  <c r="D2090" i="19" s="1"/>
  <c r="E2089" i="19"/>
  <c r="D2089" i="19" s="1"/>
  <c r="E2088" i="19"/>
  <c r="D2088" i="19" s="1"/>
  <c r="E2087" i="19"/>
  <c r="D2087" i="19" s="1"/>
  <c r="E2086" i="19"/>
  <c r="D2086" i="19" s="1"/>
  <c r="E2085" i="19"/>
  <c r="D2085" i="19" s="1"/>
  <c r="E2084" i="19"/>
  <c r="D2084" i="19" s="1"/>
  <c r="E2083" i="19"/>
  <c r="D2083" i="19" s="1"/>
  <c r="E2082" i="19"/>
  <c r="D2082" i="19" s="1"/>
  <c r="E2081" i="19"/>
  <c r="D2081" i="19" s="1"/>
  <c r="E2080" i="19"/>
  <c r="D2080" i="19" s="1"/>
  <c r="E2079" i="19"/>
  <c r="D2079" i="19" s="1"/>
  <c r="E2078" i="19"/>
  <c r="D2078" i="19" s="1"/>
  <c r="E2077" i="19"/>
  <c r="D2077" i="19" s="1"/>
  <c r="E2076" i="19"/>
  <c r="D2076" i="19" s="1"/>
  <c r="E2075" i="19"/>
  <c r="D2075" i="19" s="1"/>
  <c r="E2074" i="19"/>
  <c r="D2074" i="19" s="1"/>
  <c r="E2073" i="19"/>
  <c r="D2073" i="19" s="1"/>
  <c r="E2072" i="19"/>
  <c r="D2072" i="19" s="1"/>
  <c r="E2071" i="19"/>
  <c r="D2071" i="19" s="1"/>
  <c r="E2070" i="19"/>
  <c r="D2070" i="19" s="1"/>
  <c r="E2069" i="19"/>
  <c r="D2069" i="19" s="1"/>
  <c r="E2068" i="19"/>
  <c r="D2068" i="19" s="1"/>
  <c r="E2067" i="19"/>
  <c r="D2067" i="19" s="1"/>
  <c r="E2066" i="19"/>
  <c r="D2066" i="19" s="1"/>
  <c r="E2065" i="19"/>
  <c r="D2065" i="19" s="1"/>
  <c r="E2064" i="19"/>
  <c r="D2064" i="19" s="1"/>
  <c r="E2063" i="19"/>
  <c r="D2063" i="19" s="1"/>
  <c r="E2062" i="19"/>
  <c r="D2062" i="19" s="1"/>
  <c r="E2061" i="19"/>
  <c r="D2061" i="19" s="1"/>
  <c r="E2060" i="19"/>
  <c r="D2060" i="19" s="1"/>
  <c r="E2059" i="19"/>
  <c r="D2059" i="19" s="1"/>
  <c r="E2058" i="19"/>
  <c r="D2058" i="19" s="1"/>
  <c r="E2057" i="19"/>
  <c r="D2057" i="19" s="1"/>
  <c r="E2056" i="19"/>
  <c r="D2056" i="19" s="1"/>
  <c r="E2055" i="19"/>
  <c r="D2055" i="19" s="1"/>
  <c r="E2054" i="19"/>
  <c r="D2054" i="19" s="1"/>
  <c r="E2053" i="19"/>
  <c r="D2053" i="19" s="1"/>
  <c r="E2052" i="19"/>
  <c r="D2052" i="19" s="1"/>
  <c r="E2051" i="19"/>
  <c r="D2051" i="19" s="1"/>
  <c r="E2050" i="19"/>
  <c r="D2050" i="19" s="1"/>
  <c r="E2049" i="19"/>
  <c r="D2049" i="19" s="1"/>
  <c r="E2048" i="19"/>
  <c r="D2048" i="19" s="1"/>
  <c r="E2047" i="19"/>
  <c r="D2047" i="19" s="1"/>
  <c r="E2046" i="19"/>
  <c r="D2046" i="19" s="1"/>
  <c r="E2045" i="19"/>
  <c r="D2045" i="19" s="1"/>
  <c r="E2044" i="19"/>
  <c r="D2044" i="19" s="1"/>
  <c r="E2043" i="19"/>
  <c r="D2043" i="19" s="1"/>
  <c r="E2042" i="19"/>
  <c r="D2042" i="19" s="1"/>
  <c r="E2041" i="19"/>
  <c r="D2041" i="19" s="1"/>
  <c r="E2040" i="19"/>
  <c r="D2040" i="19" s="1"/>
  <c r="E2039" i="19"/>
  <c r="D2039" i="19" s="1"/>
  <c r="E2038" i="19"/>
  <c r="D2038" i="19" s="1"/>
  <c r="E2037" i="19"/>
  <c r="D2037" i="19" s="1"/>
  <c r="E2036" i="19"/>
  <c r="D2036" i="19" s="1"/>
  <c r="E2035" i="19"/>
  <c r="D2035" i="19" s="1"/>
  <c r="E2034" i="19"/>
  <c r="D2034" i="19" s="1"/>
  <c r="E2033" i="19"/>
  <c r="D2033" i="19" s="1"/>
  <c r="E2032" i="19"/>
  <c r="D2032" i="19" s="1"/>
  <c r="E2031" i="19"/>
  <c r="D2031" i="19" s="1"/>
  <c r="E2030" i="19"/>
  <c r="D2030" i="19" s="1"/>
  <c r="E2029" i="19"/>
  <c r="D2029" i="19" s="1"/>
  <c r="E2028" i="19"/>
  <c r="D2028" i="19" s="1"/>
  <c r="E2027" i="19"/>
  <c r="D2027" i="19" s="1"/>
  <c r="E2026" i="19"/>
  <c r="D2026" i="19" s="1"/>
  <c r="E2025" i="19"/>
  <c r="D2025" i="19" s="1"/>
  <c r="E2024" i="19"/>
  <c r="D2024" i="19" s="1"/>
  <c r="E2023" i="19"/>
  <c r="D2023" i="19" s="1"/>
  <c r="E2022" i="19"/>
  <c r="D2022" i="19" s="1"/>
  <c r="E2021" i="19"/>
  <c r="D2021" i="19" s="1"/>
  <c r="E2020" i="19"/>
  <c r="D2020" i="19" s="1"/>
  <c r="E2019" i="19"/>
  <c r="D2019" i="19" s="1"/>
  <c r="E2018" i="19"/>
  <c r="D2018" i="19" s="1"/>
  <c r="E2017" i="19"/>
  <c r="D2017" i="19" s="1"/>
  <c r="E2016" i="19"/>
  <c r="D2016" i="19" s="1"/>
  <c r="E2015" i="19"/>
  <c r="D2015" i="19" s="1"/>
  <c r="E2014" i="19"/>
  <c r="D2014" i="19" s="1"/>
  <c r="E2013" i="19"/>
  <c r="D2013" i="19" s="1"/>
  <c r="E2012" i="19"/>
  <c r="D2012" i="19" s="1"/>
  <c r="E2011" i="19"/>
  <c r="D2011" i="19" s="1"/>
  <c r="E2010" i="19"/>
  <c r="D2010" i="19" s="1"/>
  <c r="E2009" i="19"/>
  <c r="D2009" i="19" s="1"/>
  <c r="E2008" i="19"/>
  <c r="D2008" i="19" s="1"/>
  <c r="E2007" i="19"/>
  <c r="D2007" i="19" s="1"/>
  <c r="E2006" i="19"/>
  <c r="D2006" i="19" s="1"/>
  <c r="E2005" i="19"/>
  <c r="D2005" i="19" s="1"/>
  <c r="E2004" i="19"/>
  <c r="D2004" i="19" s="1"/>
  <c r="E2003" i="19"/>
  <c r="D2003" i="19" s="1"/>
  <c r="E2002" i="19"/>
  <c r="D2002" i="19" s="1"/>
  <c r="E2001" i="19"/>
  <c r="D2001" i="19" s="1"/>
  <c r="E2000" i="19"/>
  <c r="D2000" i="19" s="1"/>
  <c r="E1999" i="19"/>
  <c r="D1999" i="19" s="1"/>
  <c r="E1998" i="19"/>
  <c r="D1998" i="19" s="1"/>
  <c r="E1997" i="19"/>
  <c r="D1997" i="19" s="1"/>
  <c r="E1996" i="19"/>
  <c r="D1996" i="19" s="1"/>
  <c r="E1995" i="19"/>
  <c r="D1995" i="19" s="1"/>
  <c r="E1994" i="19"/>
  <c r="D1994" i="19" s="1"/>
  <c r="E1993" i="19"/>
  <c r="D1993" i="19" s="1"/>
  <c r="E1992" i="19"/>
  <c r="D1992" i="19" s="1"/>
  <c r="E1991" i="19"/>
  <c r="D1991" i="19" s="1"/>
  <c r="E1990" i="19"/>
  <c r="D1990" i="19" s="1"/>
  <c r="E1989" i="19"/>
  <c r="D1989" i="19" s="1"/>
  <c r="E1988" i="19"/>
  <c r="D1988" i="19" s="1"/>
  <c r="E1987" i="19"/>
  <c r="D1987" i="19" s="1"/>
  <c r="E1986" i="19"/>
  <c r="D1986" i="19" s="1"/>
  <c r="E1985" i="19"/>
  <c r="D1985" i="19" s="1"/>
  <c r="E1984" i="19"/>
  <c r="D1984" i="19" s="1"/>
  <c r="E1983" i="19"/>
  <c r="D1983" i="19" s="1"/>
  <c r="E1982" i="19"/>
  <c r="D1982" i="19" s="1"/>
  <c r="E1981" i="19"/>
  <c r="D1981" i="19" s="1"/>
  <c r="E1980" i="19"/>
  <c r="D1980" i="19" s="1"/>
  <c r="E1979" i="19"/>
  <c r="D1979" i="19" s="1"/>
  <c r="E1978" i="19"/>
  <c r="D1978" i="19" s="1"/>
  <c r="E1977" i="19"/>
  <c r="D1977" i="19" s="1"/>
  <c r="E1976" i="19"/>
  <c r="D1976" i="19" s="1"/>
  <c r="E1975" i="19"/>
  <c r="D1975" i="19" s="1"/>
  <c r="E1974" i="19"/>
  <c r="D1974" i="19" s="1"/>
  <c r="E1973" i="19"/>
  <c r="D1973" i="19" s="1"/>
  <c r="E1972" i="19"/>
  <c r="D1972" i="19" s="1"/>
  <c r="E1971" i="19"/>
  <c r="D1971" i="19" s="1"/>
  <c r="E1970" i="19"/>
  <c r="D1970" i="19" s="1"/>
  <c r="E1969" i="19"/>
  <c r="D1969" i="19" s="1"/>
  <c r="E1968" i="19"/>
  <c r="D1968" i="19" s="1"/>
  <c r="E1967" i="19"/>
  <c r="D1967" i="19" s="1"/>
  <c r="E1966" i="19"/>
  <c r="D1966" i="19" s="1"/>
  <c r="E1965" i="19"/>
  <c r="D1965" i="19" s="1"/>
  <c r="E1964" i="19"/>
  <c r="D1964" i="19" s="1"/>
  <c r="E1963" i="19"/>
  <c r="D1963" i="19" s="1"/>
  <c r="E1962" i="19"/>
  <c r="D1962" i="19" s="1"/>
  <c r="E1961" i="19"/>
  <c r="D1961" i="19" s="1"/>
  <c r="E1960" i="19"/>
  <c r="D1960" i="19" s="1"/>
  <c r="E1959" i="19"/>
  <c r="D1959" i="19" s="1"/>
  <c r="E1958" i="19"/>
  <c r="D1958" i="19" s="1"/>
  <c r="E1957" i="19"/>
  <c r="D1957" i="19" s="1"/>
  <c r="E1956" i="19"/>
  <c r="D1956" i="19" s="1"/>
  <c r="E1955" i="19"/>
  <c r="D1955" i="19" s="1"/>
  <c r="E1954" i="19"/>
  <c r="D1954" i="19" s="1"/>
  <c r="E1953" i="19"/>
  <c r="D1953" i="19" s="1"/>
  <c r="E1952" i="19"/>
  <c r="D1952" i="19" s="1"/>
  <c r="E1951" i="19"/>
  <c r="D1951" i="19" s="1"/>
  <c r="E1950" i="19"/>
  <c r="D1950" i="19" s="1"/>
  <c r="E1949" i="19"/>
  <c r="D1949" i="19" s="1"/>
  <c r="E1948" i="19"/>
  <c r="D1948" i="19" s="1"/>
  <c r="E1947" i="19"/>
  <c r="D1947" i="19" s="1"/>
  <c r="E1946" i="19"/>
  <c r="D1946" i="19" s="1"/>
  <c r="E1945" i="19"/>
  <c r="D1945" i="19" s="1"/>
  <c r="E1944" i="19"/>
  <c r="D1944" i="19" s="1"/>
  <c r="E1943" i="19"/>
  <c r="D1943" i="19" s="1"/>
  <c r="E1942" i="19"/>
  <c r="D1942" i="19" s="1"/>
  <c r="E1941" i="19"/>
  <c r="D1941" i="19" s="1"/>
  <c r="E1940" i="19"/>
  <c r="D1940" i="19" s="1"/>
  <c r="E1939" i="19"/>
  <c r="D1939" i="19" s="1"/>
  <c r="E1938" i="19"/>
  <c r="D1938" i="19" s="1"/>
  <c r="E1937" i="19"/>
  <c r="D1937" i="19" s="1"/>
  <c r="E1936" i="19"/>
  <c r="D1936" i="19" s="1"/>
  <c r="E1935" i="19"/>
  <c r="D1935" i="19" s="1"/>
  <c r="E1934" i="19"/>
  <c r="D1934" i="19" s="1"/>
  <c r="E1933" i="19"/>
  <c r="D1933" i="19" s="1"/>
  <c r="E1932" i="19"/>
  <c r="D1932" i="19" s="1"/>
  <c r="E1931" i="19"/>
  <c r="D1931" i="19" s="1"/>
  <c r="E1930" i="19"/>
  <c r="D1930" i="19" s="1"/>
  <c r="E1929" i="19"/>
  <c r="D1929" i="19" s="1"/>
  <c r="E1928" i="19"/>
  <c r="D1928" i="19" s="1"/>
  <c r="E1927" i="19"/>
  <c r="D1927" i="19" s="1"/>
  <c r="E1926" i="19"/>
  <c r="D1926" i="19" s="1"/>
  <c r="E1925" i="19"/>
  <c r="D1925" i="19" s="1"/>
  <c r="E1924" i="19"/>
  <c r="D1924" i="19" s="1"/>
  <c r="E1923" i="19"/>
  <c r="D1923" i="19" s="1"/>
  <c r="E1922" i="19"/>
  <c r="D1922" i="19" s="1"/>
  <c r="E1921" i="19"/>
  <c r="D1921" i="19" s="1"/>
  <c r="E1920" i="19"/>
  <c r="D1920" i="19" s="1"/>
  <c r="E1919" i="19"/>
  <c r="D1919" i="19" s="1"/>
  <c r="E1918" i="19"/>
  <c r="D1918" i="19" s="1"/>
  <c r="E1917" i="19"/>
  <c r="D1917" i="19" s="1"/>
  <c r="E1916" i="19"/>
  <c r="D1916" i="19" s="1"/>
  <c r="E1915" i="19"/>
  <c r="D1915" i="19" s="1"/>
  <c r="E1914" i="19"/>
  <c r="D1914" i="19" s="1"/>
  <c r="E1913" i="19"/>
  <c r="D1913" i="19" s="1"/>
  <c r="E1912" i="19"/>
  <c r="D1912" i="19" s="1"/>
  <c r="E1911" i="19"/>
  <c r="D1911" i="19" s="1"/>
  <c r="E1910" i="19"/>
  <c r="D1910" i="19" s="1"/>
  <c r="E1909" i="19"/>
  <c r="D1909" i="19" s="1"/>
  <c r="E1908" i="19"/>
  <c r="D1908" i="19" s="1"/>
  <c r="E1907" i="19"/>
  <c r="D1907" i="19" s="1"/>
  <c r="E1906" i="19"/>
  <c r="D1906" i="19" s="1"/>
  <c r="E1905" i="19"/>
  <c r="D1905" i="19" s="1"/>
  <c r="E1904" i="19"/>
  <c r="D1904" i="19" s="1"/>
  <c r="E1903" i="19"/>
  <c r="D1903" i="19" s="1"/>
  <c r="E1902" i="19"/>
  <c r="D1902" i="19" s="1"/>
  <c r="E1901" i="19"/>
  <c r="D1901" i="19" s="1"/>
  <c r="E1900" i="19"/>
  <c r="D1900" i="19" s="1"/>
  <c r="E1899" i="19"/>
  <c r="D1899" i="19" s="1"/>
  <c r="E1898" i="19"/>
  <c r="D1898" i="19" s="1"/>
  <c r="E1897" i="19"/>
  <c r="D1897" i="19" s="1"/>
  <c r="E1896" i="19"/>
  <c r="D1896" i="19" s="1"/>
  <c r="E1895" i="19"/>
  <c r="D1895" i="19" s="1"/>
  <c r="E1894" i="19"/>
  <c r="D1894" i="19" s="1"/>
  <c r="E1893" i="19"/>
  <c r="D1893" i="19" s="1"/>
  <c r="E1892" i="19"/>
  <c r="D1892" i="19" s="1"/>
  <c r="E1891" i="19"/>
  <c r="D1891" i="19" s="1"/>
  <c r="E1890" i="19"/>
  <c r="D1890" i="19" s="1"/>
  <c r="E1889" i="19"/>
  <c r="D1889" i="19" s="1"/>
  <c r="E1888" i="19"/>
  <c r="D1888" i="19" s="1"/>
  <c r="E1887" i="19"/>
  <c r="D1887" i="19" s="1"/>
  <c r="E1886" i="19"/>
  <c r="D1886" i="19" s="1"/>
  <c r="E1885" i="19"/>
  <c r="D1885" i="19" s="1"/>
  <c r="E1884" i="19"/>
  <c r="D1884" i="19" s="1"/>
  <c r="E1883" i="19"/>
  <c r="D1883" i="19" s="1"/>
  <c r="E1882" i="19"/>
  <c r="D1882" i="19" s="1"/>
  <c r="E1881" i="19"/>
  <c r="D1881" i="19" s="1"/>
  <c r="E1880" i="19"/>
  <c r="D1880" i="19" s="1"/>
  <c r="E1879" i="19"/>
  <c r="D1879" i="19" s="1"/>
  <c r="E1878" i="19"/>
  <c r="D1878" i="19" s="1"/>
  <c r="E1877" i="19"/>
  <c r="D1877" i="19" s="1"/>
  <c r="E1876" i="19"/>
  <c r="D1876" i="19" s="1"/>
  <c r="E1875" i="19"/>
  <c r="D1875" i="19" s="1"/>
  <c r="E1874" i="19"/>
  <c r="D1874" i="19" s="1"/>
  <c r="E1873" i="19"/>
  <c r="D1873" i="19" s="1"/>
  <c r="E1872" i="19"/>
  <c r="D1872" i="19" s="1"/>
  <c r="E1871" i="19"/>
  <c r="D1871" i="19" s="1"/>
  <c r="E1870" i="19"/>
  <c r="D1870" i="19" s="1"/>
  <c r="E1869" i="19"/>
  <c r="D1869" i="19" s="1"/>
  <c r="E1868" i="19"/>
  <c r="D1868" i="19" s="1"/>
  <c r="E1867" i="19"/>
  <c r="D1867" i="19" s="1"/>
  <c r="E1866" i="19"/>
  <c r="D1866" i="19" s="1"/>
  <c r="E1865" i="19"/>
  <c r="D1865" i="19" s="1"/>
  <c r="E1864" i="19"/>
  <c r="D1864" i="19" s="1"/>
  <c r="E1863" i="19"/>
  <c r="D1863" i="19" s="1"/>
  <c r="E1862" i="19"/>
  <c r="D1862" i="19" s="1"/>
  <c r="E1861" i="19"/>
  <c r="D1861" i="19" s="1"/>
  <c r="E1860" i="19"/>
  <c r="D1860" i="19" s="1"/>
  <c r="E1859" i="19"/>
  <c r="D1859" i="19" s="1"/>
  <c r="E1858" i="19"/>
  <c r="D1858" i="19" s="1"/>
  <c r="E1857" i="19"/>
  <c r="D1857" i="19" s="1"/>
  <c r="E1856" i="19"/>
  <c r="D1856" i="19" s="1"/>
  <c r="E1855" i="19"/>
  <c r="D1855" i="19" s="1"/>
  <c r="E1854" i="19"/>
  <c r="D1854" i="19" s="1"/>
  <c r="E1853" i="19"/>
  <c r="D1853" i="19" s="1"/>
  <c r="E1852" i="19"/>
  <c r="D1852" i="19" s="1"/>
  <c r="E1851" i="19"/>
  <c r="D1851" i="19" s="1"/>
  <c r="E1850" i="19"/>
  <c r="D1850" i="19" s="1"/>
  <c r="E1849" i="19"/>
  <c r="D1849" i="19" s="1"/>
  <c r="E1848" i="19"/>
  <c r="D1848" i="19" s="1"/>
  <c r="E1847" i="19"/>
  <c r="D1847" i="19" s="1"/>
  <c r="E1846" i="19"/>
  <c r="D1846" i="19" s="1"/>
  <c r="E1845" i="19"/>
  <c r="D1845" i="19" s="1"/>
  <c r="E1844" i="19"/>
  <c r="D1844" i="19" s="1"/>
  <c r="E1843" i="19"/>
  <c r="D1843" i="19" s="1"/>
  <c r="E1842" i="19"/>
  <c r="D1842" i="19" s="1"/>
  <c r="E1841" i="19"/>
  <c r="D1841" i="19" s="1"/>
  <c r="E1840" i="19"/>
  <c r="D1840" i="19" s="1"/>
  <c r="E1839" i="19"/>
  <c r="D1839" i="19" s="1"/>
  <c r="E1838" i="19"/>
  <c r="D1838" i="19" s="1"/>
  <c r="E1837" i="19"/>
  <c r="D1837" i="19" s="1"/>
  <c r="E1836" i="19"/>
  <c r="D1836" i="19" s="1"/>
  <c r="E1835" i="19"/>
  <c r="D1835" i="19" s="1"/>
  <c r="E1834" i="19"/>
  <c r="D1834" i="19" s="1"/>
  <c r="E1833" i="19"/>
  <c r="D1833" i="19" s="1"/>
  <c r="E1832" i="19"/>
  <c r="D1832" i="19" s="1"/>
  <c r="E1831" i="19"/>
  <c r="D1831" i="19" s="1"/>
  <c r="E1830" i="19"/>
  <c r="D1830" i="19" s="1"/>
  <c r="E1829" i="19"/>
  <c r="D1829" i="19" s="1"/>
  <c r="E1828" i="19"/>
  <c r="D1828" i="19" s="1"/>
  <c r="E1827" i="19"/>
  <c r="D1827" i="19" s="1"/>
  <c r="E1826" i="19"/>
  <c r="D1826" i="19" s="1"/>
  <c r="E1825" i="19"/>
  <c r="D1825" i="19" s="1"/>
  <c r="E1824" i="19"/>
  <c r="D1824" i="19" s="1"/>
  <c r="E1823" i="19"/>
  <c r="D1823" i="19" s="1"/>
  <c r="E1822" i="19"/>
  <c r="D1822" i="19" s="1"/>
  <c r="E1821" i="19"/>
  <c r="D1821" i="19" s="1"/>
  <c r="E1820" i="19"/>
  <c r="D1820" i="19" s="1"/>
  <c r="E1819" i="19"/>
  <c r="D1819" i="19" s="1"/>
  <c r="E1818" i="19"/>
  <c r="D1818" i="19" s="1"/>
  <c r="E1817" i="19"/>
  <c r="D1817" i="19" s="1"/>
  <c r="E1816" i="19"/>
  <c r="D1816" i="19" s="1"/>
  <c r="E1815" i="19"/>
  <c r="D1815" i="19" s="1"/>
  <c r="E1814" i="19"/>
  <c r="D1814" i="19" s="1"/>
  <c r="E1813" i="19"/>
  <c r="D1813" i="19" s="1"/>
  <c r="E1812" i="19"/>
  <c r="D1812" i="19" s="1"/>
  <c r="E1811" i="19"/>
  <c r="D1811" i="19" s="1"/>
  <c r="E1810" i="19"/>
  <c r="D1810" i="19" s="1"/>
  <c r="E1809" i="19"/>
  <c r="D1809" i="19" s="1"/>
  <c r="E1808" i="19"/>
  <c r="D1808" i="19" s="1"/>
  <c r="E1807" i="19"/>
  <c r="D1807" i="19" s="1"/>
  <c r="E1806" i="19"/>
  <c r="D1806" i="19" s="1"/>
  <c r="E1805" i="19"/>
  <c r="D1805" i="19" s="1"/>
  <c r="E1804" i="19"/>
  <c r="D1804" i="19" s="1"/>
  <c r="E1803" i="19"/>
  <c r="D1803" i="19" s="1"/>
  <c r="E1802" i="19"/>
  <c r="D1802" i="19" s="1"/>
  <c r="E1801" i="19"/>
  <c r="D1801" i="19" s="1"/>
  <c r="E1800" i="19"/>
  <c r="D1800" i="19" s="1"/>
  <c r="E1799" i="19"/>
  <c r="D1799" i="19" s="1"/>
  <c r="E1798" i="19"/>
  <c r="D1798" i="19" s="1"/>
  <c r="E1797" i="19"/>
  <c r="D1797" i="19" s="1"/>
  <c r="E1796" i="19"/>
  <c r="D1796" i="19" s="1"/>
  <c r="E1795" i="19"/>
  <c r="D1795" i="19" s="1"/>
  <c r="E1794" i="19"/>
  <c r="D1794" i="19" s="1"/>
  <c r="E1793" i="19"/>
  <c r="D1793" i="19" s="1"/>
  <c r="E1792" i="19"/>
  <c r="D1792" i="19" s="1"/>
  <c r="E1791" i="19"/>
  <c r="D1791" i="19" s="1"/>
  <c r="E1790" i="19"/>
  <c r="D1790" i="19" s="1"/>
  <c r="E1789" i="19"/>
  <c r="D1789" i="19" s="1"/>
  <c r="E1788" i="19"/>
  <c r="D1788" i="19" s="1"/>
  <c r="E1787" i="19"/>
  <c r="D1787" i="19" s="1"/>
  <c r="E1786" i="19"/>
  <c r="D1786" i="19" s="1"/>
  <c r="E1785" i="19"/>
  <c r="D1785" i="19" s="1"/>
  <c r="E1784" i="19"/>
  <c r="D1784" i="19" s="1"/>
  <c r="E1783" i="19"/>
  <c r="D1783" i="19" s="1"/>
  <c r="E1782" i="19"/>
  <c r="D1782" i="19" s="1"/>
  <c r="E1781" i="19"/>
  <c r="D1781" i="19" s="1"/>
  <c r="E1780" i="19"/>
  <c r="D1780" i="19" s="1"/>
  <c r="E1779" i="19"/>
  <c r="D1779" i="19" s="1"/>
  <c r="E1778" i="19"/>
  <c r="D1778" i="19" s="1"/>
  <c r="E1777" i="19"/>
  <c r="D1777" i="19" s="1"/>
  <c r="E1776" i="19"/>
  <c r="D1776" i="19" s="1"/>
  <c r="E1775" i="19"/>
  <c r="D1775" i="19" s="1"/>
  <c r="E1774" i="19"/>
  <c r="D1774" i="19" s="1"/>
  <c r="E1773" i="19"/>
  <c r="D1773" i="19" s="1"/>
  <c r="E1772" i="19"/>
  <c r="D1772" i="19" s="1"/>
  <c r="E1771" i="19"/>
  <c r="D1771" i="19" s="1"/>
  <c r="E1770" i="19"/>
  <c r="D1770" i="19" s="1"/>
  <c r="E1769" i="19"/>
  <c r="D1769" i="19" s="1"/>
  <c r="E1768" i="19"/>
  <c r="D1768" i="19" s="1"/>
  <c r="E1767" i="19"/>
  <c r="D1767" i="19" s="1"/>
  <c r="E1766" i="19"/>
  <c r="D1766" i="19" s="1"/>
  <c r="E1765" i="19"/>
  <c r="D1765" i="19" s="1"/>
  <c r="E1764" i="19"/>
  <c r="D1764" i="19" s="1"/>
  <c r="E1763" i="19"/>
  <c r="D1763" i="19" s="1"/>
  <c r="E1762" i="19"/>
  <c r="D1762" i="19" s="1"/>
  <c r="E1761" i="19"/>
  <c r="D1761" i="19" s="1"/>
  <c r="E1760" i="19"/>
  <c r="D1760" i="19" s="1"/>
  <c r="E1759" i="19"/>
  <c r="D1759" i="19" s="1"/>
  <c r="E1758" i="19"/>
  <c r="D1758" i="19" s="1"/>
  <c r="E1757" i="19"/>
  <c r="D1757" i="19" s="1"/>
  <c r="E1756" i="19"/>
  <c r="D1756" i="19" s="1"/>
  <c r="E1755" i="19"/>
  <c r="D1755" i="19" s="1"/>
  <c r="E1754" i="19"/>
  <c r="D1754" i="19" s="1"/>
  <c r="E1753" i="19"/>
  <c r="D1753" i="19" s="1"/>
  <c r="E1752" i="19"/>
  <c r="D1752" i="19" s="1"/>
  <c r="E1751" i="19"/>
  <c r="D1751" i="19" s="1"/>
  <c r="E1750" i="19"/>
  <c r="D1750" i="19" s="1"/>
  <c r="E1749" i="19"/>
  <c r="D1749" i="19" s="1"/>
  <c r="E1748" i="19"/>
  <c r="D1748" i="19" s="1"/>
  <c r="E1747" i="19"/>
  <c r="D1747" i="19" s="1"/>
  <c r="E1746" i="19"/>
  <c r="D1746" i="19" s="1"/>
  <c r="E1745" i="19"/>
  <c r="D1745" i="19" s="1"/>
  <c r="E1744" i="19"/>
  <c r="D1744" i="19" s="1"/>
  <c r="E1743" i="19"/>
  <c r="D1743" i="19" s="1"/>
  <c r="E1742" i="19"/>
  <c r="D1742" i="19" s="1"/>
  <c r="E1741" i="19"/>
  <c r="D1741" i="19" s="1"/>
  <c r="E1740" i="19"/>
  <c r="D1740" i="19" s="1"/>
  <c r="E1739" i="19"/>
  <c r="D1739" i="19" s="1"/>
  <c r="E1738" i="19"/>
  <c r="D1738" i="19" s="1"/>
  <c r="E1737" i="19"/>
  <c r="D1737" i="19" s="1"/>
  <c r="E1736" i="19"/>
  <c r="D1736" i="19" s="1"/>
  <c r="E1735" i="19"/>
  <c r="D1735" i="19" s="1"/>
  <c r="E1734" i="19"/>
  <c r="D1734" i="19" s="1"/>
  <c r="E1733" i="19"/>
  <c r="D1733" i="19" s="1"/>
  <c r="E1732" i="19"/>
  <c r="D1732" i="19" s="1"/>
  <c r="E1731" i="19"/>
  <c r="D1731" i="19" s="1"/>
  <c r="E1730" i="19"/>
  <c r="D1730" i="19" s="1"/>
  <c r="E1729" i="19"/>
  <c r="D1729" i="19" s="1"/>
  <c r="E1728" i="19"/>
  <c r="D1728" i="19" s="1"/>
  <c r="E1727" i="19"/>
  <c r="D1727" i="19" s="1"/>
  <c r="E1726" i="19"/>
  <c r="D1726" i="19" s="1"/>
  <c r="E1725" i="19"/>
  <c r="D1725" i="19" s="1"/>
  <c r="E1724" i="19"/>
  <c r="D1724" i="19" s="1"/>
  <c r="E1723" i="19"/>
  <c r="D1723" i="19" s="1"/>
  <c r="E1722" i="19"/>
  <c r="D1722" i="19" s="1"/>
  <c r="E1721" i="19"/>
  <c r="D1721" i="19" s="1"/>
  <c r="E1720" i="19"/>
  <c r="D1720" i="19" s="1"/>
  <c r="E1719" i="19"/>
  <c r="D1719" i="19" s="1"/>
  <c r="E1718" i="19"/>
  <c r="D1718" i="19" s="1"/>
  <c r="E1717" i="19"/>
  <c r="D1717" i="19" s="1"/>
  <c r="E1716" i="19"/>
  <c r="D1716" i="19" s="1"/>
  <c r="E1715" i="19"/>
  <c r="D1715" i="19" s="1"/>
  <c r="E1714" i="19"/>
  <c r="D1714" i="19" s="1"/>
  <c r="E1713" i="19"/>
  <c r="D1713" i="19" s="1"/>
  <c r="E1712" i="19"/>
  <c r="D1712" i="19" s="1"/>
  <c r="E1711" i="19"/>
  <c r="D1711" i="19" s="1"/>
  <c r="E1710" i="19"/>
  <c r="D1710" i="19" s="1"/>
  <c r="E1709" i="19"/>
  <c r="D1709" i="19" s="1"/>
  <c r="E1708" i="19"/>
  <c r="D1708" i="19" s="1"/>
  <c r="E1707" i="19"/>
  <c r="D1707" i="19" s="1"/>
  <c r="E1706" i="19"/>
  <c r="D1706" i="19" s="1"/>
  <c r="E1705" i="19"/>
  <c r="D1705" i="19" s="1"/>
  <c r="E1704" i="19"/>
  <c r="D1704" i="19" s="1"/>
  <c r="E1703" i="19"/>
  <c r="D1703" i="19" s="1"/>
  <c r="E1702" i="19"/>
  <c r="D1702" i="19" s="1"/>
  <c r="E1701" i="19"/>
  <c r="D1701" i="19" s="1"/>
  <c r="E1700" i="19"/>
  <c r="D1700" i="19" s="1"/>
  <c r="E1699" i="19"/>
  <c r="D1699" i="19" s="1"/>
  <c r="E1698" i="19"/>
  <c r="D1698" i="19" s="1"/>
  <c r="E1697" i="19"/>
  <c r="D1697" i="19" s="1"/>
  <c r="E1696" i="19"/>
  <c r="D1696" i="19" s="1"/>
  <c r="E1695" i="19"/>
  <c r="D1695" i="19" s="1"/>
  <c r="E1694" i="19"/>
  <c r="D1694" i="19" s="1"/>
  <c r="E1693" i="19"/>
  <c r="D1693" i="19" s="1"/>
  <c r="E1692" i="19"/>
  <c r="D1692" i="19" s="1"/>
  <c r="E1691" i="19"/>
  <c r="D1691" i="19" s="1"/>
  <c r="E1690" i="19"/>
  <c r="D1690" i="19" s="1"/>
  <c r="E1689" i="19"/>
  <c r="D1689" i="19" s="1"/>
  <c r="E1688" i="19"/>
  <c r="D1688" i="19" s="1"/>
  <c r="E1687" i="19"/>
  <c r="D1687" i="19" s="1"/>
  <c r="E1686" i="19"/>
  <c r="D1686" i="19" s="1"/>
  <c r="E1685" i="19"/>
  <c r="D1685" i="19" s="1"/>
  <c r="E1684" i="19"/>
  <c r="D1684" i="19" s="1"/>
  <c r="E1683" i="19"/>
  <c r="D1683" i="19" s="1"/>
  <c r="E1682" i="19"/>
  <c r="D1682" i="19" s="1"/>
  <c r="E1681" i="19"/>
  <c r="D1681" i="19" s="1"/>
  <c r="E1680" i="19"/>
  <c r="D1680" i="19" s="1"/>
  <c r="E1679" i="19"/>
  <c r="D1679" i="19" s="1"/>
  <c r="E1678" i="19"/>
  <c r="D1678" i="19" s="1"/>
  <c r="E1677" i="19"/>
  <c r="D1677" i="19" s="1"/>
  <c r="E1676" i="19"/>
  <c r="D1676" i="19" s="1"/>
  <c r="E1675" i="19"/>
  <c r="D1675" i="19" s="1"/>
  <c r="E1674" i="19"/>
  <c r="D1674" i="19" s="1"/>
  <c r="E1673" i="19"/>
  <c r="D1673" i="19" s="1"/>
  <c r="E1672" i="19"/>
  <c r="D1672" i="19" s="1"/>
  <c r="E1671" i="19"/>
  <c r="D1671" i="19" s="1"/>
  <c r="E1670" i="19"/>
  <c r="D1670" i="19" s="1"/>
  <c r="E1669" i="19"/>
  <c r="D1669" i="19" s="1"/>
  <c r="E1668" i="19"/>
  <c r="D1668" i="19" s="1"/>
  <c r="E1667" i="19"/>
  <c r="D1667" i="19" s="1"/>
  <c r="E1666" i="19"/>
  <c r="D1666" i="19" s="1"/>
  <c r="E1665" i="19"/>
  <c r="D1665" i="19" s="1"/>
  <c r="E1664" i="19"/>
  <c r="D1664" i="19" s="1"/>
  <c r="E1663" i="19"/>
  <c r="D1663" i="19" s="1"/>
  <c r="E1662" i="19"/>
  <c r="D1662" i="19" s="1"/>
  <c r="E1661" i="19"/>
  <c r="D1661" i="19" s="1"/>
  <c r="E1660" i="19"/>
  <c r="D1660" i="19" s="1"/>
  <c r="E1659" i="19"/>
  <c r="D1659" i="19" s="1"/>
  <c r="E1658" i="19"/>
  <c r="D1658" i="19" s="1"/>
  <c r="E1657" i="19"/>
  <c r="D1657" i="19" s="1"/>
  <c r="E1656" i="19"/>
  <c r="D1656" i="19" s="1"/>
  <c r="E1655" i="19"/>
  <c r="D1655" i="19" s="1"/>
  <c r="E1654" i="19"/>
  <c r="D1654" i="19" s="1"/>
  <c r="E1653" i="19"/>
  <c r="D1653" i="19" s="1"/>
  <c r="E1652" i="19"/>
  <c r="D1652" i="19" s="1"/>
  <c r="E1651" i="19"/>
  <c r="D1651" i="19" s="1"/>
  <c r="E1650" i="19"/>
  <c r="D1650" i="19" s="1"/>
  <c r="E1649" i="19"/>
  <c r="D1649" i="19" s="1"/>
  <c r="E1648" i="19"/>
  <c r="D1648" i="19" s="1"/>
  <c r="E1647" i="19"/>
  <c r="D1647" i="19" s="1"/>
  <c r="E1646" i="19"/>
  <c r="D1646" i="19" s="1"/>
  <c r="E1645" i="19"/>
  <c r="D1645" i="19" s="1"/>
  <c r="E1644" i="19"/>
  <c r="D1644" i="19" s="1"/>
  <c r="E1643" i="19"/>
  <c r="D1643" i="19" s="1"/>
  <c r="E1642" i="19"/>
  <c r="D1642" i="19" s="1"/>
  <c r="E1641" i="19"/>
  <c r="D1641" i="19" s="1"/>
  <c r="E1640" i="19"/>
  <c r="D1640" i="19" s="1"/>
  <c r="E1639" i="19"/>
  <c r="D1639" i="19" s="1"/>
  <c r="E1638" i="19"/>
  <c r="D1638" i="19" s="1"/>
  <c r="E1637" i="19"/>
  <c r="D1637" i="19" s="1"/>
  <c r="E1636" i="19"/>
  <c r="D1636" i="19" s="1"/>
  <c r="E1635" i="19"/>
  <c r="D1635" i="19" s="1"/>
  <c r="E1634" i="19"/>
  <c r="D1634" i="19" s="1"/>
  <c r="E1633" i="19"/>
  <c r="D1633" i="19" s="1"/>
  <c r="E1632" i="19"/>
  <c r="D1632" i="19" s="1"/>
  <c r="E1631" i="19"/>
  <c r="D1631" i="19" s="1"/>
  <c r="E1630" i="19"/>
  <c r="D1630" i="19" s="1"/>
  <c r="E1629" i="19"/>
  <c r="D1629" i="19" s="1"/>
  <c r="E1628" i="19"/>
  <c r="D1628" i="19" s="1"/>
  <c r="E1627" i="19"/>
  <c r="D1627" i="19" s="1"/>
  <c r="E1626" i="19"/>
  <c r="D1626" i="19" s="1"/>
  <c r="E1625" i="19"/>
  <c r="D1625" i="19" s="1"/>
  <c r="E1624" i="19"/>
  <c r="D1624" i="19" s="1"/>
  <c r="E1623" i="19"/>
  <c r="D1623" i="19" s="1"/>
  <c r="E1622" i="19"/>
  <c r="D1622" i="19" s="1"/>
  <c r="E1621" i="19"/>
  <c r="D1621" i="19" s="1"/>
  <c r="E1620" i="19"/>
  <c r="D1620" i="19" s="1"/>
  <c r="E1619" i="19"/>
  <c r="D1619" i="19" s="1"/>
  <c r="E1618" i="19"/>
  <c r="D1618" i="19" s="1"/>
  <c r="E1617" i="19"/>
  <c r="D1617" i="19" s="1"/>
  <c r="E1616" i="19"/>
  <c r="D1616" i="19" s="1"/>
  <c r="E1615" i="19"/>
  <c r="D1615" i="19" s="1"/>
  <c r="E1614" i="19"/>
  <c r="D1614" i="19" s="1"/>
  <c r="E1613" i="19"/>
  <c r="D1613" i="19" s="1"/>
  <c r="E1612" i="19"/>
  <c r="D1612" i="19" s="1"/>
  <c r="E1611" i="19"/>
  <c r="D1611" i="19" s="1"/>
  <c r="E1610" i="19"/>
  <c r="D1610" i="19" s="1"/>
  <c r="E1609" i="19"/>
  <c r="D1609" i="19" s="1"/>
  <c r="E1608" i="19"/>
  <c r="D1608" i="19" s="1"/>
  <c r="E1607" i="19"/>
  <c r="D1607" i="19" s="1"/>
  <c r="E1606" i="19"/>
  <c r="D1606" i="19" s="1"/>
  <c r="E1605" i="19"/>
  <c r="D1605" i="19" s="1"/>
  <c r="E1604" i="19"/>
  <c r="D1604" i="19" s="1"/>
  <c r="E1603" i="19"/>
  <c r="D1603" i="19" s="1"/>
  <c r="E1602" i="19"/>
  <c r="D1602" i="19" s="1"/>
  <c r="E1601" i="19"/>
  <c r="D1601" i="19" s="1"/>
  <c r="E1600" i="19"/>
  <c r="D1600" i="19" s="1"/>
  <c r="E1599" i="19"/>
  <c r="D1599" i="19" s="1"/>
  <c r="E1598" i="19"/>
  <c r="D1598" i="19" s="1"/>
  <c r="E1597" i="19"/>
  <c r="D1597" i="19" s="1"/>
  <c r="E1596" i="19"/>
  <c r="D1596" i="19" s="1"/>
  <c r="E1595" i="19"/>
  <c r="D1595" i="19" s="1"/>
  <c r="E1594" i="19"/>
  <c r="D1594" i="19" s="1"/>
  <c r="E1593" i="19"/>
  <c r="D1593" i="19" s="1"/>
  <c r="E1592" i="19"/>
  <c r="D1592" i="19" s="1"/>
  <c r="E1591" i="19"/>
  <c r="D1591" i="19" s="1"/>
  <c r="E1590" i="19"/>
  <c r="D1590" i="19" s="1"/>
  <c r="E1589" i="19"/>
  <c r="D1589" i="19" s="1"/>
  <c r="E1588" i="19"/>
  <c r="D1588" i="19" s="1"/>
  <c r="E1587" i="19"/>
  <c r="D1587" i="19" s="1"/>
  <c r="E1586" i="19"/>
  <c r="D1586" i="19" s="1"/>
  <c r="E1585" i="19"/>
  <c r="D1585" i="19" s="1"/>
  <c r="E1584" i="19"/>
  <c r="D1584" i="19" s="1"/>
  <c r="E1583" i="19"/>
  <c r="D1583" i="19" s="1"/>
  <c r="E1582" i="19"/>
  <c r="D1582" i="19" s="1"/>
  <c r="E1581" i="19"/>
  <c r="D1581" i="19" s="1"/>
  <c r="E1580" i="19"/>
  <c r="D1580" i="19" s="1"/>
  <c r="E1579" i="19"/>
  <c r="D1579" i="19" s="1"/>
  <c r="E1578" i="19"/>
  <c r="D1578" i="19" s="1"/>
  <c r="E1577" i="19"/>
  <c r="D1577" i="19" s="1"/>
  <c r="E1576" i="19"/>
  <c r="D1576" i="19" s="1"/>
  <c r="E1575" i="19"/>
  <c r="D1575" i="19" s="1"/>
  <c r="E1574" i="19"/>
  <c r="D1574" i="19" s="1"/>
  <c r="E1573" i="19"/>
  <c r="D1573" i="19" s="1"/>
  <c r="E1572" i="19"/>
  <c r="D1572" i="19" s="1"/>
  <c r="E1571" i="19"/>
  <c r="D1571" i="19" s="1"/>
  <c r="E1570" i="19"/>
  <c r="D1570" i="19" s="1"/>
  <c r="E1569" i="19"/>
  <c r="D1569" i="19" s="1"/>
  <c r="E1568" i="19"/>
  <c r="D1568" i="19" s="1"/>
  <c r="E1567" i="19"/>
  <c r="D1567" i="19" s="1"/>
  <c r="E1566" i="19"/>
  <c r="D1566" i="19" s="1"/>
  <c r="E1565" i="19"/>
  <c r="D1565" i="19" s="1"/>
  <c r="E1564" i="19"/>
  <c r="D1564" i="19" s="1"/>
  <c r="E1563" i="19"/>
  <c r="D1563" i="19" s="1"/>
  <c r="E1562" i="19"/>
  <c r="D1562" i="19" s="1"/>
  <c r="E1561" i="19"/>
  <c r="D1561" i="19" s="1"/>
  <c r="E1560" i="19"/>
  <c r="D1560" i="19" s="1"/>
  <c r="E1559" i="19"/>
  <c r="D1559" i="19" s="1"/>
  <c r="E1558" i="19"/>
  <c r="D1558" i="19" s="1"/>
  <c r="E1557" i="19"/>
  <c r="D1557" i="19" s="1"/>
  <c r="E1556" i="19"/>
  <c r="D1556" i="19" s="1"/>
  <c r="E1555" i="19"/>
  <c r="D1555" i="19" s="1"/>
  <c r="E1554" i="19"/>
  <c r="D1554" i="19" s="1"/>
  <c r="E1553" i="19"/>
  <c r="D1553" i="19" s="1"/>
  <c r="E1552" i="19"/>
  <c r="D1552" i="19" s="1"/>
  <c r="E1551" i="19"/>
  <c r="D1551" i="19" s="1"/>
  <c r="E1550" i="19"/>
  <c r="D1550" i="19" s="1"/>
  <c r="E1549" i="19"/>
  <c r="D1549" i="19" s="1"/>
  <c r="E1548" i="19"/>
  <c r="D1548" i="19" s="1"/>
  <c r="E1547" i="19"/>
  <c r="D1547" i="19" s="1"/>
  <c r="E1546" i="19"/>
  <c r="D1546" i="19" s="1"/>
  <c r="E1545" i="19"/>
  <c r="D1545" i="19" s="1"/>
  <c r="E1544" i="19"/>
  <c r="D1544" i="19" s="1"/>
  <c r="E1543" i="19"/>
  <c r="D1543" i="19" s="1"/>
  <c r="E1542" i="19"/>
  <c r="D1542" i="19" s="1"/>
  <c r="E1541" i="19"/>
  <c r="D1541" i="19" s="1"/>
  <c r="E1540" i="19"/>
  <c r="D1540" i="19" s="1"/>
  <c r="E1539" i="19"/>
  <c r="D1539" i="19" s="1"/>
  <c r="E1538" i="19"/>
  <c r="D1538" i="19" s="1"/>
  <c r="E1537" i="19"/>
  <c r="D1537" i="19" s="1"/>
  <c r="E1536" i="19"/>
  <c r="D1536" i="19" s="1"/>
  <c r="E1535" i="19"/>
  <c r="D1535" i="19" s="1"/>
  <c r="E1534" i="19"/>
  <c r="D1534" i="19" s="1"/>
  <c r="E1533" i="19"/>
  <c r="D1533" i="19" s="1"/>
  <c r="E1532" i="19"/>
  <c r="D1532" i="19" s="1"/>
  <c r="E1531" i="19"/>
  <c r="D1531" i="19" s="1"/>
  <c r="E1530" i="19"/>
  <c r="D1530" i="19" s="1"/>
  <c r="E1529" i="19"/>
  <c r="D1529" i="19" s="1"/>
  <c r="E1528" i="19"/>
  <c r="D1528" i="19" s="1"/>
  <c r="E1527" i="19"/>
  <c r="D1527" i="19" s="1"/>
  <c r="E1526" i="19"/>
  <c r="D1526" i="19" s="1"/>
  <c r="E1525" i="19"/>
  <c r="D1525" i="19" s="1"/>
  <c r="E1524" i="19"/>
  <c r="D1524" i="19" s="1"/>
  <c r="E1523" i="19"/>
  <c r="D1523" i="19" s="1"/>
  <c r="E1522" i="19"/>
  <c r="D1522" i="19" s="1"/>
  <c r="E1521" i="19"/>
  <c r="D1521" i="19" s="1"/>
  <c r="E1520" i="19"/>
  <c r="D1520" i="19" s="1"/>
  <c r="E1519" i="19"/>
  <c r="D1519" i="19" s="1"/>
  <c r="E1518" i="19"/>
  <c r="D1518" i="19" s="1"/>
  <c r="E1517" i="19"/>
  <c r="D1517" i="19" s="1"/>
  <c r="E1516" i="19"/>
  <c r="D1516" i="19" s="1"/>
  <c r="E1515" i="19"/>
  <c r="D1515" i="19" s="1"/>
  <c r="E1514" i="19"/>
  <c r="D1514" i="19" s="1"/>
  <c r="E1513" i="19"/>
  <c r="D1513" i="19" s="1"/>
  <c r="E1512" i="19"/>
  <c r="D1512" i="19" s="1"/>
  <c r="E1511" i="19"/>
  <c r="D1511" i="19" s="1"/>
  <c r="E1510" i="19"/>
  <c r="D1510" i="19" s="1"/>
  <c r="E1509" i="19"/>
  <c r="D1509" i="19" s="1"/>
  <c r="E1508" i="19"/>
  <c r="D1508" i="19" s="1"/>
  <c r="E1507" i="19"/>
  <c r="D1507" i="19" s="1"/>
  <c r="E1506" i="19"/>
  <c r="D1506" i="19" s="1"/>
  <c r="E1505" i="19"/>
  <c r="D1505" i="19" s="1"/>
  <c r="E1504" i="19"/>
  <c r="D1504" i="19" s="1"/>
  <c r="E1503" i="19"/>
  <c r="D1503" i="19" s="1"/>
  <c r="E1502" i="19"/>
  <c r="D1502" i="19" s="1"/>
  <c r="E1501" i="19"/>
  <c r="D1501" i="19" s="1"/>
  <c r="E1500" i="19"/>
  <c r="D1500" i="19" s="1"/>
  <c r="E1499" i="19"/>
  <c r="D1499" i="19" s="1"/>
  <c r="E1498" i="19"/>
  <c r="D1498" i="19" s="1"/>
  <c r="E1497" i="19"/>
  <c r="D1497" i="19" s="1"/>
  <c r="E1496" i="19"/>
  <c r="D1496" i="19" s="1"/>
  <c r="E1495" i="19"/>
  <c r="D1495" i="19" s="1"/>
  <c r="E1494" i="19"/>
  <c r="D1494" i="19" s="1"/>
  <c r="E1493" i="19"/>
  <c r="D1493" i="19" s="1"/>
  <c r="E1492" i="19"/>
  <c r="D1492" i="19" s="1"/>
  <c r="E1491" i="19"/>
  <c r="D1491" i="19" s="1"/>
  <c r="E1490" i="19"/>
  <c r="D1490" i="19" s="1"/>
  <c r="E1489" i="19"/>
  <c r="D1489" i="19" s="1"/>
  <c r="E1488" i="19"/>
  <c r="D1488" i="19" s="1"/>
  <c r="E1487" i="19"/>
  <c r="D1487" i="19" s="1"/>
  <c r="E1486" i="19"/>
  <c r="D1486" i="19" s="1"/>
  <c r="E1485" i="19"/>
  <c r="D1485" i="19" s="1"/>
  <c r="E1484" i="19"/>
  <c r="D1484" i="19" s="1"/>
  <c r="E1483" i="19"/>
  <c r="D1483" i="19" s="1"/>
  <c r="E1482" i="19"/>
  <c r="D1482" i="19" s="1"/>
  <c r="E1481" i="19"/>
  <c r="D1481" i="19" s="1"/>
  <c r="E1480" i="19"/>
  <c r="D1480" i="19" s="1"/>
  <c r="E1479" i="19"/>
  <c r="D1479" i="19" s="1"/>
  <c r="E1478" i="19"/>
  <c r="D1478" i="19" s="1"/>
  <c r="E1477" i="19"/>
  <c r="D1477" i="19" s="1"/>
  <c r="E1476" i="19"/>
  <c r="D1476" i="19" s="1"/>
  <c r="E1475" i="19"/>
  <c r="D1475" i="19" s="1"/>
  <c r="E1474" i="19"/>
  <c r="D1474" i="19" s="1"/>
  <c r="E1473" i="19"/>
  <c r="D1473" i="19" s="1"/>
  <c r="E1472" i="19"/>
  <c r="D1472" i="19" s="1"/>
  <c r="E1471" i="19"/>
  <c r="D1471" i="19" s="1"/>
  <c r="E1470" i="19"/>
  <c r="D1470" i="19" s="1"/>
  <c r="E1469" i="19"/>
  <c r="D1469" i="19" s="1"/>
  <c r="E1468" i="19"/>
  <c r="D1468" i="19" s="1"/>
  <c r="E1467" i="19"/>
  <c r="D1467" i="19" s="1"/>
  <c r="E1466" i="19"/>
  <c r="D1466" i="19" s="1"/>
  <c r="E1465" i="19"/>
  <c r="D1465" i="19" s="1"/>
  <c r="E1464" i="19"/>
  <c r="D1464" i="19" s="1"/>
  <c r="E1463" i="19"/>
  <c r="D1463" i="19" s="1"/>
  <c r="E1462" i="19"/>
  <c r="D1462" i="19" s="1"/>
  <c r="E1461" i="19"/>
  <c r="D1461" i="19" s="1"/>
  <c r="E1460" i="19"/>
  <c r="D1460" i="19" s="1"/>
  <c r="E1459" i="19"/>
  <c r="D1459" i="19" s="1"/>
  <c r="E1458" i="19"/>
  <c r="D1458" i="19" s="1"/>
  <c r="E1457" i="19"/>
  <c r="D1457" i="19" s="1"/>
  <c r="E1456" i="19"/>
  <c r="D1456" i="19" s="1"/>
  <c r="E1455" i="19"/>
  <c r="D1455" i="19" s="1"/>
  <c r="E1454" i="19"/>
  <c r="D1454" i="19" s="1"/>
  <c r="E1453" i="19"/>
  <c r="D1453" i="19" s="1"/>
  <c r="E1452" i="19"/>
  <c r="D1452" i="19" s="1"/>
  <c r="E1451" i="19"/>
  <c r="D1451" i="19" s="1"/>
  <c r="E1450" i="19"/>
  <c r="D1450" i="19" s="1"/>
  <c r="E1449" i="19"/>
  <c r="D1449" i="19" s="1"/>
  <c r="E1448" i="19"/>
  <c r="D1448" i="19" s="1"/>
  <c r="E1447" i="19"/>
  <c r="D1447" i="19" s="1"/>
  <c r="E1446" i="19"/>
  <c r="D1446" i="19" s="1"/>
  <c r="E1445" i="19"/>
  <c r="D1445" i="19" s="1"/>
  <c r="E1444" i="19"/>
  <c r="D1444" i="19" s="1"/>
  <c r="E1443" i="19"/>
  <c r="D1443" i="19" s="1"/>
  <c r="E1442" i="19"/>
  <c r="D1442" i="19" s="1"/>
  <c r="E1441" i="19"/>
  <c r="D1441" i="19" s="1"/>
  <c r="E1440" i="19"/>
  <c r="D1440" i="19" s="1"/>
  <c r="E1439" i="19"/>
  <c r="D1439" i="19" s="1"/>
  <c r="E1438" i="19"/>
  <c r="D1438" i="19" s="1"/>
  <c r="E1437" i="19"/>
  <c r="D1437" i="19" s="1"/>
  <c r="E1436" i="19"/>
  <c r="D1436" i="19" s="1"/>
  <c r="E1435" i="19"/>
  <c r="D1435" i="19" s="1"/>
  <c r="E1434" i="19"/>
  <c r="D1434" i="19" s="1"/>
  <c r="E1433" i="19"/>
  <c r="D1433" i="19" s="1"/>
  <c r="E1432" i="19"/>
  <c r="D1432" i="19" s="1"/>
  <c r="E1431" i="19"/>
  <c r="D1431" i="19" s="1"/>
  <c r="E1430" i="19"/>
  <c r="D1430" i="19" s="1"/>
  <c r="E1429" i="19"/>
  <c r="D1429" i="19" s="1"/>
  <c r="E1428" i="19"/>
  <c r="D1428" i="19" s="1"/>
  <c r="E1427" i="19"/>
  <c r="D1427" i="19" s="1"/>
  <c r="E1426" i="19"/>
  <c r="D1426" i="19" s="1"/>
  <c r="E1425" i="19"/>
  <c r="D1425" i="19" s="1"/>
  <c r="E1424" i="19"/>
  <c r="D1424" i="19" s="1"/>
  <c r="E1423" i="19"/>
  <c r="D1423" i="19" s="1"/>
  <c r="E1422" i="19"/>
  <c r="D1422" i="19" s="1"/>
  <c r="E1421" i="19"/>
  <c r="D1421" i="19" s="1"/>
  <c r="E1420" i="19"/>
  <c r="D1420" i="19" s="1"/>
  <c r="E1419" i="19"/>
  <c r="D1419" i="19" s="1"/>
  <c r="E1418" i="19"/>
  <c r="D1418" i="19" s="1"/>
  <c r="E1417" i="19"/>
  <c r="D1417" i="19" s="1"/>
  <c r="E1416" i="19"/>
  <c r="D1416" i="19" s="1"/>
  <c r="E1415" i="19"/>
  <c r="D1415" i="19" s="1"/>
  <c r="E1414" i="19"/>
  <c r="D1414" i="19" s="1"/>
  <c r="E1413" i="19"/>
  <c r="D1413" i="19" s="1"/>
  <c r="E1412" i="19"/>
  <c r="D1412" i="19" s="1"/>
  <c r="E1411" i="19"/>
  <c r="D1411" i="19" s="1"/>
  <c r="E1410" i="19"/>
  <c r="D1410" i="19" s="1"/>
  <c r="E1409" i="19"/>
  <c r="D1409" i="19" s="1"/>
  <c r="E1408" i="19"/>
  <c r="D1408" i="19" s="1"/>
  <c r="E1407" i="19"/>
  <c r="D1407" i="19" s="1"/>
  <c r="E1406" i="19"/>
  <c r="D1406" i="19" s="1"/>
  <c r="E1405" i="19"/>
  <c r="D1405" i="19" s="1"/>
  <c r="E1404" i="19"/>
  <c r="D1404" i="19" s="1"/>
  <c r="E1403" i="19"/>
  <c r="D1403" i="19" s="1"/>
  <c r="E1402" i="19"/>
  <c r="D1402" i="19" s="1"/>
  <c r="E1401" i="19"/>
  <c r="D1401" i="19" s="1"/>
  <c r="E1400" i="19"/>
  <c r="D1400" i="19" s="1"/>
  <c r="E1399" i="19"/>
  <c r="D1399" i="19" s="1"/>
  <c r="E1398" i="19"/>
  <c r="D1398" i="19" s="1"/>
  <c r="E1397" i="19"/>
  <c r="D1397" i="19" s="1"/>
  <c r="E1396" i="19"/>
  <c r="D1396" i="19" s="1"/>
  <c r="E1395" i="19"/>
  <c r="D1395" i="19" s="1"/>
  <c r="E1394" i="19"/>
  <c r="D1394" i="19" s="1"/>
  <c r="E1393" i="19"/>
  <c r="D1393" i="19" s="1"/>
  <c r="E1392" i="19"/>
  <c r="D1392" i="19" s="1"/>
  <c r="E1391" i="19"/>
  <c r="D1391" i="19" s="1"/>
  <c r="E1390" i="19"/>
  <c r="D1390" i="19" s="1"/>
  <c r="E1389" i="19"/>
  <c r="D1389" i="19" s="1"/>
  <c r="E1388" i="19"/>
  <c r="D1388" i="19" s="1"/>
  <c r="E1387" i="19"/>
  <c r="D1387" i="19" s="1"/>
  <c r="E1386" i="19"/>
  <c r="D1386" i="19" s="1"/>
  <c r="E1385" i="19"/>
  <c r="D1385" i="19" s="1"/>
  <c r="E1384" i="19"/>
  <c r="D1384" i="19" s="1"/>
  <c r="E1383" i="19"/>
  <c r="D1383" i="19" s="1"/>
  <c r="E1382" i="19"/>
  <c r="D1382" i="19" s="1"/>
  <c r="E1381" i="19"/>
  <c r="D1381" i="19" s="1"/>
  <c r="E1380" i="19"/>
  <c r="D1380" i="19" s="1"/>
  <c r="E1379" i="19"/>
  <c r="D1379" i="19" s="1"/>
  <c r="E1378" i="19"/>
  <c r="D1378" i="19" s="1"/>
  <c r="E1377" i="19"/>
  <c r="D1377" i="19" s="1"/>
  <c r="E1376" i="19"/>
  <c r="D1376" i="19" s="1"/>
  <c r="E1375" i="19"/>
  <c r="D1375" i="19" s="1"/>
  <c r="E1374" i="19"/>
  <c r="D1374" i="19" s="1"/>
  <c r="E1373" i="19"/>
  <c r="D1373" i="19" s="1"/>
  <c r="E1372" i="19"/>
  <c r="D1372" i="19" s="1"/>
  <c r="E1371" i="19"/>
  <c r="D1371" i="19" s="1"/>
  <c r="E1370" i="19"/>
  <c r="D1370" i="19" s="1"/>
  <c r="E1369" i="19"/>
  <c r="D1369" i="19" s="1"/>
  <c r="E1368" i="19"/>
  <c r="D1368" i="19" s="1"/>
  <c r="E1367" i="19"/>
  <c r="D1367" i="19" s="1"/>
  <c r="E1366" i="19"/>
  <c r="D1366" i="19" s="1"/>
  <c r="E1365" i="19"/>
  <c r="D1365" i="19" s="1"/>
  <c r="E1364" i="19"/>
  <c r="D1364" i="19" s="1"/>
  <c r="E1363" i="19"/>
  <c r="D1363" i="19" s="1"/>
  <c r="E1362" i="19"/>
  <c r="D1362" i="19" s="1"/>
  <c r="E1361" i="19"/>
  <c r="D1361" i="19" s="1"/>
  <c r="E1360" i="19"/>
  <c r="D1360" i="19" s="1"/>
  <c r="E1359" i="19"/>
  <c r="D1359" i="19" s="1"/>
  <c r="E1358" i="19"/>
  <c r="D1358" i="19" s="1"/>
  <c r="E1357" i="19"/>
  <c r="D1357" i="19" s="1"/>
  <c r="E1356" i="19"/>
  <c r="D1356" i="19" s="1"/>
  <c r="E1355" i="19"/>
  <c r="D1355" i="19" s="1"/>
  <c r="E1354" i="19"/>
  <c r="D1354" i="19" s="1"/>
  <c r="E1353" i="19"/>
  <c r="D1353" i="19" s="1"/>
  <c r="E1352" i="19"/>
  <c r="D1352" i="19" s="1"/>
  <c r="E1351" i="19"/>
  <c r="D1351" i="19" s="1"/>
  <c r="E1350" i="19"/>
  <c r="D1350" i="19" s="1"/>
  <c r="E1349" i="19"/>
  <c r="D1349" i="19" s="1"/>
  <c r="E1348" i="19"/>
  <c r="D1348" i="19" s="1"/>
  <c r="E1347" i="19"/>
  <c r="D1347" i="19" s="1"/>
  <c r="E1346" i="19"/>
  <c r="D1346" i="19" s="1"/>
  <c r="E1345" i="19"/>
  <c r="D1345" i="19" s="1"/>
  <c r="E1344" i="19"/>
  <c r="D1344" i="19" s="1"/>
  <c r="E1343" i="19"/>
  <c r="D1343" i="19" s="1"/>
  <c r="E1342" i="19"/>
  <c r="D1342" i="19" s="1"/>
  <c r="E1341" i="19"/>
  <c r="D1341" i="19" s="1"/>
  <c r="E1340" i="19"/>
  <c r="D1340" i="19" s="1"/>
  <c r="E1339" i="19"/>
  <c r="D1339" i="19" s="1"/>
  <c r="E1338" i="19"/>
  <c r="D1338" i="19" s="1"/>
  <c r="E1337" i="19"/>
  <c r="D1337" i="19" s="1"/>
  <c r="E1336" i="19"/>
  <c r="D1336" i="19" s="1"/>
  <c r="E1335" i="19"/>
  <c r="D1335" i="19" s="1"/>
  <c r="E1334" i="19"/>
  <c r="D1334" i="19" s="1"/>
  <c r="E1333" i="19"/>
  <c r="D1333" i="19" s="1"/>
  <c r="E1332" i="19"/>
  <c r="D1332" i="19" s="1"/>
  <c r="E1331" i="19"/>
  <c r="D1331" i="19" s="1"/>
  <c r="E1330" i="19"/>
  <c r="D1330" i="19" s="1"/>
  <c r="E1329" i="19"/>
  <c r="D1329" i="19" s="1"/>
  <c r="E1328" i="19"/>
  <c r="D1328" i="19" s="1"/>
  <c r="E1327" i="19"/>
  <c r="D1327" i="19" s="1"/>
  <c r="E1326" i="19"/>
  <c r="D1326" i="19" s="1"/>
  <c r="E1325" i="19"/>
  <c r="D1325" i="19" s="1"/>
  <c r="E1324" i="19"/>
  <c r="D1324" i="19" s="1"/>
  <c r="E1323" i="19"/>
  <c r="D1323" i="19" s="1"/>
  <c r="E1322" i="19"/>
  <c r="D1322" i="19" s="1"/>
  <c r="E1321" i="19"/>
  <c r="D1321" i="19" s="1"/>
  <c r="E1320" i="19"/>
  <c r="D1320" i="19" s="1"/>
  <c r="E1319" i="19"/>
  <c r="D1319" i="19" s="1"/>
  <c r="E1318" i="19"/>
  <c r="D1318" i="19" s="1"/>
  <c r="E1317" i="19"/>
  <c r="D1317" i="19" s="1"/>
  <c r="E1316" i="19"/>
  <c r="D1316" i="19" s="1"/>
  <c r="E1315" i="19"/>
  <c r="D1315" i="19" s="1"/>
  <c r="E1314" i="19"/>
  <c r="D1314" i="19" s="1"/>
  <c r="E1313" i="19"/>
  <c r="D1313" i="19" s="1"/>
  <c r="E1312" i="19"/>
  <c r="D1312" i="19" s="1"/>
  <c r="E1311" i="19"/>
  <c r="D1311" i="19" s="1"/>
  <c r="E1310" i="19"/>
  <c r="D1310" i="19" s="1"/>
  <c r="E1309" i="19"/>
  <c r="D1309" i="19" s="1"/>
  <c r="E1308" i="19"/>
  <c r="D1308" i="19" s="1"/>
  <c r="E1307" i="19"/>
  <c r="D1307" i="19" s="1"/>
  <c r="E1306" i="19"/>
  <c r="D1306" i="19" s="1"/>
  <c r="E1305" i="19"/>
  <c r="D1305" i="19" s="1"/>
  <c r="E1304" i="19"/>
  <c r="D1304" i="19" s="1"/>
  <c r="E1303" i="19"/>
  <c r="D1303" i="19" s="1"/>
  <c r="E1302" i="19"/>
  <c r="D1302" i="19" s="1"/>
  <c r="E1301" i="19"/>
  <c r="D1301" i="19" s="1"/>
  <c r="E1300" i="19"/>
  <c r="D1300" i="19" s="1"/>
  <c r="E1299" i="19"/>
  <c r="D1299" i="19" s="1"/>
  <c r="E1298" i="19"/>
  <c r="D1298" i="19" s="1"/>
  <c r="E1297" i="19"/>
  <c r="D1297" i="19" s="1"/>
  <c r="E1296" i="19"/>
  <c r="D1296" i="19" s="1"/>
  <c r="E1295" i="19"/>
  <c r="D1295" i="19" s="1"/>
  <c r="E1294" i="19"/>
  <c r="D1294" i="19" s="1"/>
  <c r="E1293" i="19"/>
  <c r="D1293" i="19" s="1"/>
  <c r="E1292" i="19"/>
  <c r="D1292" i="19" s="1"/>
  <c r="E1291" i="19"/>
  <c r="D1291" i="19" s="1"/>
  <c r="E1290" i="19"/>
  <c r="D1290" i="19" s="1"/>
  <c r="E1289" i="19"/>
  <c r="D1289" i="19" s="1"/>
  <c r="E1288" i="19"/>
  <c r="D1288" i="19" s="1"/>
  <c r="E1287" i="19"/>
  <c r="D1287" i="19" s="1"/>
  <c r="E1286" i="19"/>
  <c r="D1286" i="19" s="1"/>
  <c r="E1285" i="19"/>
  <c r="D1285" i="19" s="1"/>
  <c r="E1284" i="19"/>
  <c r="D1284" i="19" s="1"/>
  <c r="E1283" i="19"/>
  <c r="D1283" i="19" s="1"/>
  <c r="E1282" i="19"/>
  <c r="D1282" i="19" s="1"/>
  <c r="E1281" i="19"/>
  <c r="D1281" i="19" s="1"/>
  <c r="E1280" i="19"/>
  <c r="D1280" i="19" s="1"/>
  <c r="E1279" i="19"/>
  <c r="D1279" i="19" s="1"/>
  <c r="E1278" i="19"/>
  <c r="D1278" i="19" s="1"/>
  <c r="E1277" i="19"/>
  <c r="D1277" i="19" s="1"/>
  <c r="E1276" i="19"/>
  <c r="D1276" i="19" s="1"/>
  <c r="E1275" i="19"/>
  <c r="D1275" i="19" s="1"/>
  <c r="E1274" i="19"/>
  <c r="D1274" i="19" s="1"/>
  <c r="E1273" i="19"/>
  <c r="D1273" i="19" s="1"/>
  <c r="E1272" i="19"/>
  <c r="D1272" i="19" s="1"/>
  <c r="E1271" i="19"/>
  <c r="D1271" i="19" s="1"/>
  <c r="E1270" i="19"/>
  <c r="D1270" i="19" s="1"/>
  <c r="E1269" i="19"/>
  <c r="D1269" i="19" s="1"/>
  <c r="E1268" i="19"/>
  <c r="D1268" i="19" s="1"/>
  <c r="E1267" i="19"/>
  <c r="D1267" i="19" s="1"/>
  <c r="E1266" i="19"/>
  <c r="D1266" i="19" s="1"/>
  <c r="E1265" i="19"/>
  <c r="D1265" i="19" s="1"/>
  <c r="E1264" i="19"/>
  <c r="D1264" i="19" s="1"/>
  <c r="E1263" i="19"/>
  <c r="D1263" i="19" s="1"/>
  <c r="E1262" i="19"/>
  <c r="D1262" i="19" s="1"/>
  <c r="E1261" i="19"/>
  <c r="D1261" i="19" s="1"/>
  <c r="E1260" i="19"/>
  <c r="D1260" i="19" s="1"/>
  <c r="E1259" i="19"/>
  <c r="D1259" i="19" s="1"/>
  <c r="E1258" i="19"/>
  <c r="D1258" i="19" s="1"/>
  <c r="E1257" i="19"/>
  <c r="D1257" i="19" s="1"/>
  <c r="E1256" i="19"/>
  <c r="D1256" i="19" s="1"/>
  <c r="E1255" i="19"/>
  <c r="D1255" i="19" s="1"/>
  <c r="E1254" i="19"/>
  <c r="D1254" i="19" s="1"/>
  <c r="E1253" i="19"/>
  <c r="D1253" i="19" s="1"/>
  <c r="E1252" i="19"/>
  <c r="D1252" i="19" s="1"/>
  <c r="E1251" i="19"/>
  <c r="D1251" i="19" s="1"/>
  <c r="E1250" i="19"/>
  <c r="D1250" i="19" s="1"/>
  <c r="E1249" i="19"/>
  <c r="D1249" i="19" s="1"/>
  <c r="E1248" i="19"/>
  <c r="D1248" i="19" s="1"/>
  <c r="E1247" i="19"/>
  <c r="D1247" i="19" s="1"/>
  <c r="E1246" i="19"/>
  <c r="D1246" i="19" s="1"/>
  <c r="E1245" i="19"/>
  <c r="D1245" i="19" s="1"/>
  <c r="E1244" i="19"/>
  <c r="D1244" i="19" s="1"/>
  <c r="E1243" i="19"/>
  <c r="D1243" i="19" s="1"/>
  <c r="E1242" i="19"/>
  <c r="D1242" i="19" s="1"/>
  <c r="E1241" i="19"/>
  <c r="D1241" i="19" s="1"/>
  <c r="E1240" i="19"/>
  <c r="D1240" i="19" s="1"/>
  <c r="E1239" i="19"/>
  <c r="D1239" i="19" s="1"/>
  <c r="E1238" i="19"/>
  <c r="D1238" i="19" s="1"/>
  <c r="E1237" i="19"/>
  <c r="D1237" i="19" s="1"/>
  <c r="E1236" i="19"/>
  <c r="D1236" i="19" s="1"/>
  <c r="E1235" i="19"/>
  <c r="D1235" i="19" s="1"/>
  <c r="E1234" i="19"/>
  <c r="D1234" i="19" s="1"/>
  <c r="E1233" i="19"/>
  <c r="D1233" i="19" s="1"/>
  <c r="E1232" i="19"/>
  <c r="D1232" i="19" s="1"/>
  <c r="E1231" i="19"/>
  <c r="D1231" i="19" s="1"/>
  <c r="E1230" i="19"/>
  <c r="D1230" i="19" s="1"/>
  <c r="E1229" i="19"/>
  <c r="D1229" i="19" s="1"/>
  <c r="E1228" i="19"/>
  <c r="D1228" i="19" s="1"/>
  <c r="E1227" i="19"/>
  <c r="D1227" i="19" s="1"/>
  <c r="E1226" i="19"/>
  <c r="D1226" i="19" s="1"/>
  <c r="E1225" i="19"/>
  <c r="D1225" i="19" s="1"/>
  <c r="E1224" i="19"/>
  <c r="D1224" i="19" s="1"/>
  <c r="E1223" i="19"/>
  <c r="D1223" i="19" s="1"/>
  <c r="E1222" i="19"/>
  <c r="D1222" i="19" s="1"/>
  <c r="E1221" i="19"/>
  <c r="D1221" i="19" s="1"/>
  <c r="E1220" i="19"/>
  <c r="D1220" i="19" s="1"/>
  <c r="E1219" i="19"/>
  <c r="D1219" i="19" s="1"/>
  <c r="E1218" i="19"/>
  <c r="D1218" i="19" s="1"/>
  <c r="E1217" i="19"/>
  <c r="D1217" i="19" s="1"/>
  <c r="E1216" i="19"/>
  <c r="D1216" i="19" s="1"/>
  <c r="E1215" i="19"/>
  <c r="D1215" i="19" s="1"/>
  <c r="E1214" i="19"/>
  <c r="D1214" i="19" s="1"/>
  <c r="E1213" i="19"/>
  <c r="D1213" i="19" s="1"/>
  <c r="E1212" i="19"/>
  <c r="D1212" i="19" s="1"/>
  <c r="E1211" i="19"/>
  <c r="D1211" i="19" s="1"/>
  <c r="E1210" i="19"/>
  <c r="D1210" i="19" s="1"/>
  <c r="E1209" i="19"/>
  <c r="D1209" i="19" s="1"/>
  <c r="E1208" i="19"/>
  <c r="D1208" i="19" s="1"/>
  <c r="E1207" i="19"/>
  <c r="D1207" i="19" s="1"/>
  <c r="E1206" i="19"/>
  <c r="D1206" i="19" s="1"/>
  <c r="E1205" i="19"/>
  <c r="D1205" i="19" s="1"/>
  <c r="E1204" i="19"/>
  <c r="D1204" i="19" s="1"/>
  <c r="E1203" i="19"/>
  <c r="D1203" i="19" s="1"/>
  <c r="E1202" i="19"/>
  <c r="D1202" i="19" s="1"/>
  <c r="E1201" i="19"/>
  <c r="D1201" i="19" s="1"/>
  <c r="E1200" i="19"/>
  <c r="D1200" i="19" s="1"/>
  <c r="E1199" i="19"/>
  <c r="D1199" i="19" s="1"/>
  <c r="E1198" i="19"/>
  <c r="D1198" i="19" s="1"/>
  <c r="E1197" i="19"/>
  <c r="D1197" i="19" s="1"/>
  <c r="E1196" i="19"/>
  <c r="D1196" i="19" s="1"/>
  <c r="E1195" i="19"/>
  <c r="D1195" i="19" s="1"/>
  <c r="E1194" i="19"/>
  <c r="D1194" i="19" s="1"/>
  <c r="E1193" i="19"/>
  <c r="D1193" i="19" s="1"/>
  <c r="E1192" i="19"/>
  <c r="D1192" i="19" s="1"/>
  <c r="E1191" i="19"/>
  <c r="D1191" i="19" s="1"/>
  <c r="E1190" i="19"/>
  <c r="D1190" i="19" s="1"/>
  <c r="E1189" i="19"/>
  <c r="D1189" i="19" s="1"/>
  <c r="E1188" i="19"/>
  <c r="D1188" i="19" s="1"/>
  <c r="E1187" i="19"/>
  <c r="D1187" i="19" s="1"/>
  <c r="E1186" i="19"/>
  <c r="D1186" i="19" s="1"/>
  <c r="E1185" i="19"/>
  <c r="D1185" i="19" s="1"/>
  <c r="E1184" i="19"/>
  <c r="D1184" i="19" s="1"/>
  <c r="E1183" i="19"/>
  <c r="D1183" i="19" s="1"/>
  <c r="E1182" i="19"/>
  <c r="D1182" i="19" s="1"/>
  <c r="E1181" i="19"/>
  <c r="D1181" i="19" s="1"/>
  <c r="E1180" i="19"/>
  <c r="D1180" i="19" s="1"/>
  <c r="E1179" i="19"/>
  <c r="D1179" i="19" s="1"/>
  <c r="E1178" i="19"/>
  <c r="D1178" i="19" s="1"/>
  <c r="E1177" i="19"/>
  <c r="D1177" i="19" s="1"/>
  <c r="E1176" i="19"/>
  <c r="D1176" i="19" s="1"/>
  <c r="E1175" i="19"/>
  <c r="D1175" i="19" s="1"/>
  <c r="E1174" i="19"/>
  <c r="D1174" i="19" s="1"/>
  <c r="E1173" i="19"/>
  <c r="D1173" i="19" s="1"/>
  <c r="E1172" i="19"/>
  <c r="D1172" i="19" s="1"/>
  <c r="E1171" i="19"/>
  <c r="D1171" i="19" s="1"/>
  <c r="E1170" i="19"/>
  <c r="D1170" i="19" s="1"/>
  <c r="E1169" i="19"/>
  <c r="D1169" i="19" s="1"/>
  <c r="E1168" i="19"/>
  <c r="D1168" i="19" s="1"/>
  <c r="E1167" i="19"/>
  <c r="D1167" i="19" s="1"/>
  <c r="E1166" i="19"/>
  <c r="D1166" i="19" s="1"/>
  <c r="E1165" i="19"/>
  <c r="D1165" i="19" s="1"/>
  <c r="E1164" i="19"/>
  <c r="D1164" i="19" s="1"/>
  <c r="E1163" i="19"/>
  <c r="D1163" i="19" s="1"/>
  <c r="E1162" i="19"/>
  <c r="D1162" i="19" s="1"/>
  <c r="E1161" i="19"/>
  <c r="D1161" i="19" s="1"/>
  <c r="E1160" i="19"/>
  <c r="D1160" i="19" s="1"/>
  <c r="E1159" i="19"/>
  <c r="D1159" i="19" s="1"/>
  <c r="E1158" i="19"/>
  <c r="D1158" i="19" s="1"/>
  <c r="E1157" i="19"/>
  <c r="D1157" i="19" s="1"/>
  <c r="E1156" i="19"/>
  <c r="D1156" i="19" s="1"/>
  <c r="E1155" i="19"/>
  <c r="D1155" i="19" s="1"/>
  <c r="E1154" i="19"/>
  <c r="D1154" i="19" s="1"/>
  <c r="E1153" i="19"/>
  <c r="D1153" i="19" s="1"/>
  <c r="E1152" i="19"/>
  <c r="D1152" i="19" s="1"/>
  <c r="E1151" i="19"/>
  <c r="D1151" i="19" s="1"/>
  <c r="E1150" i="19"/>
  <c r="D1150" i="19" s="1"/>
  <c r="E1149" i="19"/>
  <c r="D1149" i="19" s="1"/>
  <c r="E1148" i="19"/>
  <c r="D1148" i="19" s="1"/>
  <c r="E1147" i="19"/>
  <c r="D1147" i="19" s="1"/>
  <c r="E1146" i="19"/>
  <c r="D1146" i="19" s="1"/>
  <c r="E1145" i="19"/>
  <c r="D1145" i="19" s="1"/>
  <c r="E1144" i="19"/>
  <c r="D1144" i="19" s="1"/>
  <c r="E1143" i="19"/>
  <c r="D1143" i="19" s="1"/>
  <c r="E1142" i="19"/>
  <c r="D1142" i="19" s="1"/>
  <c r="E1141" i="19"/>
  <c r="D1141" i="19" s="1"/>
  <c r="E1140" i="19"/>
  <c r="D1140" i="19" s="1"/>
  <c r="E1139" i="19"/>
  <c r="D1139" i="19" s="1"/>
  <c r="E1138" i="19"/>
  <c r="D1138" i="19" s="1"/>
  <c r="E1137" i="19"/>
  <c r="D1137" i="19" s="1"/>
  <c r="E1136" i="19"/>
  <c r="D1136" i="19" s="1"/>
  <c r="E1135" i="19"/>
  <c r="D1135" i="19" s="1"/>
  <c r="E1134" i="19"/>
  <c r="D1134" i="19" s="1"/>
  <c r="E1133" i="19"/>
  <c r="D1133" i="19" s="1"/>
  <c r="E1132" i="19"/>
  <c r="D1132" i="19" s="1"/>
  <c r="E1131" i="19"/>
  <c r="D1131" i="19" s="1"/>
  <c r="E1130" i="19"/>
  <c r="D1130" i="19" s="1"/>
  <c r="E1129" i="19"/>
  <c r="D1129" i="19" s="1"/>
  <c r="E1128" i="19"/>
  <c r="D1128" i="19" s="1"/>
  <c r="E1127" i="19"/>
  <c r="D1127" i="19" s="1"/>
  <c r="E1126" i="19"/>
  <c r="D1126" i="19" s="1"/>
  <c r="E1125" i="19"/>
  <c r="D1125" i="19" s="1"/>
  <c r="E1124" i="19"/>
  <c r="D1124" i="19" s="1"/>
  <c r="E1123" i="19"/>
  <c r="D1123" i="19" s="1"/>
  <c r="E1122" i="19"/>
  <c r="D1122" i="19" s="1"/>
  <c r="E1121" i="19"/>
  <c r="D1121" i="19" s="1"/>
  <c r="E1120" i="19"/>
  <c r="D1120" i="19" s="1"/>
  <c r="E1119" i="19"/>
  <c r="D1119" i="19" s="1"/>
  <c r="E1118" i="19"/>
  <c r="D1118" i="19" s="1"/>
  <c r="E1117" i="19"/>
  <c r="D1117" i="19" s="1"/>
  <c r="E1116" i="19"/>
  <c r="D1116" i="19" s="1"/>
  <c r="E1115" i="19"/>
  <c r="D1115" i="19" s="1"/>
  <c r="E1114" i="19"/>
  <c r="D1114" i="19" s="1"/>
  <c r="E1113" i="19"/>
  <c r="D1113" i="19" s="1"/>
  <c r="E1112" i="19"/>
  <c r="D1112" i="19" s="1"/>
  <c r="E1111" i="19"/>
  <c r="D1111" i="19" s="1"/>
  <c r="E1110" i="19"/>
  <c r="D1110" i="19" s="1"/>
  <c r="E1109" i="19"/>
  <c r="D1109" i="19" s="1"/>
  <c r="E1108" i="19"/>
  <c r="D1108" i="19" s="1"/>
  <c r="E1107" i="19"/>
  <c r="D1107" i="19" s="1"/>
  <c r="E1106" i="19"/>
  <c r="D1106" i="19" s="1"/>
  <c r="E1105" i="19"/>
  <c r="D1105" i="19" s="1"/>
  <c r="E1104" i="19"/>
  <c r="D1104" i="19" s="1"/>
  <c r="E1103" i="19"/>
  <c r="D1103" i="19" s="1"/>
  <c r="E1102" i="19"/>
  <c r="D1102" i="19" s="1"/>
  <c r="E1101" i="19"/>
  <c r="D1101" i="19" s="1"/>
  <c r="E1100" i="19"/>
  <c r="D1100" i="19" s="1"/>
  <c r="E1099" i="19"/>
  <c r="D1099" i="19" s="1"/>
  <c r="E1098" i="19"/>
  <c r="D1098" i="19" s="1"/>
  <c r="E1097" i="19"/>
  <c r="D1097" i="19" s="1"/>
  <c r="E1096" i="19"/>
  <c r="D1096" i="19" s="1"/>
  <c r="E1095" i="19"/>
  <c r="D1095" i="19" s="1"/>
  <c r="E1094" i="19"/>
  <c r="D1094" i="19" s="1"/>
  <c r="E1093" i="19"/>
  <c r="D1093" i="19" s="1"/>
  <c r="E1092" i="19"/>
  <c r="D1092" i="19" s="1"/>
  <c r="E1091" i="19"/>
  <c r="D1091" i="19" s="1"/>
  <c r="E1090" i="19"/>
  <c r="D1090" i="19" s="1"/>
  <c r="E1089" i="19"/>
  <c r="D1089" i="19" s="1"/>
  <c r="E1088" i="19"/>
  <c r="D1088" i="19" s="1"/>
  <c r="E1087" i="19"/>
  <c r="D1087" i="19" s="1"/>
  <c r="E1086" i="19"/>
  <c r="D1086" i="19" s="1"/>
  <c r="E1085" i="19"/>
  <c r="D1085" i="19" s="1"/>
  <c r="E1084" i="19"/>
  <c r="D1084" i="19" s="1"/>
  <c r="E1083" i="19"/>
  <c r="D1083" i="19" s="1"/>
  <c r="E1082" i="19"/>
  <c r="D1082" i="19" s="1"/>
  <c r="E1081" i="19"/>
  <c r="D1081" i="19" s="1"/>
  <c r="E1080" i="19"/>
  <c r="D1080" i="19" s="1"/>
  <c r="E1079" i="19"/>
  <c r="D1079" i="19" s="1"/>
  <c r="E1078" i="19"/>
  <c r="D1078" i="19" s="1"/>
  <c r="E1077" i="19"/>
  <c r="D1077" i="19" s="1"/>
  <c r="E1076" i="19"/>
  <c r="D1076" i="19" s="1"/>
  <c r="E1075" i="19"/>
  <c r="D1075" i="19" s="1"/>
  <c r="E1074" i="19"/>
  <c r="D1074" i="19" s="1"/>
  <c r="E1073" i="19"/>
  <c r="D1073" i="19" s="1"/>
  <c r="E1072" i="19"/>
  <c r="D1072" i="19" s="1"/>
  <c r="E1071" i="19"/>
  <c r="D1071" i="19" s="1"/>
  <c r="E1070" i="19"/>
  <c r="D1070" i="19" s="1"/>
  <c r="E1069" i="19"/>
  <c r="D1069" i="19" s="1"/>
  <c r="E1068" i="19"/>
  <c r="D1068" i="19" s="1"/>
  <c r="E1067" i="19"/>
  <c r="D1067" i="19" s="1"/>
  <c r="E1066" i="19"/>
  <c r="D1066" i="19" s="1"/>
  <c r="E1065" i="19"/>
  <c r="D1065" i="19" s="1"/>
  <c r="E1064" i="19"/>
  <c r="D1064" i="19" s="1"/>
  <c r="E1063" i="19"/>
  <c r="D1063" i="19" s="1"/>
  <c r="E1062" i="19"/>
  <c r="D1062" i="19" s="1"/>
  <c r="E1061" i="19"/>
  <c r="D1061" i="19" s="1"/>
  <c r="E1060" i="19"/>
  <c r="D1060" i="19" s="1"/>
  <c r="E1059" i="19"/>
  <c r="D1059" i="19" s="1"/>
  <c r="E1058" i="19"/>
  <c r="D1058" i="19" s="1"/>
  <c r="E1057" i="19"/>
  <c r="D1057" i="19" s="1"/>
  <c r="E1056" i="19"/>
  <c r="D1056" i="19" s="1"/>
  <c r="E1055" i="19"/>
  <c r="D1055" i="19" s="1"/>
  <c r="E1054" i="19"/>
  <c r="D1054" i="19" s="1"/>
  <c r="E1053" i="19"/>
  <c r="D1053" i="19" s="1"/>
  <c r="E1052" i="19"/>
  <c r="D1052" i="19" s="1"/>
  <c r="E1051" i="19"/>
  <c r="D1051" i="19" s="1"/>
  <c r="E1050" i="19"/>
  <c r="D1050" i="19" s="1"/>
  <c r="E1049" i="19"/>
  <c r="D1049" i="19" s="1"/>
  <c r="E1048" i="19"/>
  <c r="D1048" i="19" s="1"/>
  <c r="E1047" i="19"/>
  <c r="D1047" i="19" s="1"/>
  <c r="E1046" i="19"/>
  <c r="D1046" i="19" s="1"/>
  <c r="E1045" i="19"/>
  <c r="D1045" i="19" s="1"/>
  <c r="E1044" i="19"/>
  <c r="D1044" i="19" s="1"/>
  <c r="E1043" i="19"/>
  <c r="D1043" i="19" s="1"/>
  <c r="E1042" i="19"/>
  <c r="D1042" i="19" s="1"/>
  <c r="E1041" i="19"/>
  <c r="D1041" i="19" s="1"/>
  <c r="E1040" i="19"/>
  <c r="D1040" i="19" s="1"/>
  <c r="E1039" i="19"/>
  <c r="D1039" i="19" s="1"/>
  <c r="E1038" i="19"/>
  <c r="D1038" i="19" s="1"/>
  <c r="E1037" i="19"/>
  <c r="D1037" i="19" s="1"/>
  <c r="E1036" i="19"/>
  <c r="D1036" i="19" s="1"/>
  <c r="E1035" i="19"/>
  <c r="D1035" i="19" s="1"/>
  <c r="E1034" i="19"/>
  <c r="D1034" i="19" s="1"/>
  <c r="E1033" i="19"/>
  <c r="D1033" i="19" s="1"/>
  <c r="E1032" i="19"/>
  <c r="D1032" i="19" s="1"/>
  <c r="E1031" i="19"/>
  <c r="D1031" i="19" s="1"/>
  <c r="E1030" i="19"/>
  <c r="D1030" i="19" s="1"/>
  <c r="E1029" i="19"/>
  <c r="D1029" i="19" s="1"/>
  <c r="E1028" i="19"/>
  <c r="D1028" i="19" s="1"/>
  <c r="E1027" i="19"/>
  <c r="D1027" i="19" s="1"/>
  <c r="E1026" i="19"/>
  <c r="D1026" i="19" s="1"/>
  <c r="E1025" i="19"/>
  <c r="D1025" i="19" s="1"/>
  <c r="E1024" i="19"/>
  <c r="D1024" i="19" s="1"/>
  <c r="E1023" i="19"/>
  <c r="D1023" i="19" s="1"/>
  <c r="E1022" i="19"/>
  <c r="D1022" i="19" s="1"/>
  <c r="E1021" i="19"/>
  <c r="D1021" i="19" s="1"/>
  <c r="E1020" i="19"/>
  <c r="D1020" i="19" s="1"/>
  <c r="E1019" i="19"/>
  <c r="D1019" i="19" s="1"/>
  <c r="E1018" i="19"/>
  <c r="D1018" i="19" s="1"/>
  <c r="E1017" i="19"/>
  <c r="D1017" i="19" s="1"/>
  <c r="E1016" i="19"/>
  <c r="D1016" i="19" s="1"/>
  <c r="E1015" i="19"/>
  <c r="D1015" i="19" s="1"/>
  <c r="E1014" i="19"/>
  <c r="D1014" i="19" s="1"/>
  <c r="E1013" i="19"/>
  <c r="D1013" i="19" s="1"/>
  <c r="E1012" i="19"/>
  <c r="D1012" i="19" s="1"/>
  <c r="E1011" i="19"/>
  <c r="D1011" i="19" s="1"/>
  <c r="E1010" i="19"/>
  <c r="D1010" i="19" s="1"/>
  <c r="E1009" i="19"/>
  <c r="D1009" i="19" s="1"/>
  <c r="E1008" i="19"/>
  <c r="D1008" i="19" s="1"/>
  <c r="E1007" i="19"/>
  <c r="D1007" i="19" s="1"/>
  <c r="E1006" i="19"/>
  <c r="D1006" i="19" s="1"/>
  <c r="E1005" i="19"/>
  <c r="D1005" i="19" s="1"/>
  <c r="E1004" i="19"/>
  <c r="D1004" i="19" s="1"/>
  <c r="E1003" i="19"/>
  <c r="D1003" i="19" s="1"/>
  <c r="E1002" i="19"/>
  <c r="D1002" i="19" s="1"/>
  <c r="E1001" i="19"/>
  <c r="D1001" i="19" s="1"/>
  <c r="E1000" i="19"/>
  <c r="D1000" i="19" s="1"/>
  <c r="E999" i="19"/>
  <c r="D999" i="19" s="1"/>
  <c r="E998" i="19"/>
  <c r="D998" i="19" s="1"/>
  <c r="E997" i="19"/>
  <c r="D997" i="19" s="1"/>
  <c r="E996" i="19"/>
  <c r="D996" i="19" s="1"/>
  <c r="E995" i="19"/>
  <c r="D995" i="19" s="1"/>
  <c r="E994" i="19"/>
  <c r="D994" i="19" s="1"/>
  <c r="E993" i="19"/>
  <c r="D993" i="19" s="1"/>
  <c r="E992" i="19"/>
  <c r="D992" i="19" s="1"/>
  <c r="E991" i="19"/>
  <c r="D991" i="19" s="1"/>
  <c r="E990" i="19"/>
  <c r="D990" i="19" s="1"/>
  <c r="E989" i="19"/>
  <c r="D989" i="19" s="1"/>
  <c r="E988" i="19"/>
  <c r="D988" i="19" s="1"/>
  <c r="E987" i="19"/>
  <c r="D987" i="19" s="1"/>
  <c r="E986" i="19"/>
  <c r="D986" i="19" s="1"/>
  <c r="E985" i="19"/>
  <c r="D985" i="19" s="1"/>
  <c r="E984" i="19"/>
  <c r="D984" i="19" s="1"/>
  <c r="E983" i="19"/>
  <c r="D983" i="19" s="1"/>
  <c r="E982" i="19"/>
  <c r="D982" i="19" s="1"/>
  <c r="E981" i="19"/>
  <c r="D981" i="19" s="1"/>
  <c r="E980" i="19"/>
  <c r="D980" i="19" s="1"/>
  <c r="E979" i="19"/>
  <c r="D979" i="19" s="1"/>
  <c r="E978" i="19"/>
  <c r="D978" i="19" s="1"/>
  <c r="E977" i="19"/>
  <c r="D977" i="19" s="1"/>
  <c r="E976" i="19"/>
  <c r="D976" i="19" s="1"/>
  <c r="E975" i="19"/>
  <c r="D975" i="19" s="1"/>
  <c r="E974" i="19"/>
  <c r="D974" i="19" s="1"/>
  <c r="E973" i="19"/>
  <c r="D973" i="19" s="1"/>
  <c r="E972" i="19"/>
  <c r="D972" i="19" s="1"/>
  <c r="E971" i="19"/>
  <c r="D971" i="19" s="1"/>
  <c r="E970" i="19"/>
  <c r="D970" i="19" s="1"/>
  <c r="E969" i="19"/>
  <c r="D969" i="19" s="1"/>
  <c r="E968" i="19"/>
  <c r="D968" i="19" s="1"/>
  <c r="E967" i="19"/>
  <c r="D967" i="19" s="1"/>
  <c r="E966" i="19"/>
  <c r="D966" i="19" s="1"/>
  <c r="E965" i="19"/>
  <c r="D965" i="19" s="1"/>
  <c r="E964" i="19"/>
  <c r="D964" i="19" s="1"/>
  <c r="E963" i="19"/>
  <c r="D963" i="19" s="1"/>
  <c r="E962" i="19"/>
  <c r="D962" i="19" s="1"/>
  <c r="E961" i="19"/>
  <c r="D961" i="19" s="1"/>
  <c r="E960" i="19"/>
  <c r="D960" i="19" s="1"/>
  <c r="E959" i="19"/>
  <c r="D959" i="19" s="1"/>
  <c r="E958" i="19"/>
  <c r="D958" i="19" s="1"/>
  <c r="E957" i="19"/>
  <c r="D957" i="19" s="1"/>
  <c r="E956" i="19"/>
  <c r="D956" i="19" s="1"/>
  <c r="E955" i="19"/>
  <c r="D955" i="19" s="1"/>
  <c r="E954" i="19"/>
  <c r="D954" i="19" s="1"/>
  <c r="E953" i="19"/>
  <c r="D953" i="19" s="1"/>
  <c r="E952" i="19"/>
  <c r="D952" i="19" s="1"/>
  <c r="E951" i="19"/>
  <c r="D951" i="19" s="1"/>
  <c r="E950" i="19"/>
  <c r="D950" i="19" s="1"/>
  <c r="E949" i="19"/>
  <c r="D949" i="19" s="1"/>
  <c r="E948" i="19"/>
  <c r="D948" i="19" s="1"/>
  <c r="E947" i="19"/>
  <c r="D947" i="19" s="1"/>
  <c r="E946" i="19"/>
  <c r="D946" i="19" s="1"/>
  <c r="E945" i="19"/>
  <c r="D945" i="19" s="1"/>
  <c r="E944" i="19"/>
  <c r="D944" i="19" s="1"/>
  <c r="E943" i="19"/>
  <c r="D943" i="19" s="1"/>
  <c r="E942" i="19"/>
  <c r="D942" i="19" s="1"/>
  <c r="E941" i="19"/>
  <c r="D941" i="19" s="1"/>
  <c r="E940" i="19"/>
  <c r="D940" i="19" s="1"/>
  <c r="E939" i="19"/>
  <c r="D939" i="19" s="1"/>
  <c r="E938" i="19"/>
  <c r="D938" i="19" s="1"/>
  <c r="E937" i="19"/>
  <c r="D937" i="19" s="1"/>
  <c r="E936" i="19"/>
  <c r="D936" i="19" s="1"/>
  <c r="E935" i="19"/>
  <c r="D935" i="19" s="1"/>
  <c r="E934" i="19"/>
  <c r="D934" i="19" s="1"/>
  <c r="E933" i="19"/>
  <c r="D933" i="19" s="1"/>
  <c r="E932" i="19"/>
  <c r="D932" i="19" s="1"/>
  <c r="E931" i="19"/>
  <c r="D931" i="19" s="1"/>
  <c r="E930" i="19"/>
  <c r="D930" i="19" s="1"/>
  <c r="E929" i="19"/>
  <c r="D929" i="19" s="1"/>
  <c r="E928" i="19"/>
  <c r="D928" i="19" s="1"/>
  <c r="E927" i="19"/>
  <c r="D927" i="19" s="1"/>
  <c r="E926" i="19"/>
  <c r="D926" i="19" s="1"/>
  <c r="E925" i="19"/>
  <c r="D925" i="19" s="1"/>
  <c r="E924" i="19"/>
  <c r="D924" i="19" s="1"/>
  <c r="E923" i="19"/>
  <c r="D923" i="19" s="1"/>
  <c r="E922" i="19"/>
  <c r="D922" i="19" s="1"/>
  <c r="E921" i="19"/>
  <c r="D921" i="19" s="1"/>
  <c r="E920" i="19"/>
  <c r="D920" i="19" s="1"/>
  <c r="E919" i="19"/>
  <c r="D919" i="19" s="1"/>
  <c r="E918" i="19"/>
  <c r="D918" i="19" s="1"/>
  <c r="E917" i="19"/>
  <c r="D917" i="19" s="1"/>
  <c r="E916" i="19"/>
  <c r="D916" i="19" s="1"/>
  <c r="E915" i="19"/>
  <c r="D915" i="19" s="1"/>
  <c r="E914" i="19"/>
  <c r="D914" i="19" s="1"/>
  <c r="E913" i="19"/>
  <c r="D913" i="19" s="1"/>
  <c r="E912" i="19"/>
  <c r="D912" i="19" s="1"/>
  <c r="E911" i="19"/>
  <c r="D911" i="19" s="1"/>
  <c r="E910" i="19"/>
  <c r="D910" i="19" s="1"/>
  <c r="E909" i="19"/>
  <c r="D909" i="19" s="1"/>
  <c r="E908" i="19"/>
  <c r="D908" i="19" s="1"/>
  <c r="E907" i="19"/>
  <c r="D907" i="19" s="1"/>
  <c r="E906" i="19"/>
  <c r="D906" i="19" s="1"/>
  <c r="E905" i="19"/>
  <c r="D905" i="19" s="1"/>
  <c r="E904" i="19"/>
  <c r="D904" i="19" s="1"/>
  <c r="E903" i="19"/>
  <c r="D903" i="19" s="1"/>
  <c r="E902" i="19"/>
  <c r="D902" i="19" s="1"/>
  <c r="E901" i="19"/>
  <c r="D901" i="19" s="1"/>
  <c r="E900" i="19"/>
  <c r="D900" i="19" s="1"/>
  <c r="E899" i="19"/>
  <c r="D899" i="19" s="1"/>
  <c r="E898" i="19"/>
  <c r="D898" i="19" s="1"/>
  <c r="E897" i="19"/>
  <c r="D897" i="19" s="1"/>
  <c r="E896" i="19"/>
  <c r="D896" i="19" s="1"/>
  <c r="E895" i="19"/>
  <c r="D895" i="19" s="1"/>
  <c r="E894" i="19"/>
  <c r="D894" i="19" s="1"/>
  <c r="E893" i="19"/>
  <c r="D893" i="19" s="1"/>
  <c r="E892" i="19"/>
  <c r="D892" i="19" s="1"/>
  <c r="E891" i="19"/>
  <c r="D891" i="19" s="1"/>
  <c r="E890" i="19"/>
  <c r="D890" i="19" s="1"/>
  <c r="E889" i="19"/>
  <c r="D889" i="19" s="1"/>
  <c r="E888" i="19"/>
  <c r="D888" i="19" s="1"/>
  <c r="E887" i="19"/>
  <c r="D887" i="19" s="1"/>
  <c r="E886" i="19"/>
  <c r="D886" i="19" s="1"/>
  <c r="E885" i="19"/>
  <c r="D885" i="19" s="1"/>
  <c r="E884" i="19"/>
  <c r="D884" i="19" s="1"/>
  <c r="E883" i="19"/>
  <c r="D883" i="19" s="1"/>
  <c r="E882" i="19"/>
  <c r="D882" i="19" s="1"/>
  <c r="E881" i="19"/>
  <c r="D881" i="19" s="1"/>
  <c r="E880" i="19"/>
  <c r="D880" i="19" s="1"/>
  <c r="E879" i="19"/>
  <c r="D879" i="19" s="1"/>
  <c r="E878" i="19"/>
  <c r="D878" i="19" s="1"/>
  <c r="E877" i="19"/>
  <c r="D877" i="19" s="1"/>
  <c r="E876" i="19"/>
  <c r="D876" i="19" s="1"/>
  <c r="E875" i="19"/>
  <c r="D875" i="19" s="1"/>
  <c r="E874" i="19"/>
  <c r="D874" i="19" s="1"/>
  <c r="E873" i="19"/>
  <c r="D873" i="19" s="1"/>
  <c r="E872" i="19"/>
  <c r="D872" i="19" s="1"/>
  <c r="E871" i="19"/>
  <c r="D871" i="19" s="1"/>
  <c r="E870" i="19"/>
  <c r="D870" i="19" s="1"/>
  <c r="E869" i="19"/>
  <c r="D869" i="19" s="1"/>
  <c r="E868" i="19"/>
  <c r="D868" i="19" s="1"/>
  <c r="E867" i="19"/>
  <c r="D867" i="19" s="1"/>
  <c r="E866" i="19"/>
  <c r="D866" i="19" s="1"/>
  <c r="E865" i="19"/>
  <c r="D865" i="19" s="1"/>
  <c r="E864" i="19"/>
  <c r="D864" i="19" s="1"/>
  <c r="E863" i="19"/>
  <c r="D863" i="19" s="1"/>
  <c r="E862" i="19"/>
  <c r="D862" i="19" s="1"/>
  <c r="E861" i="19"/>
  <c r="D861" i="19" s="1"/>
  <c r="E860" i="19"/>
  <c r="D860" i="19" s="1"/>
  <c r="E859" i="19"/>
  <c r="D859" i="19" s="1"/>
  <c r="E858" i="19"/>
  <c r="D858" i="19" s="1"/>
  <c r="E857" i="19"/>
  <c r="D857" i="19" s="1"/>
  <c r="E856" i="19"/>
  <c r="D856" i="19" s="1"/>
  <c r="E855" i="19"/>
  <c r="D855" i="19" s="1"/>
  <c r="E854" i="19"/>
  <c r="D854" i="19" s="1"/>
  <c r="E853" i="19"/>
  <c r="D853" i="19" s="1"/>
  <c r="E852" i="19"/>
  <c r="D852" i="19" s="1"/>
  <c r="E851" i="19"/>
  <c r="D851" i="19" s="1"/>
  <c r="E850" i="19"/>
  <c r="D850" i="19" s="1"/>
  <c r="E849" i="19"/>
  <c r="D849" i="19" s="1"/>
  <c r="E848" i="19"/>
  <c r="D848" i="19" s="1"/>
  <c r="E847" i="19"/>
  <c r="D847" i="19" s="1"/>
  <c r="E846" i="19"/>
  <c r="D846" i="19" s="1"/>
  <c r="E845" i="19"/>
  <c r="D845" i="19" s="1"/>
  <c r="E844" i="19"/>
  <c r="D844" i="19" s="1"/>
  <c r="E843" i="19"/>
  <c r="D843" i="19" s="1"/>
  <c r="E842" i="19"/>
  <c r="D842" i="19" s="1"/>
  <c r="E841" i="19"/>
  <c r="D841" i="19" s="1"/>
  <c r="E840" i="19"/>
  <c r="D840" i="19" s="1"/>
  <c r="E839" i="19"/>
  <c r="D839" i="19" s="1"/>
  <c r="E838" i="19"/>
  <c r="D838" i="19" s="1"/>
  <c r="E837" i="19"/>
  <c r="D837" i="19" s="1"/>
  <c r="E836" i="19"/>
  <c r="D836" i="19" s="1"/>
  <c r="E835" i="19"/>
  <c r="D835" i="19" s="1"/>
  <c r="E834" i="19"/>
  <c r="D834" i="19" s="1"/>
  <c r="E833" i="19"/>
  <c r="D833" i="19" s="1"/>
  <c r="E832" i="19"/>
  <c r="D832" i="19" s="1"/>
  <c r="E831" i="19"/>
  <c r="D831" i="19" s="1"/>
  <c r="E830" i="19"/>
  <c r="D830" i="19" s="1"/>
  <c r="E829" i="19"/>
  <c r="D829" i="19" s="1"/>
  <c r="E828" i="19"/>
  <c r="D828" i="19" s="1"/>
  <c r="E827" i="19"/>
  <c r="D827" i="19" s="1"/>
  <c r="E826" i="19"/>
  <c r="D826" i="19" s="1"/>
  <c r="E825" i="19"/>
  <c r="D825" i="19" s="1"/>
  <c r="E824" i="19"/>
  <c r="D824" i="19" s="1"/>
  <c r="E823" i="19"/>
  <c r="D823" i="19" s="1"/>
  <c r="E822" i="19"/>
  <c r="D822" i="19" s="1"/>
  <c r="E821" i="19"/>
  <c r="D821" i="19" s="1"/>
  <c r="E820" i="19"/>
  <c r="D820" i="19" s="1"/>
  <c r="E819" i="19"/>
  <c r="D819" i="19" s="1"/>
  <c r="E818" i="19"/>
  <c r="D818" i="19" s="1"/>
  <c r="E817" i="19"/>
  <c r="D817" i="19" s="1"/>
  <c r="E816" i="19"/>
  <c r="D816" i="19" s="1"/>
  <c r="E815" i="19"/>
  <c r="D815" i="19" s="1"/>
  <c r="E814" i="19"/>
  <c r="D814" i="19" s="1"/>
  <c r="E813" i="19"/>
  <c r="D813" i="19" s="1"/>
  <c r="E812" i="19"/>
  <c r="D812" i="19" s="1"/>
  <c r="E811" i="19"/>
  <c r="D811" i="19" s="1"/>
  <c r="E810" i="19"/>
  <c r="D810" i="19" s="1"/>
  <c r="E809" i="19"/>
  <c r="D809" i="19" s="1"/>
  <c r="E808" i="19"/>
  <c r="D808" i="19" s="1"/>
  <c r="E807" i="19"/>
  <c r="D807" i="19" s="1"/>
  <c r="E806" i="19"/>
  <c r="D806" i="19" s="1"/>
  <c r="E805" i="19"/>
  <c r="D805" i="19" s="1"/>
  <c r="E804" i="19"/>
  <c r="D804" i="19" s="1"/>
  <c r="E803" i="19"/>
  <c r="D803" i="19" s="1"/>
  <c r="E802" i="19"/>
  <c r="D802" i="19" s="1"/>
  <c r="E801" i="19"/>
  <c r="D801" i="19" s="1"/>
  <c r="E800" i="19"/>
  <c r="D800" i="19" s="1"/>
  <c r="E799" i="19"/>
  <c r="D799" i="19" s="1"/>
  <c r="E798" i="19"/>
  <c r="D798" i="19" s="1"/>
  <c r="E797" i="19"/>
  <c r="D797" i="19" s="1"/>
  <c r="E796" i="19"/>
  <c r="D796" i="19" s="1"/>
  <c r="E795" i="19"/>
  <c r="D795" i="19" s="1"/>
  <c r="E794" i="19"/>
  <c r="D794" i="19" s="1"/>
  <c r="E793" i="19"/>
  <c r="D793" i="19" s="1"/>
  <c r="E792" i="19"/>
  <c r="D792" i="19" s="1"/>
  <c r="E791" i="19"/>
  <c r="D791" i="19" s="1"/>
  <c r="E790" i="19"/>
  <c r="D790" i="19" s="1"/>
  <c r="E789" i="19"/>
  <c r="D789" i="19" s="1"/>
  <c r="E788" i="19"/>
  <c r="D788" i="19" s="1"/>
  <c r="E787" i="19"/>
  <c r="D787" i="19" s="1"/>
  <c r="E786" i="19"/>
  <c r="D786" i="19" s="1"/>
  <c r="E785" i="19"/>
  <c r="D785" i="19" s="1"/>
  <c r="E784" i="19"/>
  <c r="D784" i="19" s="1"/>
  <c r="E783" i="19"/>
  <c r="D783" i="19" s="1"/>
  <c r="E782" i="19"/>
  <c r="D782" i="19" s="1"/>
  <c r="E781" i="19"/>
  <c r="D781" i="19" s="1"/>
  <c r="E780" i="19"/>
  <c r="D780" i="19" s="1"/>
  <c r="E779" i="19"/>
  <c r="D779" i="19" s="1"/>
  <c r="E778" i="19"/>
  <c r="D778" i="19" s="1"/>
  <c r="E777" i="19"/>
  <c r="D777" i="19" s="1"/>
  <c r="E776" i="19"/>
  <c r="D776" i="19" s="1"/>
  <c r="E775" i="19"/>
  <c r="D775" i="19" s="1"/>
  <c r="E774" i="19"/>
  <c r="D774" i="19" s="1"/>
  <c r="E773" i="19"/>
  <c r="D773" i="19" s="1"/>
  <c r="E772" i="19"/>
  <c r="D772" i="19" s="1"/>
  <c r="E771" i="19"/>
  <c r="D771" i="19" s="1"/>
  <c r="E770" i="19"/>
  <c r="D770" i="19" s="1"/>
  <c r="E769" i="19"/>
  <c r="D769" i="19" s="1"/>
  <c r="E768" i="19"/>
  <c r="D768" i="19" s="1"/>
  <c r="E767" i="19"/>
  <c r="D767" i="19" s="1"/>
  <c r="E766" i="19"/>
  <c r="D766" i="19" s="1"/>
  <c r="E765" i="19"/>
  <c r="D765" i="19" s="1"/>
  <c r="E764" i="19"/>
  <c r="D764" i="19" s="1"/>
  <c r="E763" i="19"/>
  <c r="D763" i="19" s="1"/>
  <c r="E762" i="19"/>
  <c r="D762" i="19" s="1"/>
  <c r="E761" i="19"/>
  <c r="D761" i="19" s="1"/>
  <c r="E760" i="19"/>
  <c r="D760" i="19" s="1"/>
  <c r="E759" i="19"/>
  <c r="D759" i="19" s="1"/>
  <c r="E758" i="19"/>
  <c r="D758" i="19" s="1"/>
  <c r="E757" i="19"/>
  <c r="D757" i="19" s="1"/>
  <c r="E756" i="19"/>
  <c r="D756" i="19" s="1"/>
  <c r="E755" i="19"/>
  <c r="D755" i="19" s="1"/>
  <c r="E754" i="19"/>
  <c r="D754" i="19" s="1"/>
  <c r="E753" i="19"/>
  <c r="D753" i="19" s="1"/>
  <c r="E752" i="19"/>
  <c r="D752" i="19" s="1"/>
  <c r="E751" i="19"/>
  <c r="D751" i="19" s="1"/>
  <c r="E750" i="19"/>
  <c r="D750" i="19" s="1"/>
  <c r="E749" i="19"/>
  <c r="D749" i="19" s="1"/>
  <c r="E748" i="19"/>
  <c r="D748" i="19" s="1"/>
  <c r="E747" i="19"/>
  <c r="D747" i="19" s="1"/>
  <c r="E746" i="19"/>
  <c r="D746" i="19" s="1"/>
  <c r="E745" i="19"/>
  <c r="D745" i="19" s="1"/>
  <c r="E744" i="19"/>
  <c r="D744" i="19" s="1"/>
  <c r="E743" i="19"/>
  <c r="D743" i="19" s="1"/>
  <c r="E742" i="19"/>
  <c r="D742" i="19" s="1"/>
  <c r="E741" i="19"/>
  <c r="D741" i="19" s="1"/>
  <c r="E740" i="19"/>
  <c r="D740" i="19" s="1"/>
  <c r="E739" i="19"/>
  <c r="D739" i="19" s="1"/>
  <c r="E738" i="19"/>
  <c r="D738" i="19" s="1"/>
  <c r="E737" i="19"/>
  <c r="D737" i="19" s="1"/>
  <c r="E736" i="19"/>
  <c r="D736" i="19" s="1"/>
  <c r="E735" i="19"/>
  <c r="D735" i="19" s="1"/>
  <c r="E734" i="19"/>
  <c r="D734" i="19" s="1"/>
  <c r="E733" i="19"/>
  <c r="D733" i="19" s="1"/>
  <c r="E732" i="19"/>
  <c r="D732" i="19" s="1"/>
  <c r="E731" i="19"/>
  <c r="D731" i="19" s="1"/>
  <c r="E730" i="19"/>
  <c r="D730" i="19" s="1"/>
  <c r="E729" i="19"/>
  <c r="D729" i="19" s="1"/>
  <c r="E728" i="19"/>
  <c r="D728" i="19" s="1"/>
  <c r="E727" i="19"/>
  <c r="D727" i="19" s="1"/>
  <c r="E726" i="19"/>
  <c r="D726" i="19" s="1"/>
  <c r="E725" i="19"/>
  <c r="D725" i="19" s="1"/>
  <c r="E724" i="19"/>
  <c r="D724" i="19" s="1"/>
  <c r="E723" i="19"/>
  <c r="D723" i="19" s="1"/>
  <c r="E722" i="19"/>
  <c r="D722" i="19" s="1"/>
  <c r="E721" i="19"/>
  <c r="D721" i="19" s="1"/>
  <c r="E720" i="19"/>
  <c r="D720" i="19" s="1"/>
  <c r="E719" i="19"/>
  <c r="D719" i="19" s="1"/>
  <c r="E718" i="19"/>
  <c r="D718" i="19" s="1"/>
  <c r="E717" i="19"/>
  <c r="D717" i="19" s="1"/>
  <c r="E716" i="19"/>
  <c r="D716" i="19" s="1"/>
  <c r="E715" i="19"/>
  <c r="D715" i="19" s="1"/>
  <c r="E714" i="19"/>
  <c r="D714" i="19" s="1"/>
  <c r="E713" i="19"/>
  <c r="D713" i="19" s="1"/>
  <c r="E712" i="19"/>
  <c r="D712" i="19" s="1"/>
  <c r="E711" i="19"/>
  <c r="D711" i="19" s="1"/>
  <c r="E710" i="19"/>
  <c r="D710" i="19" s="1"/>
  <c r="E709" i="19"/>
  <c r="D709" i="19" s="1"/>
  <c r="E708" i="19"/>
  <c r="D708" i="19" s="1"/>
  <c r="E707" i="19"/>
  <c r="D707" i="19" s="1"/>
  <c r="E706" i="19"/>
  <c r="D706" i="19" s="1"/>
  <c r="E705" i="19"/>
  <c r="D705" i="19" s="1"/>
  <c r="E704" i="19"/>
  <c r="D704" i="19" s="1"/>
  <c r="E703" i="19"/>
  <c r="D703" i="19" s="1"/>
  <c r="E702" i="19"/>
  <c r="D702" i="19" s="1"/>
  <c r="E701" i="19"/>
  <c r="D701" i="19" s="1"/>
  <c r="E700" i="19"/>
  <c r="D700" i="19" s="1"/>
  <c r="E699" i="19"/>
  <c r="D699" i="19" s="1"/>
  <c r="E698" i="19"/>
  <c r="D698" i="19" s="1"/>
  <c r="E697" i="19"/>
  <c r="D697" i="19" s="1"/>
  <c r="E696" i="19"/>
  <c r="D696" i="19" s="1"/>
  <c r="E695" i="19"/>
  <c r="D695" i="19" s="1"/>
  <c r="E694" i="19"/>
  <c r="D694" i="19" s="1"/>
  <c r="E693" i="19"/>
  <c r="D693" i="19" s="1"/>
  <c r="E692" i="19"/>
  <c r="D692" i="19" s="1"/>
  <c r="E691" i="19"/>
  <c r="D691" i="19" s="1"/>
  <c r="E690" i="19"/>
  <c r="D690" i="19" s="1"/>
  <c r="E689" i="19"/>
  <c r="D689" i="19" s="1"/>
  <c r="E688" i="19"/>
  <c r="D688" i="19" s="1"/>
  <c r="E687" i="19"/>
  <c r="D687" i="19" s="1"/>
  <c r="E686" i="19"/>
  <c r="D686" i="19" s="1"/>
  <c r="E685" i="19"/>
  <c r="D685" i="19" s="1"/>
  <c r="E684" i="19"/>
  <c r="D684" i="19" s="1"/>
  <c r="E683" i="19"/>
  <c r="D683" i="19" s="1"/>
  <c r="E682" i="19"/>
  <c r="D682" i="19" s="1"/>
  <c r="E681" i="19"/>
  <c r="D681" i="19" s="1"/>
  <c r="E680" i="19"/>
  <c r="D680" i="19" s="1"/>
  <c r="E679" i="19"/>
  <c r="D679" i="19" s="1"/>
  <c r="E678" i="19"/>
  <c r="D678" i="19" s="1"/>
  <c r="E677" i="19"/>
  <c r="D677" i="19" s="1"/>
  <c r="E676" i="19"/>
  <c r="D676" i="19" s="1"/>
  <c r="E675" i="19"/>
  <c r="D675" i="19" s="1"/>
  <c r="E674" i="19"/>
  <c r="D674" i="19" s="1"/>
  <c r="E673" i="19"/>
  <c r="D673" i="19" s="1"/>
  <c r="E672" i="19"/>
  <c r="D672" i="19" s="1"/>
  <c r="E671" i="19"/>
  <c r="D671" i="19" s="1"/>
  <c r="E670" i="19"/>
  <c r="D670" i="19" s="1"/>
  <c r="E669" i="19"/>
  <c r="D669" i="19" s="1"/>
  <c r="E668" i="19"/>
  <c r="D668" i="19" s="1"/>
  <c r="E667" i="19"/>
  <c r="D667" i="19" s="1"/>
  <c r="E666" i="19"/>
  <c r="D666" i="19" s="1"/>
  <c r="E665" i="19"/>
  <c r="D665" i="19" s="1"/>
  <c r="E664" i="19"/>
  <c r="D664" i="19" s="1"/>
  <c r="E663" i="19"/>
  <c r="D663" i="19" s="1"/>
  <c r="E662" i="19"/>
  <c r="D662" i="19" s="1"/>
  <c r="E661" i="19"/>
  <c r="D661" i="19" s="1"/>
  <c r="E660" i="19"/>
  <c r="D660" i="19" s="1"/>
  <c r="E659" i="19"/>
  <c r="D659" i="19" s="1"/>
  <c r="E658" i="19"/>
  <c r="D658" i="19" s="1"/>
  <c r="E657" i="19"/>
  <c r="D657" i="19" s="1"/>
  <c r="E656" i="19"/>
  <c r="D656" i="19" s="1"/>
  <c r="E655" i="19"/>
  <c r="D655" i="19" s="1"/>
  <c r="E654" i="19"/>
  <c r="D654" i="19" s="1"/>
  <c r="E653" i="19"/>
  <c r="D653" i="19" s="1"/>
  <c r="E652" i="19"/>
  <c r="D652" i="19" s="1"/>
  <c r="E651" i="19"/>
  <c r="D651" i="19" s="1"/>
  <c r="E650" i="19"/>
  <c r="D650" i="19" s="1"/>
  <c r="E649" i="19"/>
  <c r="D649" i="19" s="1"/>
  <c r="E648" i="19"/>
  <c r="D648" i="19" s="1"/>
  <c r="E647" i="19"/>
  <c r="D647" i="19" s="1"/>
  <c r="E646" i="19"/>
  <c r="D646" i="19" s="1"/>
  <c r="E645" i="19"/>
  <c r="D645" i="19" s="1"/>
  <c r="E644" i="19"/>
  <c r="D644" i="19" s="1"/>
  <c r="E643" i="19"/>
  <c r="D643" i="19" s="1"/>
  <c r="E642" i="19"/>
  <c r="D642" i="19" s="1"/>
  <c r="E641" i="19"/>
  <c r="D641" i="19" s="1"/>
  <c r="E640" i="19"/>
  <c r="D640" i="19" s="1"/>
  <c r="E639" i="19"/>
  <c r="D639" i="19" s="1"/>
  <c r="E638" i="19"/>
  <c r="D638" i="19" s="1"/>
  <c r="E637" i="19"/>
  <c r="D637" i="19" s="1"/>
  <c r="E636" i="19"/>
  <c r="D636" i="19" s="1"/>
  <c r="E635" i="19"/>
  <c r="D635" i="19" s="1"/>
  <c r="E634" i="19"/>
  <c r="D634" i="19" s="1"/>
  <c r="E633" i="19"/>
  <c r="D633" i="19" s="1"/>
  <c r="E632" i="19"/>
  <c r="D632" i="19" s="1"/>
  <c r="E631" i="19"/>
  <c r="D631" i="19" s="1"/>
  <c r="E630" i="19"/>
  <c r="D630" i="19" s="1"/>
  <c r="E629" i="19"/>
  <c r="D629" i="19" s="1"/>
  <c r="E628" i="19"/>
  <c r="D628" i="19" s="1"/>
  <c r="E627" i="19"/>
  <c r="D627" i="19" s="1"/>
  <c r="E626" i="19"/>
  <c r="D626" i="19" s="1"/>
  <c r="E625" i="19"/>
  <c r="D625" i="19" s="1"/>
  <c r="E624" i="19"/>
  <c r="D624" i="19" s="1"/>
  <c r="E623" i="19"/>
  <c r="D623" i="19" s="1"/>
  <c r="E622" i="19"/>
  <c r="D622" i="19" s="1"/>
  <c r="E621" i="19"/>
  <c r="D621" i="19" s="1"/>
  <c r="E620" i="19"/>
  <c r="D620" i="19" s="1"/>
  <c r="E619" i="19"/>
  <c r="D619" i="19" s="1"/>
  <c r="E618" i="19"/>
  <c r="D618" i="19" s="1"/>
  <c r="E617" i="19"/>
  <c r="D617" i="19" s="1"/>
  <c r="E616" i="19"/>
  <c r="D616" i="19" s="1"/>
  <c r="E615" i="19"/>
  <c r="D615" i="19" s="1"/>
  <c r="E614" i="19"/>
  <c r="D614" i="19" s="1"/>
  <c r="E613" i="19"/>
  <c r="D613" i="19" s="1"/>
  <c r="E612" i="19"/>
  <c r="D612" i="19" s="1"/>
  <c r="E611" i="19"/>
  <c r="D611" i="19" s="1"/>
  <c r="E610" i="19"/>
  <c r="D610" i="19" s="1"/>
  <c r="E609" i="19"/>
  <c r="D609" i="19" s="1"/>
  <c r="E608" i="19"/>
  <c r="D608" i="19" s="1"/>
  <c r="E607" i="19"/>
  <c r="D607" i="19" s="1"/>
  <c r="E606" i="19"/>
  <c r="D606" i="19" s="1"/>
  <c r="E605" i="19"/>
  <c r="D605" i="19" s="1"/>
  <c r="E604" i="19"/>
  <c r="D604" i="19" s="1"/>
  <c r="E603" i="19"/>
  <c r="D603" i="19" s="1"/>
  <c r="E602" i="19"/>
  <c r="D602" i="19" s="1"/>
  <c r="E601" i="19"/>
  <c r="D601" i="19" s="1"/>
  <c r="E600" i="19"/>
  <c r="D600" i="19" s="1"/>
  <c r="E599" i="19"/>
  <c r="D599" i="19" s="1"/>
  <c r="E598" i="19"/>
  <c r="D598" i="19" s="1"/>
  <c r="E597" i="19"/>
  <c r="D597" i="19" s="1"/>
  <c r="E596" i="19"/>
  <c r="D596" i="19" s="1"/>
  <c r="E595" i="19"/>
  <c r="D595" i="19" s="1"/>
  <c r="E594" i="19"/>
  <c r="D594" i="19" s="1"/>
  <c r="E593" i="19"/>
  <c r="D593" i="19" s="1"/>
  <c r="E592" i="19"/>
  <c r="D592" i="19" s="1"/>
  <c r="E591" i="19"/>
  <c r="D591" i="19" s="1"/>
  <c r="E590" i="19"/>
  <c r="D590" i="19" s="1"/>
  <c r="E589" i="19"/>
  <c r="D589" i="19" s="1"/>
  <c r="E588" i="19"/>
  <c r="D588" i="19" s="1"/>
  <c r="E587" i="19"/>
  <c r="D587" i="19" s="1"/>
  <c r="E586" i="19"/>
  <c r="D586" i="19" s="1"/>
  <c r="E585" i="19"/>
  <c r="D585" i="19" s="1"/>
  <c r="E584" i="19"/>
  <c r="D584" i="19" s="1"/>
  <c r="E583" i="19"/>
  <c r="D583" i="19" s="1"/>
  <c r="E582" i="19"/>
  <c r="D582" i="19" s="1"/>
  <c r="E581" i="19"/>
  <c r="D581" i="19" s="1"/>
  <c r="E580" i="19"/>
  <c r="D580" i="19" s="1"/>
  <c r="E579" i="19"/>
  <c r="D579" i="19" s="1"/>
  <c r="E578" i="19"/>
  <c r="D578" i="19" s="1"/>
  <c r="E577" i="19"/>
  <c r="D577" i="19" s="1"/>
  <c r="E576" i="19"/>
  <c r="D576" i="19" s="1"/>
  <c r="E575" i="19"/>
  <c r="D575" i="19" s="1"/>
  <c r="E574" i="19"/>
  <c r="D574" i="19" s="1"/>
  <c r="E573" i="19"/>
  <c r="D573" i="19" s="1"/>
  <c r="E572" i="19"/>
  <c r="D572" i="19" s="1"/>
  <c r="E571" i="19"/>
  <c r="D571" i="19" s="1"/>
  <c r="E570" i="19"/>
  <c r="D570" i="19" s="1"/>
  <c r="E569" i="19"/>
  <c r="D569" i="19" s="1"/>
  <c r="E568" i="19"/>
  <c r="D568" i="19" s="1"/>
  <c r="E567" i="19"/>
  <c r="D567" i="19" s="1"/>
  <c r="E566" i="19"/>
  <c r="D566" i="19" s="1"/>
  <c r="E565" i="19"/>
  <c r="D565" i="19" s="1"/>
  <c r="E564" i="19"/>
  <c r="D564" i="19" s="1"/>
  <c r="E563" i="19"/>
  <c r="D563" i="19" s="1"/>
  <c r="E562" i="19"/>
  <c r="D562" i="19" s="1"/>
  <c r="E561" i="19"/>
  <c r="D561" i="19" s="1"/>
  <c r="E560" i="19"/>
  <c r="D560" i="19" s="1"/>
  <c r="E559" i="19"/>
  <c r="D559" i="19" s="1"/>
  <c r="E558" i="19"/>
  <c r="D558" i="19" s="1"/>
  <c r="E557" i="19"/>
  <c r="D557" i="19" s="1"/>
  <c r="E556" i="19"/>
  <c r="D556" i="19" s="1"/>
  <c r="E555" i="19"/>
  <c r="D555" i="19" s="1"/>
  <c r="E554" i="19"/>
  <c r="D554" i="19" s="1"/>
  <c r="E553" i="19"/>
  <c r="D553" i="19" s="1"/>
  <c r="E552" i="19"/>
  <c r="D552" i="19" s="1"/>
  <c r="E551" i="19"/>
  <c r="D551" i="19" s="1"/>
  <c r="E550" i="19"/>
  <c r="D550" i="19" s="1"/>
  <c r="E549" i="19"/>
  <c r="D549" i="19" s="1"/>
  <c r="E548" i="19"/>
  <c r="D548" i="19" s="1"/>
  <c r="E547" i="19"/>
  <c r="D547" i="19" s="1"/>
  <c r="E546" i="19"/>
  <c r="D546" i="19" s="1"/>
  <c r="E545" i="19"/>
  <c r="D545" i="19" s="1"/>
  <c r="E544" i="19"/>
  <c r="D544" i="19" s="1"/>
  <c r="E543" i="19"/>
  <c r="D543" i="19" s="1"/>
  <c r="E542" i="19"/>
  <c r="D542" i="19" s="1"/>
  <c r="E541" i="19"/>
  <c r="D541" i="19" s="1"/>
  <c r="E540" i="19"/>
  <c r="D540" i="19" s="1"/>
  <c r="E539" i="19"/>
  <c r="D539" i="19" s="1"/>
  <c r="E538" i="19"/>
  <c r="D538" i="19" s="1"/>
  <c r="E537" i="19"/>
  <c r="D537" i="19" s="1"/>
  <c r="E536" i="19"/>
  <c r="D536" i="19" s="1"/>
  <c r="E535" i="19"/>
  <c r="D535" i="19" s="1"/>
  <c r="E534" i="19"/>
  <c r="D534" i="19" s="1"/>
  <c r="E533" i="19"/>
  <c r="D533" i="19" s="1"/>
  <c r="E532" i="19"/>
  <c r="D532" i="19" s="1"/>
  <c r="E531" i="19"/>
  <c r="D531" i="19" s="1"/>
  <c r="E530" i="19"/>
  <c r="D530" i="19" s="1"/>
  <c r="E529" i="19"/>
  <c r="D529" i="19" s="1"/>
  <c r="E528" i="19"/>
  <c r="D528" i="19" s="1"/>
  <c r="E527" i="19"/>
  <c r="D527" i="19" s="1"/>
  <c r="E526" i="19"/>
  <c r="D526" i="19" s="1"/>
  <c r="E525" i="19"/>
  <c r="D525" i="19" s="1"/>
  <c r="E524" i="19"/>
  <c r="D524" i="19" s="1"/>
  <c r="E523" i="19"/>
  <c r="D523" i="19" s="1"/>
  <c r="E522" i="19"/>
  <c r="D522" i="19" s="1"/>
  <c r="E521" i="19"/>
  <c r="D521" i="19" s="1"/>
  <c r="E520" i="19"/>
  <c r="D520" i="19" s="1"/>
  <c r="E519" i="19"/>
  <c r="D519" i="19" s="1"/>
  <c r="E518" i="19"/>
  <c r="D518" i="19" s="1"/>
  <c r="E517" i="19"/>
  <c r="D517" i="19" s="1"/>
  <c r="E516" i="19"/>
  <c r="D516" i="19" s="1"/>
  <c r="E515" i="19"/>
  <c r="D515" i="19" s="1"/>
  <c r="E514" i="19"/>
  <c r="D514" i="19" s="1"/>
  <c r="E513" i="19"/>
  <c r="D513" i="19" s="1"/>
  <c r="E512" i="19"/>
  <c r="D512" i="19" s="1"/>
  <c r="E511" i="19"/>
  <c r="D511" i="19" s="1"/>
  <c r="E510" i="19"/>
  <c r="D510" i="19" s="1"/>
  <c r="E509" i="19"/>
  <c r="D509" i="19" s="1"/>
  <c r="E508" i="19"/>
  <c r="D508" i="19" s="1"/>
  <c r="E507" i="19"/>
  <c r="D507" i="19" s="1"/>
  <c r="E506" i="19"/>
  <c r="D506" i="19" s="1"/>
  <c r="E505" i="19"/>
  <c r="D505" i="19" s="1"/>
  <c r="E504" i="19"/>
  <c r="D504" i="19" s="1"/>
  <c r="E503" i="19"/>
  <c r="D503" i="19" s="1"/>
  <c r="E502" i="19"/>
  <c r="D502" i="19" s="1"/>
  <c r="E501" i="19"/>
  <c r="D501" i="19" s="1"/>
  <c r="E500" i="19"/>
  <c r="D500" i="19" s="1"/>
  <c r="E499" i="19"/>
  <c r="D499" i="19" s="1"/>
  <c r="E498" i="19"/>
  <c r="D498" i="19" s="1"/>
  <c r="E497" i="19"/>
  <c r="D497" i="19" s="1"/>
  <c r="E496" i="19"/>
  <c r="D496" i="19" s="1"/>
  <c r="E495" i="19"/>
  <c r="D495" i="19" s="1"/>
  <c r="E494" i="19"/>
  <c r="D494" i="19" s="1"/>
  <c r="E493" i="19"/>
  <c r="D493" i="19" s="1"/>
  <c r="E492" i="19"/>
  <c r="D492" i="19" s="1"/>
  <c r="E491" i="19"/>
  <c r="D491" i="19" s="1"/>
  <c r="E490" i="19"/>
  <c r="D490" i="19" s="1"/>
  <c r="E489" i="19"/>
  <c r="D489" i="19" s="1"/>
  <c r="E488" i="19"/>
  <c r="D488" i="19" s="1"/>
  <c r="E487" i="19"/>
  <c r="D487" i="19" s="1"/>
  <c r="E486" i="19"/>
  <c r="D486" i="19" s="1"/>
  <c r="E485" i="19"/>
  <c r="D485" i="19" s="1"/>
  <c r="E484" i="19"/>
  <c r="D484" i="19" s="1"/>
  <c r="E483" i="19"/>
  <c r="D483" i="19" s="1"/>
  <c r="E482" i="19"/>
  <c r="D482" i="19" s="1"/>
  <c r="E481" i="19"/>
  <c r="D481" i="19" s="1"/>
  <c r="E480" i="19"/>
  <c r="D480" i="19" s="1"/>
  <c r="E479" i="19"/>
  <c r="D479" i="19" s="1"/>
  <c r="E478" i="19"/>
  <c r="D478" i="19" s="1"/>
  <c r="E477" i="19"/>
  <c r="D477" i="19" s="1"/>
  <c r="E476" i="19"/>
  <c r="D476" i="19" s="1"/>
  <c r="E475" i="19"/>
  <c r="D475" i="19" s="1"/>
  <c r="E474" i="19"/>
  <c r="D474" i="19" s="1"/>
  <c r="E473" i="19"/>
  <c r="D473" i="19" s="1"/>
  <c r="E472" i="19"/>
  <c r="D472" i="19" s="1"/>
  <c r="E471" i="19"/>
  <c r="D471" i="19" s="1"/>
  <c r="E470" i="19"/>
  <c r="D470" i="19" s="1"/>
  <c r="E469" i="19"/>
  <c r="D469" i="19" s="1"/>
  <c r="E468" i="19"/>
  <c r="D468" i="19" s="1"/>
  <c r="E467" i="19"/>
  <c r="D467" i="19" s="1"/>
  <c r="E466" i="19"/>
  <c r="D466" i="19" s="1"/>
  <c r="E465" i="19"/>
  <c r="D465" i="19" s="1"/>
  <c r="E464" i="19"/>
  <c r="D464" i="19" s="1"/>
  <c r="E463" i="19"/>
  <c r="D463" i="19" s="1"/>
  <c r="E462" i="19"/>
  <c r="D462" i="19" s="1"/>
  <c r="E461" i="19"/>
  <c r="D461" i="19" s="1"/>
  <c r="E460" i="19"/>
  <c r="D460" i="19" s="1"/>
  <c r="E459" i="19"/>
  <c r="D459" i="19" s="1"/>
  <c r="E458" i="19"/>
  <c r="D458" i="19" s="1"/>
  <c r="E457" i="19"/>
  <c r="D457" i="19" s="1"/>
  <c r="E456" i="19"/>
  <c r="D456" i="19" s="1"/>
  <c r="E455" i="19"/>
  <c r="D455" i="19" s="1"/>
  <c r="E454" i="19"/>
  <c r="D454" i="19" s="1"/>
  <c r="E453" i="19"/>
  <c r="D453" i="19" s="1"/>
  <c r="E452" i="19"/>
  <c r="D452" i="19" s="1"/>
  <c r="E451" i="19"/>
  <c r="D451" i="19" s="1"/>
  <c r="E450" i="19"/>
  <c r="D450" i="19" s="1"/>
  <c r="E449" i="19"/>
  <c r="D449" i="19" s="1"/>
  <c r="E448" i="19"/>
  <c r="D448" i="19" s="1"/>
  <c r="E447" i="19"/>
  <c r="D447" i="19" s="1"/>
  <c r="E446" i="19"/>
  <c r="D446" i="19" s="1"/>
  <c r="E445" i="19"/>
  <c r="D445" i="19" s="1"/>
  <c r="E444" i="19"/>
  <c r="D444" i="19" s="1"/>
  <c r="E443" i="19"/>
  <c r="D443" i="19" s="1"/>
  <c r="E442" i="19"/>
  <c r="D442" i="19" s="1"/>
  <c r="E441" i="19"/>
  <c r="D441" i="19" s="1"/>
  <c r="E440" i="19"/>
  <c r="D440" i="19" s="1"/>
  <c r="E439" i="19"/>
  <c r="D439" i="19" s="1"/>
  <c r="E438" i="19"/>
  <c r="D438" i="19" s="1"/>
  <c r="E437" i="19"/>
  <c r="D437" i="19" s="1"/>
  <c r="E436" i="19"/>
  <c r="D436" i="19" s="1"/>
  <c r="E435" i="19"/>
  <c r="D435" i="19" s="1"/>
  <c r="E434" i="19"/>
  <c r="D434" i="19" s="1"/>
  <c r="E433" i="19"/>
  <c r="D433" i="19" s="1"/>
  <c r="E432" i="19"/>
  <c r="D432" i="19" s="1"/>
  <c r="E431" i="19"/>
  <c r="D431" i="19" s="1"/>
  <c r="E430" i="19"/>
  <c r="D430" i="19" s="1"/>
  <c r="E429" i="19"/>
  <c r="D429" i="19" s="1"/>
  <c r="E428" i="19"/>
  <c r="D428" i="19" s="1"/>
  <c r="E427" i="19"/>
  <c r="D427" i="19" s="1"/>
  <c r="E426" i="19"/>
  <c r="D426" i="19" s="1"/>
  <c r="E425" i="19"/>
  <c r="D425" i="19" s="1"/>
  <c r="E424" i="19"/>
  <c r="D424" i="19" s="1"/>
  <c r="E423" i="19"/>
  <c r="D423" i="19" s="1"/>
  <c r="E422" i="19"/>
  <c r="D422" i="19" s="1"/>
  <c r="E421" i="19"/>
  <c r="D421" i="19" s="1"/>
  <c r="E420" i="19"/>
  <c r="D420" i="19" s="1"/>
  <c r="E419" i="19"/>
  <c r="D419" i="19" s="1"/>
  <c r="E418" i="19"/>
  <c r="D418" i="19" s="1"/>
  <c r="E417" i="19"/>
  <c r="D417" i="19" s="1"/>
  <c r="E416" i="19"/>
  <c r="D416" i="19" s="1"/>
  <c r="E415" i="19"/>
  <c r="D415" i="19" s="1"/>
  <c r="E414" i="19"/>
  <c r="D414" i="19" s="1"/>
  <c r="E413" i="19"/>
  <c r="D413" i="19" s="1"/>
  <c r="E412" i="19"/>
  <c r="D412" i="19" s="1"/>
  <c r="E411" i="19"/>
  <c r="D411" i="19" s="1"/>
  <c r="E410" i="19"/>
  <c r="D410" i="19" s="1"/>
  <c r="E409" i="19"/>
  <c r="D409" i="19" s="1"/>
  <c r="E408" i="19"/>
  <c r="D408" i="19" s="1"/>
  <c r="E407" i="19"/>
  <c r="D407" i="19" s="1"/>
  <c r="E406" i="19"/>
  <c r="D406" i="19" s="1"/>
  <c r="E405" i="19"/>
  <c r="D405" i="19" s="1"/>
  <c r="E404" i="19"/>
  <c r="D404" i="19" s="1"/>
  <c r="E403" i="19"/>
  <c r="D403" i="19" s="1"/>
  <c r="E402" i="19"/>
  <c r="D402" i="19" s="1"/>
  <c r="E401" i="19"/>
  <c r="D401" i="19" s="1"/>
  <c r="E400" i="19"/>
  <c r="D400" i="19" s="1"/>
  <c r="E399" i="19"/>
  <c r="D399" i="19" s="1"/>
  <c r="E398" i="19"/>
  <c r="D398" i="19" s="1"/>
  <c r="E397" i="19"/>
  <c r="D397" i="19" s="1"/>
  <c r="E396" i="19"/>
  <c r="D396" i="19" s="1"/>
  <c r="E395" i="19"/>
  <c r="D395" i="19" s="1"/>
  <c r="E394" i="19"/>
  <c r="D394" i="19" s="1"/>
  <c r="E393" i="19"/>
  <c r="D393" i="19" s="1"/>
  <c r="E392" i="19"/>
  <c r="D392" i="19" s="1"/>
  <c r="E391" i="19"/>
  <c r="D391" i="19" s="1"/>
  <c r="E390" i="19"/>
  <c r="D390" i="19" s="1"/>
  <c r="E389" i="19"/>
  <c r="D389" i="19" s="1"/>
  <c r="E388" i="19"/>
  <c r="D388" i="19" s="1"/>
  <c r="E387" i="19"/>
  <c r="D387" i="19" s="1"/>
  <c r="E386" i="19"/>
  <c r="D386" i="19" s="1"/>
  <c r="E385" i="19"/>
  <c r="D385" i="19" s="1"/>
  <c r="E384" i="19"/>
  <c r="D384" i="19" s="1"/>
  <c r="E383" i="19"/>
  <c r="D383" i="19" s="1"/>
  <c r="E382" i="19"/>
  <c r="D382" i="19" s="1"/>
  <c r="E381" i="19"/>
  <c r="D381" i="19" s="1"/>
  <c r="E380" i="19"/>
  <c r="D380" i="19" s="1"/>
  <c r="E379" i="19"/>
  <c r="D379" i="19" s="1"/>
  <c r="E378" i="19"/>
  <c r="D378" i="19" s="1"/>
  <c r="E377" i="19"/>
  <c r="D377" i="19" s="1"/>
  <c r="E376" i="19"/>
  <c r="D376" i="19" s="1"/>
  <c r="E375" i="19"/>
  <c r="D375" i="19" s="1"/>
  <c r="E374" i="19"/>
  <c r="D374" i="19" s="1"/>
  <c r="E373" i="19"/>
  <c r="D373" i="19" s="1"/>
  <c r="E372" i="19"/>
  <c r="D372" i="19" s="1"/>
  <c r="E371" i="19"/>
  <c r="D371" i="19" s="1"/>
  <c r="E370" i="19"/>
  <c r="D370" i="19" s="1"/>
  <c r="E369" i="19"/>
  <c r="D369" i="19" s="1"/>
  <c r="E368" i="19"/>
  <c r="D368" i="19" s="1"/>
  <c r="E367" i="19"/>
  <c r="D367" i="19" s="1"/>
  <c r="E366" i="19"/>
  <c r="D366" i="19" s="1"/>
  <c r="E365" i="19"/>
  <c r="D365" i="19" s="1"/>
  <c r="E364" i="19"/>
  <c r="D364" i="19" s="1"/>
  <c r="E363" i="19"/>
  <c r="D363" i="19" s="1"/>
  <c r="E362" i="19"/>
  <c r="D362" i="19" s="1"/>
  <c r="E361" i="19"/>
  <c r="D361" i="19" s="1"/>
  <c r="E360" i="19"/>
  <c r="D360" i="19" s="1"/>
  <c r="E359" i="19"/>
  <c r="D359" i="19" s="1"/>
  <c r="E358" i="19"/>
  <c r="D358" i="19" s="1"/>
  <c r="E357" i="19"/>
  <c r="D357" i="19" s="1"/>
  <c r="E356" i="19"/>
  <c r="D356" i="19" s="1"/>
  <c r="E355" i="19"/>
  <c r="D355" i="19" s="1"/>
  <c r="E354" i="19"/>
  <c r="D354" i="19" s="1"/>
  <c r="E353" i="19"/>
  <c r="D353" i="19" s="1"/>
  <c r="E352" i="19"/>
  <c r="D352" i="19" s="1"/>
  <c r="E351" i="19"/>
  <c r="D351" i="19" s="1"/>
  <c r="E350" i="19"/>
  <c r="D350" i="19" s="1"/>
  <c r="E349" i="19"/>
  <c r="D349" i="19" s="1"/>
  <c r="E348" i="19"/>
  <c r="D348" i="19" s="1"/>
  <c r="E347" i="19"/>
  <c r="D347" i="19" s="1"/>
  <c r="E346" i="19"/>
  <c r="D346" i="19" s="1"/>
  <c r="E345" i="19"/>
  <c r="D345" i="19" s="1"/>
  <c r="E344" i="19"/>
  <c r="D344" i="19" s="1"/>
  <c r="E343" i="19"/>
  <c r="D343" i="19" s="1"/>
  <c r="E342" i="19"/>
  <c r="D342" i="19" s="1"/>
  <c r="E341" i="19"/>
  <c r="D341" i="19" s="1"/>
  <c r="E340" i="19"/>
  <c r="D340" i="19" s="1"/>
  <c r="E339" i="19"/>
  <c r="D339" i="19" s="1"/>
  <c r="E338" i="19"/>
  <c r="D338" i="19" s="1"/>
  <c r="E337" i="19"/>
  <c r="D337" i="19" s="1"/>
  <c r="E336" i="19"/>
  <c r="D336" i="19" s="1"/>
  <c r="E335" i="19"/>
  <c r="D335" i="19" s="1"/>
  <c r="E334" i="19"/>
  <c r="D334" i="19" s="1"/>
  <c r="E333" i="19"/>
  <c r="D333" i="19" s="1"/>
  <c r="E332" i="19"/>
  <c r="D332" i="19" s="1"/>
  <c r="E331" i="19"/>
  <c r="D331" i="19" s="1"/>
  <c r="E330" i="19"/>
  <c r="D330" i="19" s="1"/>
  <c r="E329" i="19"/>
  <c r="D329" i="19" s="1"/>
  <c r="E328" i="19"/>
  <c r="D328" i="19" s="1"/>
  <c r="E327" i="19"/>
  <c r="D327" i="19" s="1"/>
  <c r="E326" i="19"/>
  <c r="D326" i="19" s="1"/>
  <c r="E325" i="19"/>
  <c r="D325" i="19" s="1"/>
  <c r="E324" i="19"/>
  <c r="D324" i="19" s="1"/>
  <c r="E323" i="19"/>
  <c r="D323" i="19" s="1"/>
  <c r="E322" i="19"/>
  <c r="D322" i="19" s="1"/>
  <c r="E321" i="19"/>
  <c r="D321" i="19" s="1"/>
  <c r="E320" i="19"/>
  <c r="D320" i="19" s="1"/>
  <c r="E319" i="19"/>
  <c r="D319" i="19" s="1"/>
  <c r="E318" i="19"/>
  <c r="D318" i="19" s="1"/>
  <c r="E317" i="19"/>
  <c r="D317" i="19" s="1"/>
  <c r="E316" i="19"/>
  <c r="D316" i="19" s="1"/>
  <c r="E315" i="19"/>
  <c r="D315" i="19" s="1"/>
  <c r="E314" i="19"/>
  <c r="D314" i="19" s="1"/>
  <c r="E313" i="19"/>
  <c r="D313" i="19" s="1"/>
  <c r="E312" i="19"/>
  <c r="D312" i="19" s="1"/>
  <c r="E311" i="19"/>
  <c r="D311" i="19" s="1"/>
  <c r="E310" i="19"/>
  <c r="D310" i="19" s="1"/>
  <c r="E309" i="19"/>
  <c r="D309" i="19" s="1"/>
  <c r="E308" i="19"/>
  <c r="D308" i="19" s="1"/>
  <c r="E307" i="19"/>
  <c r="D307" i="19" s="1"/>
  <c r="E306" i="19"/>
  <c r="D306" i="19" s="1"/>
  <c r="E305" i="19"/>
  <c r="D305" i="19" s="1"/>
  <c r="E304" i="19"/>
  <c r="D304" i="19" s="1"/>
  <c r="E303" i="19"/>
  <c r="D303" i="19" s="1"/>
  <c r="E302" i="19"/>
  <c r="D302" i="19" s="1"/>
  <c r="E301" i="19"/>
  <c r="D301" i="19" s="1"/>
  <c r="E300" i="19"/>
  <c r="D300" i="19" s="1"/>
  <c r="E299" i="19"/>
  <c r="D299" i="19" s="1"/>
  <c r="E298" i="19"/>
  <c r="D298" i="19" s="1"/>
  <c r="E297" i="19"/>
  <c r="D297" i="19" s="1"/>
  <c r="E296" i="19"/>
  <c r="D296" i="19" s="1"/>
  <c r="E295" i="19"/>
  <c r="D295" i="19" s="1"/>
  <c r="E294" i="19"/>
  <c r="D294" i="19" s="1"/>
  <c r="E293" i="19"/>
  <c r="D293" i="19" s="1"/>
  <c r="E292" i="19"/>
  <c r="D292" i="19" s="1"/>
  <c r="E291" i="19"/>
  <c r="D291" i="19" s="1"/>
  <c r="E290" i="19"/>
  <c r="D290" i="19" s="1"/>
  <c r="E289" i="19"/>
  <c r="D289" i="19" s="1"/>
  <c r="E288" i="19"/>
  <c r="D288" i="19" s="1"/>
  <c r="E287" i="19"/>
  <c r="D287" i="19" s="1"/>
  <c r="E286" i="19"/>
  <c r="D286" i="19" s="1"/>
  <c r="E285" i="19"/>
  <c r="D285" i="19" s="1"/>
  <c r="E284" i="19"/>
  <c r="D284" i="19" s="1"/>
  <c r="E283" i="19"/>
  <c r="D283" i="19" s="1"/>
  <c r="E282" i="19"/>
  <c r="D282" i="19" s="1"/>
  <c r="E281" i="19"/>
  <c r="D281" i="19" s="1"/>
  <c r="E280" i="19"/>
  <c r="D280" i="19" s="1"/>
  <c r="E279" i="19"/>
  <c r="D279" i="19" s="1"/>
  <c r="E278" i="19"/>
  <c r="D278" i="19" s="1"/>
  <c r="E277" i="19"/>
  <c r="D277" i="19" s="1"/>
  <c r="E276" i="19"/>
  <c r="D276" i="19" s="1"/>
  <c r="E275" i="19"/>
  <c r="D275" i="19" s="1"/>
  <c r="E274" i="19"/>
  <c r="D274" i="19" s="1"/>
  <c r="E273" i="19"/>
  <c r="D273" i="19" s="1"/>
  <c r="E272" i="19"/>
  <c r="D272" i="19" s="1"/>
  <c r="E271" i="19"/>
  <c r="D271" i="19" s="1"/>
  <c r="E270" i="19"/>
  <c r="D270" i="19" s="1"/>
  <c r="E269" i="19"/>
  <c r="D269" i="19" s="1"/>
  <c r="E268" i="19"/>
  <c r="D268" i="19" s="1"/>
  <c r="E267" i="19"/>
  <c r="D267" i="19" s="1"/>
  <c r="E266" i="19"/>
  <c r="D266" i="19" s="1"/>
  <c r="E265" i="19"/>
  <c r="D265" i="19" s="1"/>
  <c r="E264" i="19"/>
  <c r="D264" i="19" s="1"/>
  <c r="E263" i="19"/>
  <c r="D263" i="19" s="1"/>
  <c r="E262" i="19"/>
  <c r="D262" i="19" s="1"/>
  <c r="E261" i="19"/>
  <c r="D261" i="19" s="1"/>
  <c r="E260" i="19"/>
  <c r="D260" i="19" s="1"/>
  <c r="E259" i="19"/>
  <c r="D259" i="19" s="1"/>
  <c r="E258" i="19"/>
  <c r="D258" i="19" s="1"/>
  <c r="E257" i="19"/>
  <c r="D257" i="19" s="1"/>
  <c r="E256" i="19"/>
  <c r="D256" i="19" s="1"/>
  <c r="E255" i="19"/>
  <c r="D255" i="19" s="1"/>
  <c r="E254" i="19"/>
  <c r="D254" i="19" s="1"/>
  <c r="E253" i="19"/>
  <c r="D253" i="19" s="1"/>
  <c r="E252" i="19"/>
  <c r="D252" i="19" s="1"/>
  <c r="E251" i="19"/>
  <c r="D251" i="19" s="1"/>
  <c r="E250" i="19"/>
  <c r="D250" i="19" s="1"/>
  <c r="E249" i="19"/>
  <c r="D249" i="19" s="1"/>
  <c r="E248" i="19"/>
  <c r="D248" i="19" s="1"/>
  <c r="E247" i="19"/>
  <c r="D247" i="19" s="1"/>
  <c r="E246" i="19"/>
  <c r="D246" i="19" s="1"/>
  <c r="E245" i="19"/>
  <c r="D245" i="19" s="1"/>
  <c r="E244" i="19"/>
  <c r="D244" i="19" s="1"/>
  <c r="E243" i="19"/>
  <c r="D243" i="19" s="1"/>
  <c r="E242" i="19"/>
  <c r="D242" i="19" s="1"/>
  <c r="E241" i="19"/>
  <c r="D241" i="19" s="1"/>
  <c r="E240" i="19"/>
  <c r="D240" i="19" s="1"/>
  <c r="E239" i="19"/>
  <c r="D239" i="19" s="1"/>
  <c r="E238" i="19"/>
  <c r="D238" i="19" s="1"/>
  <c r="E237" i="19"/>
  <c r="D237" i="19" s="1"/>
  <c r="E236" i="19"/>
  <c r="D236" i="19" s="1"/>
  <c r="E235" i="19"/>
  <c r="D235" i="19" s="1"/>
  <c r="E234" i="19"/>
  <c r="D234" i="19" s="1"/>
  <c r="E233" i="19"/>
  <c r="D233" i="19" s="1"/>
  <c r="E232" i="19"/>
  <c r="D232" i="19" s="1"/>
  <c r="E231" i="19"/>
  <c r="D231" i="19" s="1"/>
  <c r="E230" i="19"/>
  <c r="D230" i="19" s="1"/>
  <c r="E229" i="19"/>
  <c r="D229" i="19" s="1"/>
  <c r="E228" i="19"/>
  <c r="D228" i="19" s="1"/>
  <c r="E227" i="19"/>
  <c r="D227" i="19" s="1"/>
  <c r="E226" i="19"/>
  <c r="D226" i="19" s="1"/>
  <c r="E225" i="19"/>
  <c r="D225" i="19" s="1"/>
  <c r="E224" i="19"/>
  <c r="D224" i="19" s="1"/>
  <c r="E223" i="19"/>
  <c r="D223" i="19" s="1"/>
  <c r="E222" i="19"/>
  <c r="D222" i="19" s="1"/>
  <c r="E221" i="19"/>
  <c r="D221" i="19" s="1"/>
  <c r="E220" i="19"/>
  <c r="D220" i="19" s="1"/>
  <c r="E219" i="19"/>
  <c r="D219" i="19" s="1"/>
  <c r="E218" i="19"/>
  <c r="D218" i="19" s="1"/>
  <c r="E217" i="19"/>
  <c r="D217" i="19" s="1"/>
  <c r="E216" i="19"/>
  <c r="D216" i="19" s="1"/>
  <c r="E215" i="19"/>
  <c r="D215" i="19" s="1"/>
  <c r="E214" i="19"/>
  <c r="D214" i="19" s="1"/>
  <c r="E213" i="19"/>
  <c r="D213" i="19" s="1"/>
  <c r="E212" i="19"/>
  <c r="D212" i="19" s="1"/>
  <c r="E211" i="19"/>
  <c r="D211" i="19" s="1"/>
  <c r="E210" i="19"/>
  <c r="D210" i="19" s="1"/>
  <c r="E209" i="19"/>
  <c r="D209" i="19" s="1"/>
  <c r="E208" i="19"/>
  <c r="D208" i="19" s="1"/>
  <c r="E207" i="19"/>
  <c r="D207" i="19" s="1"/>
  <c r="E206" i="19"/>
  <c r="D206" i="19" s="1"/>
  <c r="E205" i="19"/>
  <c r="D205" i="19" s="1"/>
  <c r="E204" i="19"/>
  <c r="D204" i="19" s="1"/>
  <c r="E203" i="19"/>
  <c r="D203" i="19" s="1"/>
  <c r="E202" i="19"/>
  <c r="D202" i="19" s="1"/>
  <c r="E201" i="19"/>
  <c r="D201" i="19" s="1"/>
  <c r="E200" i="19"/>
  <c r="D200" i="19" s="1"/>
  <c r="E199" i="19"/>
  <c r="D199" i="19" s="1"/>
  <c r="E198" i="19"/>
  <c r="D198" i="19" s="1"/>
  <c r="E197" i="19"/>
  <c r="D197" i="19" s="1"/>
  <c r="E196" i="19"/>
  <c r="D196" i="19" s="1"/>
  <c r="E195" i="19"/>
  <c r="D195" i="19" s="1"/>
  <c r="E194" i="19"/>
  <c r="D194" i="19" s="1"/>
  <c r="E193" i="19"/>
  <c r="D193" i="19" s="1"/>
  <c r="E192" i="19"/>
  <c r="D192" i="19" s="1"/>
  <c r="E191" i="19"/>
  <c r="D191" i="19" s="1"/>
  <c r="E190" i="19"/>
  <c r="D190" i="19" s="1"/>
  <c r="E189" i="19"/>
  <c r="D189" i="19" s="1"/>
  <c r="E188" i="19"/>
  <c r="D188" i="19" s="1"/>
  <c r="E187" i="19"/>
  <c r="D187" i="19" s="1"/>
  <c r="E186" i="19"/>
  <c r="D186" i="19" s="1"/>
  <c r="E185" i="19"/>
  <c r="D185" i="19" s="1"/>
  <c r="E184" i="19"/>
  <c r="D184" i="19" s="1"/>
  <c r="E183" i="19"/>
  <c r="D183" i="19" s="1"/>
  <c r="E182" i="19"/>
  <c r="D182" i="19" s="1"/>
  <c r="E181" i="19"/>
  <c r="D181" i="19" s="1"/>
  <c r="E180" i="19"/>
  <c r="D180" i="19" s="1"/>
  <c r="E179" i="19"/>
  <c r="D179" i="19" s="1"/>
  <c r="E178" i="19"/>
  <c r="D178" i="19" s="1"/>
  <c r="E177" i="19"/>
  <c r="D177" i="19" s="1"/>
  <c r="E176" i="19"/>
  <c r="D176" i="19" s="1"/>
  <c r="E175" i="19"/>
  <c r="D175" i="19" s="1"/>
  <c r="E174" i="19"/>
  <c r="D174" i="19" s="1"/>
  <c r="E173" i="19"/>
  <c r="D173" i="19" s="1"/>
  <c r="E172" i="19"/>
  <c r="D172" i="19" s="1"/>
  <c r="E171" i="19"/>
  <c r="D171" i="19" s="1"/>
  <c r="E170" i="19"/>
  <c r="D170" i="19" s="1"/>
  <c r="E169" i="19"/>
  <c r="D169" i="19" s="1"/>
  <c r="E168" i="19"/>
  <c r="D168" i="19" s="1"/>
  <c r="E167" i="19"/>
  <c r="D167" i="19" s="1"/>
  <c r="E166" i="19"/>
  <c r="D166" i="19" s="1"/>
  <c r="E165" i="19"/>
  <c r="D165" i="19" s="1"/>
  <c r="E164" i="19"/>
  <c r="D164" i="19" s="1"/>
  <c r="E163" i="19"/>
  <c r="D163" i="19" s="1"/>
  <c r="E162" i="19"/>
  <c r="D162" i="19" s="1"/>
  <c r="E161" i="19"/>
  <c r="D161" i="19" s="1"/>
  <c r="E160" i="19"/>
  <c r="D160" i="19" s="1"/>
  <c r="E159" i="19"/>
  <c r="D159" i="19" s="1"/>
  <c r="E158" i="19"/>
  <c r="D158" i="19" s="1"/>
  <c r="E157" i="19"/>
  <c r="D157" i="19" s="1"/>
  <c r="E156" i="19"/>
  <c r="D156" i="19" s="1"/>
  <c r="E155" i="19"/>
  <c r="D155" i="19" s="1"/>
  <c r="E154" i="19"/>
  <c r="D154" i="19" s="1"/>
  <c r="E153" i="19"/>
  <c r="D153" i="19" s="1"/>
  <c r="E152" i="19"/>
  <c r="D152" i="19" s="1"/>
  <c r="E151" i="19"/>
  <c r="D151" i="19" s="1"/>
  <c r="E150" i="19"/>
  <c r="D150" i="19" s="1"/>
  <c r="E149" i="19"/>
  <c r="D149" i="19" s="1"/>
  <c r="E148" i="19"/>
  <c r="D148" i="19" s="1"/>
  <c r="E147" i="19"/>
  <c r="D147" i="19" s="1"/>
  <c r="E146" i="19"/>
  <c r="D146" i="19" s="1"/>
  <c r="E145" i="19"/>
  <c r="D145" i="19" s="1"/>
  <c r="E144" i="19"/>
  <c r="D144" i="19" s="1"/>
  <c r="E143" i="19"/>
  <c r="D143" i="19" s="1"/>
  <c r="E142" i="19"/>
  <c r="D142" i="19" s="1"/>
  <c r="E141" i="19"/>
  <c r="D141" i="19" s="1"/>
  <c r="E140" i="19"/>
  <c r="D140" i="19" s="1"/>
  <c r="E139" i="19"/>
  <c r="D139" i="19" s="1"/>
  <c r="E138" i="19"/>
  <c r="D138" i="19" s="1"/>
  <c r="E137" i="19"/>
  <c r="D137" i="19" s="1"/>
  <c r="E136" i="19"/>
  <c r="D136" i="19" s="1"/>
  <c r="E135" i="19"/>
  <c r="D135" i="19" s="1"/>
  <c r="E134" i="19"/>
  <c r="D134" i="19" s="1"/>
  <c r="E133" i="19"/>
  <c r="D133" i="19" s="1"/>
  <c r="E132" i="19"/>
  <c r="D132" i="19" s="1"/>
  <c r="E131" i="19"/>
  <c r="D131" i="19" s="1"/>
  <c r="E130" i="19"/>
  <c r="D130" i="19" s="1"/>
  <c r="E129" i="19"/>
  <c r="D129" i="19" s="1"/>
  <c r="E128" i="19"/>
  <c r="D128" i="19" s="1"/>
  <c r="E127" i="19"/>
  <c r="D127" i="19" s="1"/>
  <c r="E126" i="19"/>
  <c r="D126" i="19" s="1"/>
  <c r="E125" i="19"/>
  <c r="D125" i="19" s="1"/>
  <c r="E124" i="19"/>
  <c r="D124" i="19" s="1"/>
  <c r="E123" i="19"/>
  <c r="D123" i="19" s="1"/>
  <c r="E122" i="19"/>
  <c r="D122" i="19" s="1"/>
  <c r="E121" i="19"/>
  <c r="D121" i="19" s="1"/>
  <c r="E120" i="19"/>
  <c r="D120" i="19" s="1"/>
  <c r="E119" i="19"/>
  <c r="D119" i="19" s="1"/>
  <c r="E118" i="19"/>
  <c r="D118" i="19" s="1"/>
  <c r="E117" i="19"/>
  <c r="D117" i="19" s="1"/>
  <c r="E116" i="19"/>
  <c r="D116" i="19" s="1"/>
  <c r="E115" i="19"/>
  <c r="D115" i="19" s="1"/>
  <c r="E114" i="19"/>
  <c r="D114" i="19" s="1"/>
  <c r="E113" i="19"/>
  <c r="D113" i="19" s="1"/>
  <c r="E112" i="19"/>
  <c r="D112" i="19" s="1"/>
  <c r="E111" i="19"/>
  <c r="D111" i="19" s="1"/>
  <c r="E110" i="19"/>
  <c r="D110" i="19" s="1"/>
  <c r="E109" i="19"/>
  <c r="D109" i="19" s="1"/>
  <c r="E108" i="19"/>
  <c r="D108" i="19" s="1"/>
  <c r="E107" i="19"/>
  <c r="D107" i="19" s="1"/>
  <c r="E106" i="19"/>
  <c r="D106" i="19" s="1"/>
  <c r="E105" i="19"/>
  <c r="D105" i="19" s="1"/>
  <c r="E104" i="19"/>
  <c r="D104" i="19" s="1"/>
  <c r="E103" i="19"/>
  <c r="D103" i="19" s="1"/>
  <c r="E102" i="19"/>
  <c r="D102" i="19" s="1"/>
  <c r="E101" i="19"/>
  <c r="D101" i="19" s="1"/>
  <c r="E100" i="19"/>
  <c r="D100" i="19" s="1"/>
  <c r="E99" i="19"/>
  <c r="D99" i="19" s="1"/>
  <c r="E98" i="19"/>
  <c r="D98" i="19" s="1"/>
  <c r="E97" i="19"/>
  <c r="D97" i="19" s="1"/>
  <c r="E96" i="19"/>
  <c r="D96" i="19" s="1"/>
  <c r="E95" i="19"/>
  <c r="D95" i="19" s="1"/>
  <c r="E94" i="19"/>
  <c r="D94" i="19" s="1"/>
  <c r="E93" i="19"/>
  <c r="D93" i="19" s="1"/>
  <c r="E92" i="19"/>
  <c r="D92" i="19" s="1"/>
  <c r="E91" i="19"/>
  <c r="D91" i="19" s="1"/>
  <c r="E90" i="19"/>
  <c r="D90" i="19" s="1"/>
  <c r="E89" i="19"/>
  <c r="D89" i="19" s="1"/>
  <c r="E88" i="19"/>
  <c r="D88" i="19" s="1"/>
  <c r="E87" i="19"/>
  <c r="D87" i="19" s="1"/>
  <c r="E86" i="19"/>
  <c r="D86" i="19" s="1"/>
  <c r="E85" i="19"/>
  <c r="D85" i="19" s="1"/>
  <c r="E84" i="19"/>
  <c r="D84" i="19" s="1"/>
  <c r="E83" i="19"/>
  <c r="D83" i="19" s="1"/>
  <c r="E82" i="19"/>
  <c r="D82" i="19" s="1"/>
  <c r="E81" i="19"/>
  <c r="D81" i="19" s="1"/>
  <c r="E80" i="19"/>
  <c r="D80" i="19" s="1"/>
  <c r="E79" i="19"/>
  <c r="D79" i="19" s="1"/>
  <c r="E78" i="19"/>
  <c r="D78" i="19" s="1"/>
  <c r="E77" i="19"/>
  <c r="D77" i="19" s="1"/>
  <c r="E76" i="19"/>
  <c r="D76" i="19" s="1"/>
  <c r="E75" i="19"/>
  <c r="D75" i="19" s="1"/>
  <c r="E74" i="19"/>
  <c r="D74" i="19" s="1"/>
  <c r="E73" i="19"/>
  <c r="D73" i="19" s="1"/>
  <c r="E72" i="19"/>
  <c r="D72" i="19" s="1"/>
  <c r="E71" i="19"/>
  <c r="D71" i="19" s="1"/>
  <c r="E70" i="19"/>
  <c r="D70" i="19" s="1"/>
  <c r="E69" i="19"/>
  <c r="D69" i="19" s="1"/>
  <c r="E68" i="19"/>
  <c r="D68" i="19" s="1"/>
  <c r="E67" i="19"/>
  <c r="D67" i="19" s="1"/>
  <c r="E66" i="19"/>
  <c r="D66" i="19" s="1"/>
  <c r="E65" i="19"/>
  <c r="D65" i="19" s="1"/>
  <c r="E64" i="19"/>
  <c r="D64" i="19" s="1"/>
  <c r="E63" i="19"/>
  <c r="D63" i="19" s="1"/>
  <c r="E62" i="19"/>
  <c r="D62" i="19" s="1"/>
  <c r="E61" i="19"/>
  <c r="D61" i="19" s="1"/>
  <c r="E60" i="19"/>
  <c r="D60" i="19" s="1"/>
  <c r="E59" i="19"/>
  <c r="D59" i="19" s="1"/>
  <c r="E58" i="19"/>
  <c r="D58" i="19" s="1"/>
  <c r="E57" i="19"/>
  <c r="D57" i="19" s="1"/>
  <c r="E56" i="19"/>
  <c r="D56" i="19" s="1"/>
  <c r="E55" i="19"/>
  <c r="D55" i="19" s="1"/>
  <c r="E54" i="19"/>
  <c r="D54" i="19" s="1"/>
  <c r="E53" i="19"/>
  <c r="D53" i="19" s="1"/>
  <c r="E52" i="19"/>
  <c r="D52" i="19" s="1"/>
  <c r="E51" i="19"/>
  <c r="D51" i="19" s="1"/>
  <c r="E50" i="19"/>
  <c r="D50" i="19" s="1"/>
  <c r="E49" i="19"/>
  <c r="D49" i="19" s="1"/>
  <c r="E48" i="19"/>
  <c r="D48" i="19" s="1"/>
  <c r="E47" i="19"/>
  <c r="D47" i="19" s="1"/>
  <c r="E46" i="19"/>
  <c r="D46" i="19" s="1"/>
  <c r="E45" i="19"/>
  <c r="D45" i="19" s="1"/>
  <c r="E44" i="19"/>
  <c r="D44" i="19" s="1"/>
  <c r="E43" i="19"/>
  <c r="D43" i="19" s="1"/>
  <c r="E42" i="19"/>
  <c r="D42" i="19" s="1"/>
  <c r="E41" i="19"/>
  <c r="D41" i="19" s="1"/>
  <c r="E40" i="19"/>
  <c r="D40" i="19" s="1"/>
  <c r="E39" i="19"/>
  <c r="D39" i="19" s="1"/>
  <c r="E38" i="19"/>
  <c r="D38" i="19" s="1"/>
  <c r="E37" i="19"/>
  <c r="D37" i="19" s="1"/>
  <c r="E36" i="19"/>
  <c r="D36" i="19" s="1"/>
  <c r="E35" i="19"/>
  <c r="D35" i="19" s="1"/>
  <c r="E34" i="19"/>
  <c r="D34" i="19" s="1"/>
  <c r="E33" i="19"/>
  <c r="D33" i="19" s="1"/>
  <c r="E32" i="19"/>
  <c r="D32" i="19" s="1"/>
  <c r="E31" i="19"/>
  <c r="D31" i="19" s="1"/>
  <c r="E30" i="19"/>
  <c r="D30" i="19" s="1"/>
  <c r="E29" i="19"/>
  <c r="D29" i="19" s="1"/>
  <c r="E28" i="19"/>
  <c r="D28" i="19" s="1"/>
  <c r="E27" i="19"/>
  <c r="D27" i="19" s="1"/>
  <c r="E26" i="19"/>
  <c r="D26" i="19" s="1"/>
  <c r="E25" i="19"/>
  <c r="D25" i="19" s="1"/>
  <c r="E24" i="19"/>
  <c r="D24" i="19" s="1"/>
  <c r="E23" i="19"/>
  <c r="D23" i="19" s="1"/>
  <c r="E22" i="19"/>
  <c r="D22" i="19" s="1"/>
  <c r="E21" i="19"/>
  <c r="D21" i="19" s="1"/>
  <c r="E20" i="19"/>
  <c r="D20" i="19" s="1"/>
  <c r="E19" i="19"/>
  <c r="D19" i="19" s="1"/>
  <c r="E18" i="19"/>
  <c r="D18" i="19" s="1"/>
  <c r="E17" i="19"/>
  <c r="D17" i="19" s="1"/>
  <c r="E16" i="19"/>
  <c r="D16" i="19" s="1"/>
  <c r="E15" i="19"/>
  <c r="D15" i="19" s="1"/>
  <c r="E14" i="19"/>
  <c r="D14" i="19" s="1"/>
  <c r="E13" i="19"/>
  <c r="D13" i="19" s="1"/>
  <c r="E12" i="19"/>
  <c r="D12" i="19" s="1"/>
  <c r="E11" i="19"/>
  <c r="D11" i="19" s="1"/>
  <c r="E10" i="19"/>
  <c r="D10" i="19" s="1"/>
  <c r="E9" i="19"/>
  <c r="D9" i="19" s="1"/>
  <c r="E8" i="19"/>
  <c r="D8" i="19" s="1"/>
  <c r="E7" i="19"/>
  <c r="D7" i="19" s="1"/>
  <c r="E6" i="19"/>
  <c r="D6" i="19" s="1"/>
  <c r="E5" i="19"/>
  <c r="D5" i="19" s="1"/>
  <c r="E4" i="19"/>
  <c r="D4" i="19" s="1"/>
  <c r="E3" i="19"/>
  <c r="D3" i="19" s="1"/>
  <c r="C2154" i="19"/>
  <c r="C2153" i="19"/>
  <c r="C2152" i="19"/>
  <c r="C2151" i="19"/>
  <c r="C2150" i="19"/>
  <c r="C2149" i="19"/>
  <c r="C2148" i="19"/>
  <c r="C2147" i="19"/>
  <c r="C2146" i="19"/>
  <c r="C2145" i="19"/>
  <c r="C2144" i="19"/>
  <c r="C2143" i="19"/>
  <c r="C2142" i="19"/>
  <c r="C2141" i="19"/>
  <c r="C2140" i="19"/>
  <c r="C2139" i="19"/>
  <c r="C2138" i="19"/>
  <c r="C2137" i="19"/>
  <c r="C2136" i="19"/>
  <c r="C2135" i="19"/>
  <c r="C2134" i="19"/>
  <c r="C2133" i="19"/>
  <c r="C2132" i="19"/>
  <c r="C2131" i="19"/>
  <c r="C2130" i="19"/>
  <c r="C2129" i="19"/>
  <c r="C2128" i="19"/>
  <c r="C2127" i="19"/>
  <c r="C2126" i="19"/>
  <c r="C2125" i="19"/>
  <c r="C2124" i="19"/>
  <c r="C2123" i="19"/>
  <c r="C2122" i="19"/>
  <c r="C2121" i="19"/>
  <c r="C2120" i="19"/>
  <c r="C2119" i="19"/>
  <c r="C2118" i="19"/>
  <c r="C2117" i="19"/>
  <c r="C2116" i="19"/>
  <c r="C2115" i="19"/>
  <c r="C2114" i="19"/>
  <c r="C2113" i="19"/>
  <c r="C2112" i="19"/>
  <c r="C2111" i="19"/>
  <c r="B2111" i="19" s="1"/>
  <c r="C2110" i="19"/>
  <c r="B2110" i="19" s="1"/>
  <c r="C2109" i="19"/>
  <c r="B2109" i="19" s="1"/>
  <c r="C2108" i="19"/>
  <c r="B2108" i="19" s="1"/>
  <c r="C2107" i="19"/>
  <c r="B2107" i="19" s="1"/>
  <c r="C2106" i="19"/>
  <c r="B2106" i="19" s="1"/>
  <c r="C2105" i="19"/>
  <c r="B2105" i="19" s="1"/>
  <c r="C2104" i="19"/>
  <c r="B2104" i="19" s="1"/>
  <c r="C2103" i="19"/>
  <c r="B2103" i="19" s="1"/>
  <c r="C2102" i="19"/>
  <c r="B2102" i="19" s="1"/>
  <c r="C2101" i="19"/>
  <c r="B2101" i="19" s="1"/>
  <c r="C2100" i="19"/>
  <c r="B2100" i="19" s="1"/>
  <c r="C2099" i="19"/>
  <c r="B2099" i="19" s="1"/>
  <c r="C2098" i="19"/>
  <c r="B2098" i="19" s="1"/>
  <c r="F2098" i="19" s="1"/>
  <c r="C2097" i="19"/>
  <c r="B2097" i="19" s="1"/>
  <c r="F2097" i="19" s="1"/>
  <c r="C2096" i="19"/>
  <c r="B2096" i="19" s="1"/>
  <c r="C2095" i="19"/>
  <c r="B2095" i="19" s="1"/>
  <c r="C2094" i="19"/>
  <c r="B2094" i="19" s="1"/>
  <c r="C2093" i="19"/>
  <c r="B2093" i="19" s="1"/>
  <c r="C2092" i="19"/>
  <c r="B2092" i="19" s="1"/>
  <c r="C2091" i="19"/>
  <c r="B2091" i="19" s="1"/>
  <c r="C2090" i="19"/>
  <c r="C2089" i="19"/>
  <c r="C2088" i="19"/>
  <c r="C2087" i="19"/>
  <c r="C2086" i="19"/>
  <c r="C2085" i="19"/>
  <c r="C2084" i="19"/>
  <c r="C2083" i="19"/>
  <c r="C2082" i="19"/>
  <c r="C2081" i="19"/>
  <c r="C2080" i="19"/>
  <c r="C2079" i="19"/>
  <c r="C2078" i="19"/>
  <c r="C2077" i="19"/>
  <c r="C2076" i="19"/>
  <c r="C2075" i="19"/>
  <c r="C2074" i="19"/>
  <c r="C2073" i="19"/>
  <c r="C2072" i="19"/>
  <c r="C2071" i="19"/>
  <c r="C2070" i="19"/>
  <c r="C2069" i="19"/>
  <c r="C2068" i="19"/>
  <c r="C2067" i="19"/>
  <c r="C2066" i="19"/>
  <c r="C2065" i="19"/>
  <c r="C2064" i="19"/>
  <c r="C2063" i="19"/>
  <c r="C2062" i="19"/>
  <c r="C2061" i="19"/>
  <c r="C2060" i="19"/>
  <c r="C2059" i="19"/>
  <c r="C2058" i="19"/>
  <c r="C2057" i="19"/>
  <c r="C2056" i="19"/>
  <c r="C2055" i="19"/>
  <c r="C2054" i="19"/>
  <c r="C2053" i="19"/>
  <c r="C2052" i="19"/>
  <c r="C2051" i="19"/>
  <c r="C2050" i="19"/>
  <c r="C2049" i="19"/>
  <c r="C2048" i="19"/>
  <c r="C2047" i="19"/>
  <c r="C2046" i="19"/>
  <c r="C2045" i="19"/>
  <c r="C2044" i="19"/>
  <c r="C2043" i="19"/>
  <c r="C2042" i="19"/>
  <c r="C2041" i="19"/>
  <c r="C2040" i="19"/>
  <c r="C2039" i="19"/>
  <c r="C2038" i="19"/>
  <c r="C2037" i="19"/>
  <c r="C2036" i="19"/>
  <c r="C2035" i="19"/>
  <c r="C2034" i="19"/>
  <c r="C2033" i="19"/>
  <c r="C2032" i="19"/>
  <c r="C2031" i="19"/>
  <c r="C2030" i="19"/>
  <c r="C2029" i="19"/>
  <c r="C2028" i="19"/>
  <c r="C2027" i="19"/>
  <c r="C2026" i="19"/>
  <c r="C2025" i="19"/>
  <c r="C2024" i="19"/>
  <c r="C2023" i="19"/>
  <c r="C2022" i="19"/>
  <c r="C2021" i="19"/>
  <c r="C2020" i="19"/>
  <c r="C2019" i="19"/>
  <c r="C2018" i="19"/>
  <c r="C2017" i="19"/>
  <c r="C2016" i="19"/>
  <c r="C2015" i="19"/>
  <c r="C2014" i="19"/>
  <c r="C2013" i="19"/>
  <c r="C2012" i="19"/>
  <c r="C2011" i="19"/>
  <c r="C2010" i="19"/>
  <c r="C2009" i="19"/>
  <c r="C2008" i="19"/>
  <c r="C2007" i="19"/>
  <c r="C2006" i="19"/>
  <c r="C2005" i="19"/>
  <c r="C2004" i="19"/>
  <c r="C2003" i="19"/>
  <c r="C2002" i="19"/>
  <c r="C2001" i="19"/>
  <c r="C2000" i="19"/>
  <c r="C1999" i="19"/>
  <c r="C1998" i="19"/>
  <c r="C1997" i="19"/>
  <c r="C1996" i="19"/>
  <c r="C1995" i="19"/>
  <c r="C1994" i="19"/>
  <c r="C1993" i="19"/>
  <c r="C1992" i="19"/>
  <c r="C1991" i="19"/>
  <c r="C1990" i="19"/>
  <c r="C1989" i="19"/>
  <c r="C1988" i="19"/>
  <c r="C1987" i="19"/>
  <c r="C1986" i="19"/>
  <c r="C1985" i="19"/>
  <c r="C1984" i="19"/>
  <c r="C1983" i="19"/>
  <c r="C1982" i="19"/>
  <c r="C1981" i="19"/>
  <c r="C1980" i="19"/>
  <c r="C1979" i="19"/>
  <c r="C1978" i="19"/>
  <c r="C1977" i="19"/>
  <c r="C1976" i="19"/>
  <c r="C1975" i="19"/>
  <c r="C1974" i="19"/>
  <c r="C1973" i="19"/>
  <c r="C1972" i="19"/>
  <c r="C1971" i="19"/>
  <c r="C1970" i="19"/>
  <c r="C1969" i="19"/>
  <c r="C1968" i="19"/>
  <c r="C1967" i="19"/>
  <c r="C1966" i="19"/>
  <c r="C1965" i="19"/>
  <c r="C1964" i="19"/>
  <c r="C1963" i="19"/>
  <c r="C1962" i="19"/>
  <c r="C1961" i="19"/>
  <c r="C1960" i="19"/>
  <c r="C1959" i="19"/>
  <c r="C1958" i="19"/>
  <c r="C1957" i="19"/>
  <c r="C1956" i="19"/>
  <c r="C1955" i="19"/>
  <c r="C1954" i="19"/>
  <c r="C1953" i="19"/>
  <c r="C1952" i="19"/>
  <c r="C1951" i="19"/>
  <c r="C1950" i="19"/>
  <c r="C1949" i="19"/>
  <c r="C1948" i="19"/>
  <c r="C1947" i="19"/>
  <c r="C1946" i="19"/>
  <c r="C1945" i="19"/>
  <c r="C1944" i="19"/>
  <c r="C1943" i="19"/>
  <c r="C1942" i="19"/>
  <c r="C1941" i="19"/>
  <c r="C1940" i="19"/>
  <c r="C1939" i="19"/>
  <c r="C1938" i="19"/>
  <c r="C1937" i="19"/>
  <c r="C1936" i="19"/>
  <c r="C1935" i="19"/>
  <c r="C1934" i="19"/>
  <c r="C1933" i="19"/>
  <c r="C1932" i="19"/>
  <c r="C1931" i="19"/>
  <c r="C1930" i="19"/>
  <c r="C1929" i="19"/>
  <c r="C1928" i="19"/>
  <c r="C1927" i="19"/>
  <c r="C1926" i="19"/>
  <c r="C1925" i="19"/>
  <c r="C1924" i="19"/>
  <c r="C1923" i="19"/>
  <c r="C1922" i="19"/>
  <c r="C1921" i="19"/>
  <c r="C1920" i="19"/>
  <c r="C1919" i="19"/>
  <c r="C1918" i="19"/>
  <c r="C1917" i="19"/>
  <c r="C1916" i="19"/>
  <c r="C1915" i="19"/>
  <c r="C1914" i="19"/>
  <c r="C1913" i="19"/>
  <c r="C1912" i="19"/>
  <c r="C1911" i="19"/>
  <c r="C1910" i="19"/>
  <c r="C1909" i="19"/>
  <c r="C1908" i="19"/>
  <c r="C1907" i="19"/>
  <c r="C1906" i="19"/>
  <c r="C1905" i="19"/>
  <c r="C1904" i="19"/>
  <c r="C1903" i="19"/>
  <c r="C1902" i="19"/>
  <c r="C1901" i="19"/>
  <c r="C1900" i="19"/>
  <c r="C1899" i="19"/>
  <c r="C1898" i="19"/>
  <c r="C1897" i="19"/>
  <c r="C1896" i="19"/>
  <c r="C1895" i="19"/>
  <c r="C1894" i="19"/>
  <c r="C1893" i="19"/>
  <c r="C1892" i="19"/>
  <c r="C1891" i="19"/>
  <c r="C1890" i="19"/>
  <c r="C1889" i="19"/>
  <c r="C1888" i="19"/>
  <c r="C1887" i="19"/>
  <c r="C1886" i="19"/>
  <c r="C1885" i="19"/>
  <c r="C1884" i="19"/>
  <c r="C1883" i="19"/>
  <c r="C1882" i="19"/>
  <c r="C1881" i="19"/>
  <c r="C1880" i="19"/>
  <c r="C1879" i="19"/>
  <c r="C1878" i="19"/>
  <c r="C1877" i="19"/>
  <c r="C1876" i="19"/>
  <c r="C1875" i="19"/>
  <c r="C1874" i="19"/>
  <c r="C1873" i="19"/>
  <c r="C1872" i="19"/>
  <c r="C1871" i="19"/>
  <c r="C1870" i="19"/>
  <c r="C1869" i="19"/>
  <c r="C1868" i="19"/>
  <c r="C1867" i="19"/>
  <c r="C1866" i="19"/>
  <c r="C1865" i="19"/>
  <c r="C1864" i="19"/>
  <c r="C1863" i="19"/>
  <c r="C1862" i="19"/>
  <c r="C1861" i="19"/>
  <c r="C1860" i="19"/>
  <c r="C1859" i="19"/>
  <c r="C1858" i="19"/>
  <c r="C1857" i="19"/>
  <c r="C1856" i="19"/>
  <c r="C1855" i="19"/>
  <c r="C1854" i="19"/>
  <c r="C1853" i="19"/>
  <c r="C1852" i="19"/>
  <c r="C1851" i="19"/>
  <c r="C1850" i="19"/>
  <c r="B1850" i="19" s="1"/>
  <c r="C1849" i="19"/>
  <c r="B1849" i="19" s="1"/>
  <c r="C1848" i="19"/>
  <c r="B1848" i="19" s="1"/>
  <c r="C1847" i="19"/>
  <c r="B1847" i="19" s="1"/>
  <c r="C1846" i="19"/>
  <c r="B1846" i="19" s="1"/>
  <c r="F1846" i="19" s="1"/>
  <c r="C1845" i="19"/>
  <c r="B1845" i="19" s="1"/>
  <c r="F1845" i="19" s="1"/>
  <c r="C1844" i="19"/>
  <c r="B1844" i="19" s="1"/>
  <c r="C1843" i="19"/>
  <c r="B1843" i="19" s="1"/>
  <c r="C1842" i="19"/>
  <c r="B1842" i="19" s="1"/>
  <c r="C1841" i="19"/>
  <c r="B1841" i="19" s="1"/>
  <c r="C1840" i="19"/>
  <c r="B1840" i="19" s="1"/>
  <c r="C1839" i="19"/>
  <c r="B1839" i="19" s="1"/>
  <c r="C1838" i="19"/>
  <c r="B1838" i="19" s="1"/>
  <c r="C1837" i="19"/>
  <c r="B1837" i="19" s="1"/>
  <c r="C1836" i="19"/>
  <c r="B1836" i="19" s="1"/>
  <c r="C1835" i="19"/>
  <c r="B1835" i="19" s="1"/>
  <c r="C1834" i="19"/>
  <c r="B1834" i="19" s="1"/>
  <c r="F1834" i="19" s="1"/>
  <c r="C1833" i="19"/>
  <c r="B1833" i="19" s="1"/>
  <c r="F1833" i="19" s="1"/>
  <c r="C1832" i="19"/>
  <c r="B1832" i="19" s="1"/>
  <c r="F1832" i="19" s="1"/>
  <c r="C1831" i="19"/>
  <c r="B1831" i="19" s="1"/>
  <c r="F1831" i="19" s="1"/>
  <c r="C1830" i="19"/>
  <c r="B1830" i="19" s="1"/>
  <c r="C1829" i="19"/>
  <c r="C1828" i="19"/>
  <c r="C1827" i="19"/>
  <c r="C1826" i="19"/>
  <c r="C1825" i="19"/>
  <c r="C1824" i="19"/>
  <c r="C1823" i="19"/>
  <c r="C1822" i="19"/>
  <c r="C1821" i="19"/>
  <c r="C1820" i="19"/>
  <c r="C1819" i="19"/>
  <c r="C1818" i="19"/>
  <c r="C1817" i="19"/>
  <c r="C1816" i="19"/>
  <c r="C1815" i="19"/>
  <c r="C1814" i="19"/>
  <c r="C1813" i="19"/>
  <c r="C1812" i="19"/>
  <c r="C1811" i="19"/>
  <c r="C1810" i="19"/>
  <c r="C1809" i="19"/>
  <c r="C1808" i="19"/>
  <c r="C1807" i="19"/>
  <c r="C1806" i="19"/>
  <c r="C1805" i="19"/>
  <c r="C1804" i="19"/>
  <c r="C1803" i="19"/>
  <c r="C1802" i="19"/>
  <c r="C1801" i="19"/>
  <c r="C1800" i="19"/>
  <c r="C1799" i="19"/>
  <c r="C1798" i="19"/>
  <c r="C1797" i="19"/>
  <c r="C1796" i="19"/>
  <c r="C1795" i="19"/>
  <c r="C1794" i="19"/>
  <c r="C1793" i="19"/>
  <c r="C1792" i="19"/>
  <c r="C1791" i="19"/>
  <c r="C1790" i="19"/>
  <c r="C1789" i="19"/>
  <c r="C1788" i="19"/>
  <c r="C1787" i="19"/>
  <c r="C1786" i="19"/>
  <c r="C1785" i="19"/>
  <c r="C1784" i="19"/>
  <c r="C1783" i="19"/>
  <c r="C1782" i="19"/>
  <c r="C1781" i="19"/>
  <c r="C1780" i="19"/>
  <c r="C1779" i="19"/>
  <c r="C1778" i="19"/>
  <c r="C1777" i="19"/>
  <c r="C1776" i="19"/>
  <c r="C1775" i="19"/>
  <c r="C1774" i="19"/>
  <c r="C1773" i="19"/>
  <c r="C1772" i="19"/>
  <c r="C1771" i="19"/>
  <c r="C1770" i="19"/>
  <c r="C1769" i="19"/>
  <c r="C1768" i="19"/>
  <c r="C1767" i="19"/>
  <c r="C1766" i="19"/>
  <c r="C1765" i="19"/>
  <c r="C1764" i="19"/>
  <c r="C1763" i="19"/>
  <c r="C1762" i="19"/>
  <c r="C1761" i="19"/>
  <c r="C1760" i="19"/>
  <c r="C1759" i="19"/>
  <c r="C1758" i="19"/>
  <c r="C1757" i="19"/>
  <c r="C1756" i="19"/>
  <c r="C1755" i="19"/>
  <c r="C1754" i="19"/>
  <c r="C1753" i="19"/>
  <c r="C1752" i="19"/>
  <c r="C1751" i="19"/>
  <c r="C1750" i="19"/>
  <c r="C1749" i="19"/>
  <c r="C1748" i="19"/>
  <c r="C1747" i="19"/>
  <c r="C1746" i="19"/>
  <c r="C1745" i="19"/>
  <c r="C1744" i="19"/>
  <c r="C1743" i="19"/>
  <c r="C1742" i="19"/>
  <c r="C1741" i="19"/>
  <c r="C1740" i="19"/>
  <c r="C1739" i="19"/>
  <c r="C1738" i="19"/>
  <c r="C1737" i="19"/>
  <c r="C1736" i="19"/>
  <c r="C1735" i="19"/>
  <c r="C1734" i="19"/>
  <c r="C1733" i="19"/>
  <c r="C1732" i="19"/>
  <c r="C1731" i="19"/>
  <c r="C1730" i="19"/>
  <c r="C1729" i="19"/>
  <c r="C1728" i="19"/>
  <c r="C1727" i="19"/>
  <c r="C1726" i="19"/>
  <c r="C1725" i="19"/>
  <c r="C1724" i="19"/>
  <c r="C1723" i="19"/>
  <c r="C1722" i="19"/>
  <c r="C1721" i="19"/>
  <c r="C1720" i="19"/>
  <c r="C1719" i="19"/>
  <c r="C1718" i="19"/>
  <c r="C1717" i="19"/>
  <c r="C1716" i="19"/>
  <c r="C1715" i="19"/>
  <c r="C1714" i="19"/>
  <c r="C1713" i="19"/>
  <c r="C1712" i="19"/>
  <c r="C1711" i="19"/>
  <c r="C1710" i="19"/>
  <c r="C1709" i="19"/>
  <c r="C1708" i="19"/>
  <c r="C1707" i="19"/>
  <c r="C1706" i="19"/>
  <c r="C1705" i="19"/>
  <c r="C1704" i="19"/>
  <c r="C1703" i="19"/>
  <c r="C1702" i="19"/>
  <c r="C1701" i="19"/>
  <c r="C1700" i="19"/>
  <c r="C1699" i="19"/>
  <c r="C1698" i="19"/>
  <c r="C1697" i="19"/>
  <c r="C1696" i="19"/>
  <c r="C1695" i="19"/>
  <c r="C1694" i="19"/>
  <c r="C1693" i="19"/>
  <c r="C1692" i="19"/>
  <c r="C1691" i="19"/>
  <c r="C1690" i="19"/>
  <c r="C1689" i="19"/>
  <c r="C1688" i="19"/>
  <c r="C1687" i="19"/>
  <c r="C1686" i="19"/>
  <c r="C1685" i="19"/>
  <c r="C1684" i="19"/>
  <c r="C1683" i="19"/>
  <c r="C1682" i="19"/>
  <c r="C1681" i="19"/>
  <c r="C1680" i="19"/>
  <c r="C1679" i="19"/>
  <c r="C1678" i="19"/>
  <c r="C1677" i="19"/>
  <c r="C1676" i="19"/>
  <c r="C1675" i="19"/>
  <c r="C1674" i="19"/>
  <c r="C1673" i="19"/>
  <c r="C1672" i="19"/>
  <c r="C1671" i="19"/>
  <c r="C1670" i="19"/>
  <c r="C1669" i="19"/>
  <c r="C1668" i="19"/>
  <c r="C1667" i="19"/>
  <c r="C1666" i="19"/>
  <c r="C1665" i="19"/>
  <c r="C1664" i="19"/>
  <c r="C1663" i="19"/>
  <c r="C1662" i="19"/>
  <c r="C1661" i="19"/>
  <c r="C1660" i="19"/>
  <c r="C1659" i="19"/>
  <c r="C1658" i="19"/>
  <c r="C1657" i="19"/>
  <c r="C1656" i="19"/>
  <c r="C1655" i="19"/>
  <c r="C1654" i="19"/>
  <c r="C1653" i="19"/>
  <c r="C1652" i="19"/>
  <c r="C1651" i="19"/>
  <c r="C1650" i="19"/>
  <c r="C1649" i="19"/>
  <c r="C1648" i="19"/>
  <c r="C1647" i="19"/>
  <c r="C1646" i="19"/>
  <c r="C1645" i="19"/>
  <c r="C1644" i="19"/>
  <c r="C1643" i="19"/>
  <c r="C1642" i="19"/>
  <c r="C1641" i="19"/>
  <c r="C1640" i="19"/>
  <c r="C1639" i="19"/>
  <c r="C1638" i="19"/>
  <c r="C1637" i="19"/>
  <c r="C1636" i="19"/>
  <c r="C1635" i="19"/>
  <c r="C1634" i="19"/>
  <c r="C1633" i="19"/>
  <c r="C1632" i="19"/>
  <c r="C1631" i="19"/>
  <c r="C1630" i="19"/>
  <c r="C1629" i="19"/>
  <c r="C1628" i="19"/>
  <c r="C1627" i="19"/>
  <c r="C1626" i="19"/>
  <c r="C1625" i="19"/>
  <c r="C1624" i="19"/>
  <c r="C1623" i="19"/>
  <c r="C1622" i="19"/>
  <c r="C1621" i="19"/>
  <c r="C1620" i="19"/>
  <c r="C1619" i="19"/>
  <c r="C1618" i="19"/>
  <c r="C1617" i="19"/>
  <c r="C1616" i="19"/>
  <c r="C1615" i="19"/>
  <c r="C1614" i="19"/>
  <c r="C1613" i="19"/>
  <c r="C1612" i="19"/>
  <c r="C1611" i="19"/>
  <c r="C1610" i="19"/>
  <c r="C1609" i="19"/>
  <c r="C1608" i="19"/>
  <c r="C1607" i="19"/>
  <c r="C1606" i="19"/>
  <c r="C1605" i="19"/>
  <c r="C1604" i="19"/>
  <c r="C1603" i="19"/>
  <c r="C1602" i="19"/>
  <c r="C1601" i="19"/>
  <c r="C1600" i="19"/>
  <c r="C1599" i="19"/>
  <c r="C1598" i="19"/>
  <c r="C1597" i="19"/>
  <c r="C1596" i="19"/>
  <c r="C1595" i="19"/>
  <c r="C1594" i="19"/>
  <c r="C1593" i="19"/>
  <c r="C1592" i="19"/>
  <c r="C1591" i="19"/>
  <c r="C1590" i="19"/>
  <c r="B1590" i="19" s="1"/>
  <c r="C1589" i="19"/>
  <c r="B1589" i="19" s="1"/>
  <c r="C1588" i="19"/>
  <c r="B1588" i="19" s="1"/>
  <c r="C1587" i="19"/>
  <c r="B1587" i="19" s="1"/>
  <c r="C1586" i="19"/>
  <c r="B1586" i="19" s="1"/>
  <c r="C1585" i="19"/>
  <c r="B1585" i="19" s="1"/>
  <c r="C1584" i="19"/>
  <c r="B1584" i="19" s="1"/>
  <c r="C1583" i="19"/>
  <c r="B1583" i="19" s="1"/>
  <c r="C1582" i="19"/>
  <c r="B1582" i="19" s="1"/>
  <c r="F1582" i="19" s="1"/>
  <c r="C1581" i="19"/>
  <c r="B1581" i="19" s="1"/>
  <c r="F1581" i="19" s="1"/>
  <c r="C1580" i="19"/>
  <c r="B1580" i="19" s="1"/>
  <c r="F1580" i="19" s="1"/>
  <c r="C1579" i="19"/>
  <c r="B1579" i="19" s="1"/>
  <c r="F1579" i="19" s="1"/>
  <c r="C1578" i="19"/>
  <c r="B1578" i="19" s="1"/>
  <c r="C1577" i="19"/>
  <c r="B1577" i="19" s="1"/>
  <c r="C1576" i="19"/>
  <c r="B1576" i="19" s="1"/>
  <c r="C1575" i="19"/>
  <c r="B1575" i="19" s="1"/>
  <c r="C1574" i="19"/>
  <c r="B1574" i="19" s="1"/>
  <c r="C1573" i="19"/>
  <c r="B1573" i="19" s="1"/>
  <c r="C1572" i="19"/>
  <c r="B1572" i="19" s="1"/>
  <c r="C1571" i="19"/>
  <c r="B1571" i="19" s="1"/>
  <c r="C1570" i="19"/>
  <c r="B1570" i="19" s="1"/>
  <c r="F1570" i="19" s="1"/>
  <c r="C1569" i="19"/>
  <c r="B1569" i="19" s="1"/>
  <c r="F1569" i="19" s="1"/>
  <c r="C1568" i="19"/>
  <c r="B1568" i="19" s="1"/>
  <c r="F1568" i="19" s="1"/>
  <c r="C1567" i="19"/>
  <c r="C1566" i="19"/>
  <c r="C1565" i="19"/>
  <c r="C1564" i="19"/>
  <c r="C1563" i="19"/>
  <c r="C1562" i="19"/>
  <c r="C1561" i="19"/>
  <c r="C1560" i="19"/>
  <c r="C1559" i="19"/>
  <c r="C1558" i="19"/>
  <c r="C1557" i="19"/>
  <c r="C1556" i="19"/>
  <c r="C1555" i="19"/>
  <c r="C1554" i="19"/>
  <c r="C1553" i="19"/>
  <c r="C1552" i="19"/>
  <c r="C1551" i="19"/>
  <c r="C1550" i="19"/>
  <c r="C1549" i="19"/>
  <c r="C1548" i="19"/>
  <c r="C1547" i="19"/>
  <c r="C1546" i="19"/>
  <c r="C1545" i="19"/>
  <c r="C1544" i="19"/>
  <c r="C1543" i="19"/>
  <c r="C1542" i="19"/>
  <c r="C1541" i="19"/>
  <c r="C1540" i="19"/>
  <c r="C1539" i="19"/>
  <c r="C1538" i="19"/>
  <c r="C1537" i="19"/>
  <c r="C1536" i="19"/>
  <c r="C1535" i="19"/>
  <c r="C1534" i="19"/>
  <c r="C1533" i="19"/>
  <c r="C1532" i="19"/>
  <c r="C1531" i="19"/>
  <c r="C1530" i="19"/>
  <c r="C1529" i="19"/>
  <c r="C1528" i="19"/>
  <c r="C1527" i="19"/>
  <c r="C1526" i="19"/>
  <c r="C1525" i="19"/>
  <c r="C1524" i="19"/>
  <c r="C1523" i="19"/>
  <c r="C1522" i="19"/>
  <c r="C1521" i="19"/>
  <c r="C1520" i="19"/>
  <c r="C1519" i="19"/>
  <c r="C1518" i="19"/>
  <c r="C1517" i="19"/>
  <c r="C1516" i="19"/>
  <c r="C1515" i="19"/>
  <c r="C1514" i="19"/>
  <c r="C1513" i="19"/>
  <c r="C1512" i="19"/>
  <c r="C1511" i="19"/>
  <c r="C1510" i="19"/>
  <c r="C1509" i="19"/>
  <c r="C1508" i="19"/>
  <c r="C1507" i="19"/>
  <c r="C1506" i="19"/>
  <c r="C1505" i="19"/>
  <c r="C1504" i="19"/>
  <c r="C1503" i="19"/>
  <c r="C1502" i="19"/>
  <c r="C1501" i="19"/>
  <c r="C1500" i="19"/>
  <c r="C1499" i="19"/>
  <c r="C1498" i="19"/>
  <c r="C1497" i="19"/>
  <c r="C1496" i="19"/>
  <c r="C1495" i="19"/>
  <c r="C1494" i="19"/>
  <c r="C1493" i="19"/>
  <c r="C1492" i="19"/>
  <c r="C1491" i="19"/>
  <c r="C1490" i="19"/>
  <c r="C1489" i="19"/>
  <c r="C1488" i="19"/>
  <c r="C1487" i="19"/>
  <c r="C1486" i="19"/>
  <c r="C1485" i="19"/>
  <c r="C1484" i="19"/>
  <c r="C1483" i="19"/>
  <c r="C1482" i="19"/>
  <c r="C1481" i="19"/>
  <c r="C1480" i="19"/>
  <c r="C1479" i="19"/>
  <c r="C1478" i="19"/>
  <c r="C1477" i="19"/>
  <c r="C1476" i="19"/>
  <c r="C1475" i="19"/>
  <c r="C1474" i="19"/>
  <c r="C1473" i="19"/>
  <c r="C1472" i="19"/>
  <c r="C1471" i="19"/>
  <c r="C1470" i="19"/>
  <c r="C1469" i="19"/>
  <c r="C1468" i="19"/>
  <c r="C1467" i="19"/>
  <c r="C1466" i="19"/>
  <c r="C1465" i="19"/>
  <c r="C1464" i="19"/>
  <c r="C1463" i="19"/>
  <c r="C1462" i="19"/>
  <c r="C1461" i="19"/>
  <c r="C1460" i="19"/>
  <c r="C1459" i="19"/>
  <c r="C1458" i="19"/>
  <c r="C1457" i="19"/>
  <c r="C1456" i="19"/>
  <c r="C1455" i="19"/>
  <c r="C1454" i="19"/>
  <c r="C1453" i="19"/>
  <c r="C1452" i="19"/>
  <c r="C1451" i="19"/>
  <c r="C1450" i="19"/>
  <c r="C1449" i="19"/>
  <c r="C1448" i="19"/>
  <c r="C1447" i="19"/>
  <c r="C1446" i="19"/>
  <c r="C1445" i="19"/>
  <c r="C1444" i="19"/>
  <c r="C1443" i="19"/>
  <c r="C1442" i="19"/>
  <c r="C1441" i="19"/>
  <c r="C1440" i="19"/>
  <c r="C1439" i="19"/>
  <c r="C1438" i="19"/>
  <c r="C1437" i="19"/>
  <c r="C1436" i="19"/>
  <c r="C1435" i="19"/>
  <c r="C1434" i="19"/>
  <c r="C1433" i="19"/>
  <c r="C1432" i="19"/>
  <c r="C1431" i="19"/>
  <c r="C1430" i="19"/>
  <c r="C1429" i="19"/>
  <c r="C1428" i="19"/>
  <c r="C1427" i="19"/>
  <c r="C1426" i="19"/>
  <c r="C1425" i="19"/>
  <c r="C1424" i="19"/>
  <c r="C1423" i="19"/>
  <c r="C1422" i="19"/>
  <c r="C1421" i="19"/>
  <c r="C1420" i="19"/>
  <c r="C1419" i="19"/>
  <c r="C1418" i="19"/>
  <c r="C1417" i="19"/>
  <c r="C1416" i="19"/>
  <c r="C1415" i="19"/>
  <c r="C1414" i="19"/>
  <c r="C1413" i="19"/>
  <c r="C1412" i="19"/>
  <c r="C1411" i="19"/>
  <c r="C1410" i="19"/>
  <c r="C1409" i="19"/>
  <c r="C1408" i="19"/>
  <c r="C1407" i="19"/>
  <c r="C1406" i="19"/>
  <c r="C1405" i="19"/>
  <c r="C1404" i="19"/>
  <c r="C1403" i="19"/>
  <c r="C1402" i="19"/>
  <c r="C1401" i="19"/>
  <c r="C1400" i="19"/>
  <c r="C1399" i="19"/>
  <c r="C1398" i="19"/>
  <c r="C1397" i="19"/>
  <c r="C1396" i="19"/>
  <c r="C1395" i="19"/>
  <c r="C1394" i="19"/>
  <c r="C1393" i="19"/>
  <c r="C1392" i="19"/>
  <c r="C1391" i="19"/>
  <c r="C1390" i="19"/>
  <c r="C1389" i="19"/>
  <c r="C1388" i="19"/>
  <c r="C1387" i="19"/>
  <c r="C1386" i="19"/>
  <c r="C1385" i="19"/>
  <c r="C1384" i="19"/>
  <c r="C1383" i="19"/>
  <c r="C1382" i="19"/>
  <c r="C1381" i="19"/>
  <c r="C1380" i="19"/>
  <c r="C1379" i="19"/>
  <c r="C1378" i="19"/>
  <c r="C1377" i="19"/>
  <c r="C1376" i="19"/>
  <c r="C1375" i="19"/>
  <c r="C1374" i="19"/>
  <c r="C1373" i="19"/>
  <c r="C1372" i="19"/>
  <c r="C1371" i="19"/>
  <c r="C1370" i="19"/>
  <c r="C1369" i="19"/>
  <c r="C1368" i="19"/>
  <c r="C1367" i="19"/>
  <c r="C1366" i="19"/>
  <c r="C1365" i="19"/>
  <c r="C1364" i="19"/>
  <c r="C1363" i="19"/>
  <c r="C1362" i="19"/>
  <c r="C1361" i="19"/>
  <c r="C1360" i="19"/>
  <c r="C1359" i="19"/>
  <c r="C1358" i="19"/>
  <c r="C1357" i="19"/>
  <c r="C1356" i="19"/>
  <c r="C1355" i="19"/>
  <c r="C1354" i="19"/>
  <c r="C1353" i="19"/>
  <c r="C1352" i="19"/>
  <c r="C1351" i="19"/>
  <c r="C1350" i="19"/>
  <c r="C1349" i="19"/>
  <c r="C1348" i="19"/>
  <c r="C1347" i="19"/>
  <c r="C1346" i="19"/>
  <c r="C1345" i="19"/>
  <c r="C1344" i="19"/>
  <c r="C1343" i="19"/>
  <c r="C1342" i="19"/>
  <c r="C1341" i="19"/>
  <c r="C1340" i="19"/>
  <c r="C1339" i="19"/>
  <c r="C1338" i="19"/>
  <c r="C1337" i="19"/>
  <c r="C1336" i="19"/>
  <c r="C1335" i="19"/>
  <c r="C1334" i="19"/>
  <c r="C1333" i="19"/>
  <c r="C1332" i="19"/>
  <c r="C1331" i="19"/>
  <c r="C1330" i="19"/>
  <c r="C1329" i="19"/>
  <c r="B1329" i="19" s="1"/>
  <c r="F1329" i="19" s="1"/>
  <c r="C1328" i="19"/>
  <c r="B1328" i="19" s="1"/>
  <c r="F1328" i="19" s="1"/>
  <c r="C1327" i="19"/>
  <c r="B1327" i="19" s="1"/>
  <c r="F1327" i="19" s="1"/>
  <c r="C1326" i="19"/>
  <c r="B1326" i="19" s="1"/>
  <c r="C1325" i="19"/>
  <c r="B1325" i="19" s="1"/>
  <c r="C1324" i="19"/>
  <c r="B1324" i="19" s="1"/>
  <c r="C1323" i="19"/>
  <c r="B1323" i="19" s="1"/>
  <c r="C1322" i="19"/>
  <c r="B1322" i="19" s="1"/>
  <c r="C1321" i="19"/>
  <c r="B1321" i="19" s="1"/>
  <c r="C1320" i="19"/>
  <c r="B1320" i="19" s="1"/>
  <c r="C1319" i="19"/>
  <c r="B1319" i="19" s="1"/>
  <c r="C1318" i="19"/>
  <c r="B1318" i="19" s="1"/>
  <c r="F1318" i="19" s="1"/>
  <c r="C1317" i="19"/>
  <c r="B1317" i="19" s="1"/>
  <c r="F1317" i="19" s="1"/>
  <c r="C1316" i="19"/>
  <c r="B1316" i="19" s="1"/>
  <c r="F1316" i="19" s="1"/>
  <c r="C1315" i="19"/>
  <c r="B1315" i="19" s="1"/>
  <c r="F1315" i="19" s="1"/>
  <c r="C1314" i="19"/>
  <c r="B1314" i="19" s="1"/>
  <c r="C1313" i="19"/>
  <c r="B1313" i="19" s="1"/>
  <c r="C1312" i="19"/>
  <c r="B1312" i="19" s="1"/>
  <c r="C1311" i="19"/>
  <c r="B1311" i="19" s="1"/>
  <c r="C1310" i="19"/>
  <c r="B1310" i="19" s="1"/>
  <c r="C1309" i="19"/>
  <c r="B1309" i="19" s="1"/>
  <c r="C1308" i="19"/>
  <c r="B1308" i="19" s="1"/>
  <c r="C1307" i="19"/>
  <c r="B1307" i="19" s="1"/>
  <c r="C1306" i="19"/>
  <c r="C1305" i="19"/>
  <c r="C1304" i="19"/>
  <c r="C1303" i="19"/>
  <c r="C1302" i="19"/>
  <c r="C1301" i="19"/>
  <c r="C1300" i="19"/>
  <c r="C1299" i="19"/>
  <c r="C1298" i="19"/>
  <c r="C1297" i="19"/>
  <c r="C1296" i="19"/>
  <c r="C1295" i="19"/>
  <c r="C1294" i="19"/>
  <c r="C1293" i="19"/>
  <c r="C1292" i="19"/>
  <c r="C1291" i="19"/>
  <c r="C1290" i="19"/>
  <c r="C1289" i="19"/>
  <c r="C1288" i="19"/>
  <c r="C1287" i="19"/>
  <c r="C1286" i="19"/>
  <c r="C1285" i="19"/>
  <c r="C1284" i="19"/>
  <c r="C1283" i="19"/>
  <c r="C1282" i="19"/>
  <c r="C1281" i="19"/>
  <c r="C1280" i="19"/>
  <c r="C1279" i="19"/>
  <c r="C1278" i="19"/>
  <c r="C1277" i="19"/>
  <c r="C1276" i="19"/>
  <c r="C1275" i="19"/>
  <c r="C1274" i="19"/>
  <c r="C1273" i="19"/>
  <c r="C1272" i="19"/>
  <c r="C1271" i="19"/>
  <c r="C1270" i="19"/>
  <c r="C1269" i="19"/>
  <c r="C1268" i="19"/>
  <c r="C1267" i="19"/>
  <c r="C1266" i="19"/>
  <c r="C1265" i="19"/>
  <c r="C1264" i="19"/>
  <c r="C1263" i="19"/>
  <c r="C1262" i="19"/>
  <c r="C1261" i="19"/>
  <c r="C1260" i="19"/>
  <c r="C1259" i="19"/>
  <c r="C1258" i="19"/>
  <c r="C1257" i="19"/>
  <c r="C1256" i="19"/>
  <c r="C1255" i="19"/>
  <c r="C1254" i="19"/>
  <c r="C1253" i="19"/>
  <c r="C1252" i="19"/>
  <c r="C1251" i="19"/>
  <c r="C1250" i="19"/>
  <c r="C1249" i="19"/>
  <c r="C1248" i="19"/>
  <c r="C1247" i="19"/>
  <c r="C1246" i="19"/>
  <c r="C1245" i="19"/>
  <c r="C1244" i="19"/>
  <c r="C1243" i="19"/>
  <c r="C1242" i="19"/>
  <c r="C1241" i="19"/>
  <c r="C1240" i="19"/>
  <c r="C1239" i="19"/>
  <c r="C1238" i="19"/>
  <c r="C1237" i="19"/>
  <c r="C1236" i="19"/>
  <c r="C1235" i="19"/>
  <c r="C1234" i="19"/>
  <c r="C1233" i="19"/>
  <c r="C1232" i="19"/>
  <c r="C1231" i="19"/>
  <c r="C1230" i="19"/>
  <c r="C1229" i="19"/>
  <c r="C1228" i="19"/>
  <c r="C1227" i="19"/>
  <c r="C1226" i="19"/>
  <c r="C1225" i="19"/>
  <c r="C1224" i="19"/>
  <c r="C1223" i="19"/>
  <c r="C1222" i="19"/>
  <c r="C1221" i="19"/>
  <c r="C1220" i="19"/>
  <c r="C1219" i="19"/>
  <c r="C1218" i="19"/>
  <c r="C1217" i="19"/>
  <c r="C1216" i="19"/>
  <c r="C1215" i="19"/>
  <c r="C1214" i="19"/>
  <c r="C1213" i="19"/>
  <c r="C1212" i="19"/>
  <c r="C1211" i="19"/>
  <c r="C1210" i="19"/>
  <c r="C1209" i="19"/>
  <c r="C1208" i="19"/>
  <c r="C1207" i="19"/>
  <c r="C1206" i="19"/>
  <c r="C1205" i="19"/>
  <c r="C1204" i="19"/>
  <c r="C1203" i="19"/>
  <c r="C1202" i="19"/>
  <c r="C1201" i="19"/>
  <c r="C1200" i="19"/>
  <c r="C1199" i="19"/>
  <c r="C1198" i="19"/>
  <c r="C1197" i="19"/>
  <c r="C1196" i="19"/>
  <c r="C1195" i="19"/>
  <c r="C1194" i="19"/>
  <c r="C1193" i="19"/>
  <c r="C1192" i="19"/>
  <c r="C1191" i="19"/>
  <c r="C1190" i="19"/>
  <c r="C1189" i="19"/>
  <c r="C1188" i="19"/>
  <c r="C1187" i="19"/>
  <c r="C1186" i="19"/>
  <c r="C1185" i="19"/>
  <c r="C1184" i="19"/>
  <c r="C1183" i="19"/>
  <c r="C1182" i="19"/>
  <c r="C1181" i="19"/>
  <c r="C1180" i="19"/>
  <c r="C1179" i="19"/>
  <c r="C1178" i="19"/>
  <c r="C1177" i="19"/>
  <c r="C1176" i="19"/>
  <c r="C1175" i="19"/>
  <c r="C1174" i="19"/>
  <c r="C1173" i="19"/>
  <c r="C1172" i="19"/>
  <c r="C1171" i="19"/>
  <c r="C1170" i="19"/>
  <c r="C1169" i="19"/>
  <c r="C1168" i="19"/>
  <c r="C1167" i="19"/>
  <c r="C1166" i="19"/>
  <c r="C1165" i="19"/>
  <c r="C1164" i="19"/>
  <c r="C1163" i="19"/>
  <c r="C1162" i="19"/>
  <c r="C1161" i="19"/>
  <c r="C1160" i="19"/>
  <c r="C1159" i="19"/>
  <c r="C1158" i="19"/>
  <c r="C1157" i="19"/>
  <c r="C1156" i="19"/>
  <c r="C1155" i="19"/>
  <c r="C1154" i="19"/>
  <c r="C1153" i="19"/>
  <c r="C1152" i="19"/>
  <c r="C1151" i="19"/>
  <c r="C1150" i="19"/>
  <c r="C1149" i="19"/>
  <c r="C1148" i="19"/>
  <c r="C1147" i="19"/>
  <c r="C1146" i="19"/>
  <c r="C1145" i="19"/>
  <c r="C1144" i="19"/>
  <c r="C1143" i="19"/>
  <c r="C1142" i="19"/>
  <c r="C1141" i="19"/>
  <c r="C1140" i="19"/>
  <c r="C1139" i="19"/>
  <c r="C1138" i="19"/>
  <c r="C1137" i="19"/>
  <c r="C1136" i="19"/>
  <c r="C1135" i="19"/>
  <c r="C1134" i="19"/>
  <c r="C1133" i="19"/>
  <c r="C1132" i="19"/>
  <c r="C1131" i="19"/>
  <c r="C1130" i="19"/>
  <c r="C1129" i="19"/>
  <c r="C1128" i="19"/>
  <c r="C1127" i="19"/>
  <c r="C1126" i="19"/>
  <c r="C1125" i="19"/>
  <c r="C1124" i="19"/>
  <c r="C1123" i="19"/>
  <c r="C1122" i="19"/>
  <c r="C1121" i="19"/>
  <c r="C1120" i="19"/>
  <c r="C1119" i="19"/>
  <c r="C1118" i="19"/>
  <c r="C1117" i="19"/>
  <c r="C1116" i="19"/>
  <c r="C1115" i="19"/>
  <c r="C1114" i="19"/>
  <c r="C1113" i="19"/>
  <c r="C1112" i="19"/>
  <c r="C1111" i="19"/>
  <c r="C1110" i="19"/>
  <c r="C1109" i="19"/>
  <c r="C1108" i="19"/>
  <c r="C1107" i="19"/>
  <c r="C1106" i="19"/>
  <c r="C1105" i="19"/>
  <c r="C1104" i="19"/>
  <c r="C1103" i="19"/>
  <c r="C1102" i="19"/>
  <c r="C1101" i="19"/>
  <c r="C1100" i="19"/>
  <c r="C1099" i="19"/>
  <c r="C1098" i="19"/>
  <c r="C1097" i="19"/>
  <c r="C1096" i="19"/>
  <c r="C1095" i="19"/>
  <c r="C1094" i="19"/>
  <c r="C1093" i="19"/>
  <c r="C1092" i="19"/>
  <c r="C1091" i="19"/>
  <c r="C1090" i="19"/>
  <c r="C1089" i="19"/>
  <c r="C1088" i="19"/>
  <c r="C1087" i="19"/>
  <c r="C1086" i="19"/>
  <c r="C1085" i="19"/>
  <c r="C1084" i="19"/>
  <c r="C1083" i="19"/>
  <c r="C1082" i="19"/>
  <c r="C1081" i="19"/>
  <c r="C1080" i="19"/>
  <c r="C1079" i="19"/>
  <c r="C1078" i="19"/>
  <c r="C1077" i="19"/>
  <c r="C1076" i="19"/>
  <c r="C1075" i="19"/>
  <c r="C1074" i="19"/>
  <c r="C1073" i="19"/>
  <c r="C1072" i="19"/>
  <c r="C1071" i="19"/>
  <c r="C1070" i="19"/>
  <c r="C1069" i="19"/>
  <c r="C1068" i="19"/>
  <c r="B1068" i="19" s="1"/>
  <c r="C1067" i="19"/>
  <c r="B1067" i="19" s="1"/>
  <c r="C1066" i="19"/>
  <c r="B1066" i="19" s="1"/>
  <c r="C1065" i="19"/>
  <c r="B1065" i="19" s="1"/>
  <c r="F1065" i="19" s="1"/>
  <c r="C1064" i="19"/>
  <c r="B1064" i="19" s="1"/>
  <c r="F1064" i="19" s="1"/>
  <c r="C1063" i="19"/>
  <c r="B1063" i="19" s="1"/>
  <c r="F1063" i="19" s="1"/>
  <c r="C1062" i="19"/>
  <c r="B1062" i="19" s="1"/>
  <c r="C1061" i="19"/>
  <c r="B1061" i="19" s="1"/>
  <c r="C1060" i="19"/>
  <c r="B1060" i="19" s="1"/>
  <c r="C1059" i="19"/>
  <c r="B1059" i="19" s="1"/>
  <c r="C1058" i="19"/>
  <c r="B1058" i="19" s="1"/>
  <c r="C1057" i="19"/>
  <c r="B1057" i="19" s="1"/>
  <c r="C1056" i="19"/>
  <c r="B1056" i="19" s="1"/>
  <c r="C1055" i="19"/>
  <c r="B1055" i="19" s="1"/>
  <c r="C1054" i="19"/>
  <c r="B1054" i="19" s="1"/>
  <c r="C1053" i="19"/>
  <c r="B1053" i="19" s="1"/>
  <c r="F1053" i="19" s="1"/>
  <c r="C1052" i="19"/>
  <c r="B1052" i="19" s="1"/>
  <c r="F1052" i="19" s="1"/>
  <c r="C1051" i="19"/>
  <c r="B1051" i="19" s="1"/>
  <c r="F1051" i="19" s="1"/>
  <c r="C1050" i="19"/>
  <c r="B1050" i="19" s="1"/>
  <c r="C1049" i="19"/>
  <c r="B1049" i="19" s="1"/>
  <c r="C1048" i="19"/>
  <c r="B1048" i="19" s="1"/>
  <c r="C1047" i="19"/>
  <c r="B1047" i="19" s="1"/>
  <c r="C1046" i="19"/>
  <c r="B1046" i="19" s="1"/>
  <c r="C1045" i="19"/>
  <c r="C1044" i="19"/>
  <c r="C1043" i="19"/>
  <c r="C1042" i="19"/>
  <c r="C1041" i="19"/>
  <c r="C1040" i="19"/>
  <c r="C1039" i="19"/>
  <c r="C1038" i="19"/>
  <c r="C1037" i="19"/>
  <c r="C1036" i="19"/>
  <c r="C1035" i="19"/>
  <c r="C1034" i="19"/>
  <c r="C1033" i="19"/>
  <c r="C1032" i="19"/>
  <c r="C1031" i="19"/>
  <c r="C1030" i="19"/>
  <c r="C1029" i="19"/>
  <c r="C1028" i="19"/>
  <c r="C1027" i="19"/>
  <c r="C1026" i="19"/>
  <c r="C1025" i="19"/>
  <c r="C1024" i="19"/>
  <c r="C1023" i="19"/>
  <c r="C1022" i="19"/>
  <c r="C1021" i="19"/>
  <c r="C1020" i="19"/>
  <c r="C1019" i="19"/>
  <c r="C1018" i="19"/>
  <c r="C1017" i="19"/>
  <c r="C1016" i="19"/>
  <c r="C1015" i="19"/>
  <c r="C1014" i="19"/>
  <c r="C1013" i="19"/>
  <c r="C1012" i="19"/>
  <c r="C1011" i="19"/>
  <c r="C1010" i="19"/>
  <c r="C1009" i="19"/>
  <c r="C1008" i="19"/>
  <c r="C1007" i="19"/>
  <c r="C1006" i="19"/>
  <c r="C1005" i="19"/>
  <c r="C1004" i="19"/>
  <c r="C1003" i="19"/>
  <c r="C1002" i="19"/>
  <c r="C1001" i="19"/>
  <c r="C1000" i="19"/>
  <c r="C999" i="19"/>
  <c r="C998" i="19"/>
  <c r="C997" i="19"/>
  <c r="C996" i="19"/>
  <c r="C995" i="19"/>
  <c r="C994" i="19"/>
  <c r="C993" i="19"/>
  <c r="C992" i="19"/>
  <c r="C991" i="19"/>
  <c r="C990" i="19"/>
  <c r="C989" i="19"/>
  <c r="C988" i="19"/>
  <c r="C987" i="19"/>
  <c r="C986" i="19"/>
  <c r="C985" i="19"/>
  <c r="C984" i="19"/>
  <c r="C983" i="19"/>
  <c r="C982" i="19"/>
  <c r="C981" i="19"/>
  <c r="C980" i="19"/>
  <c r="C979" i="19"/>
  <c r="C978" i="19"/>
  <c r="C977" i="19"/>
  <c r="C976" i="19"/>
  <c r="C975" i="19"/>
  <c r="C974" i="19"/>
  <c r="C973" i="19"/>
  <c r="C972" i="19"/>
  <c r="C971" i="19"/>
  <c r="C970" i="19"/>
  <c r="C969" i="19"/>
  <c r="C968" i="19"/>
  <c r="C967" i="19"/>
  <c r="C966" i="19"/>
  <c r="C965" i="19"/>
  <c r="C964" i="19"/>
  <c r="C963" i="19"/>
  <c r="C962" i="19"/>
  <c r="C961" i="19"/>
  <c r="C960" i="19"/>
  <c r="C959" i="19"/>
  <c r="C958" i="19"/>
  <c r="C957" i="19"/>
  <c r="C956" i="19"/>
  <c r="C955" i="19"/>
  <c r="C954" i="19"/>
  <c r="C953" i="19"/>
  <c r="C952" i="19"/>
  <c r="C951" i="19"/>
  <c r="C950" i="19"/>
  <c r="C949" i="19"/>
  <c r="C948" i="19"/>
  <c r="C947" i="19"/>
  <c r="C946" i="19"/>
  <c r="C945" i="19"/>
  <c r="C944" i="19"/>
  <c r="C943" i="19"/>
  <c r="C942" i="19"/>
  <c r="C941" i="19"/>
  <c r="C940" i="19"/>
  <c r="C939" i="19"/>
  <c r="C938" i="19"/>
  <c r="C937" i="19"/>
  <c r="C936" i="19"/>
  <c r="C935" i="19"/>
  <c r="C934" i="19"/>
  <c r="C933" i="19"/>
  <c r="C932" i="19"/>
  <c r="C931" i="19"/>
  <c r="C930" i="19"/>
  <c r="C929" i="19"/>
  <c r="C928" i="19"/>
  <c r="C927" i="19"/>
  <c r="C926" i="19"/>
  <c r="C925" i="19"/>
  <c r="C924" i="19"/>
  <c r="C923" i="19"/>
  <c r="C922" i="19"/>
  <c r="C921" i="19"/>
  <c r="C920" i="19"/>
  <c r="C919" i="19"/>
  <c r="C918" i="19"/>
  <c r="C917" i="19"/>
  <c r="C916" i="19"/>
  <c r="C915" i="19"/>
  <c r="C914" i="19"/>
  <c r="C913" i="19"/>
  <c r="C912" i="19"/>
  <c r="C911" i="19"/>
  <c r="C910" i="19"/>
  <c r="C909" i="19"/>
  <c r="C908" i="19"/>
  <c r="C907" i="19"/>
  <c r="C906" i="19"/>
  <c r="C905" i="19"/>
  <c r="C904" i="19"/>
  <c r="C903" i="19"/>
  <c r="C902" i="19"/>
  <c r="C901" i="19"/>
  <c r="C900" i="19"/>
  <c r="C899" i="19"/>
  <c r="C898" i="19"/>
  <c r="C897" i="19"/>
  <c r="C896" i="19"/>
  <c r="C895" i="19"/>
  <c r="C894" i="19"/>
  <c r="C893" i="19"/>
  <c r="C892" i="19"/>
  <c r="C891" i="19"/>
  <c r="C890" i="19"/>
  <c r="C889" i="19"/>
  <c r="C888" i="19"/>
  <c r="C887" i="19"/>
  <c r="C886" i="19"/>
  <c r="C885" i="19"/>
  <c r="C884" i="19"/>
  <c r="C883" i="19"/>
  <c r="C882" i="19"/>
  <c r="C881" i="19"/>
  <c r="C880" i="19"/>
  <c r="C879" i="19"/>
  <c r="C878" i="19"/>
  <c r="C877" i="19"/>
  <c r="C876" i="19"/>
  <c r="C875" i="19"/>
  <c r="C874" i="19"/>
  <c r="C873" i="19"/>
  <c r="C872" i="19"/>
  <c r="C871" i="19"/>
  <c r="C870" i="19"/>
  <c r="C869" i="19"/>
  <c r="C868" i="19"/>
  <c r="C867" i="19"/>
  <c r="C866" i="19"/>
  <c r="C865" i="19"/>
  <c r="C864" i="19"/>
  <c r="C863" i="19"/>
  <c r="C862" i="19"/>
  <c r="C861" i="19"/>
  <c r="C860" i="19"/>
  <c r="C859" i="19"/>
  <c r="C858" i="19"/>
  <c r="C857" i="19"/>
  <c r="C856" i="19"/>
  <c r="C855" i="19"/>
  <c r="C854" i="19"/>
  <c r="C853" i="19"/>
  <c r="C852" i="19"/>
  <c r="C851" i="19"/>
  <c r="C850" i="19"/>
  <c r="C849" i="19"/>
  <c r="C848" i="19"/>
  <c r="C847" i="19"/>
  <c r="C846" i="19"/>
  <c r="C845" i="19"/>
  <c r="C844" i="19"/>
  <c r="C843" i="19"/>
  <c r="C842" i="19"/>
  <c r="C841" i="19"/>
  <c r="C840" i="19"/>
  <c r="C839" i="19"/>
  <c r="C838" i="19"/>
  <c r="C837" i="19"/>
  <c r="C836" i="19"/>
  <c r="C835" i="19"/>
  <c r="C834" i="19"/>
  <c r="C833" i="19"/>
  <c r="C832" i="19"/>
  <c r="C831" i="19"/>
  <c r="C830" i="19"/>
  <c r="C829" i="19"/>
  <c r="C828" i="19"/>
  <c r="C827" i="19"/>
  <c r="C826" i="19"/>
  <c r="C825" i="19"/>
  <c r="C824" i="19"/>
  <c r="C823" i="19"/>
  <c r="C822" i="19"/>
  <c r="C821" i="19"/>
  <c r="C820" i="19"/>
  <c r="C819" i="19"/>
  <c r="C818" i="19"/>
  <c r="C817" i="19"/>
  <c r="C816" i="19"/>
  <c r="C815" i="19"/>
  <c r="C814" i="19"/>
  <c r="C813" i="19"/>
  <c r="C812" i="19"/>
  <c r="C811" i="19"/>
  <c r="C810" i="19"/>
  <c r="C809" i="19"/>
  <c r="C808" i="19"/>
  <c r="C807" i="19"/>
  <c r="B807" i="19" s="1"/>
  <c r="C806" i="19"/>
  <c r="B806" i="19" s="1"/>
  <c r="C805" i="19"/>
  <c r="B805" i="19" s="1"/>
  <c r="C804" i="19"/>
  <c r="B804" i="19" s="1"/>
  <c r="C803" i="19"/>
  <c r="B803" i="19" s="1"/>
  <c r="C802" i="19"/>
  <c r="B802" i="19" s="1"/>
  <c r="C801" i="19"/>
  <c r="B801" i="19" s="1"/>
  <c r="F801" i="19" s="1"/>
  <c r="C800" i="19"/>
  <c r="B800" i="19" s="1"/>
  <c r="F800" i="19" s="1"/>
  <c r="C799" i="19"/>
  <c r="B799" i="19" s="1"/>
  <c r="F799" i="19" s="1"/>
  <c r="C798" i="19"/>
  <c r="B798" i="19" s="1"/>
  <c r="C797" i="19"/>
  <c r="B797" i="19" s="1"/>
  <c r="C796" i="19"/>
  <c r="B796" i="19" s="1"/>
  <c r="C795" i="19"/>
  <c r="B795" i="19" s="1"/>
  <c r="C794" i="19"/>
  <c r="B794" i="19" s="1"/>
  <c r="C793" i="19"/>
  <c r="B793" i="19" s="1"/>
  <c r="C792" i="19"/>
  <c r="B792" i="19" s="1"/>
  <c r="C791" i="19"/>
  <c r="B791" i="19" s="1"/>
  <c r="C790" i="19"/>
  <c r="B790" i="19" s="1"/>
  <c r="C789" i="19"/>
  <c r="B789" i="19" s="1"/>
  <c r="C788" i="19"/>
  <c r="B788" i="19" s="1"/>
  <c r="C787" i="19"/>
  <c r="B787" i="19" s="1"/>
  <c r="F787" i="19" s="1"/>
  <c r="C786" i="19"/>
  <c r="B786" i="19" s="1"/>
  <c r="C785" i="19"/>
  <c r="C784" i="19"/>
  <c r="C783" i="19"/>
  <c r="C782" i="19"/>
  <c r="C781" i="19"/>
  <c r="C780" i="19"/>
  <c r="C779" i="19"/>
  <c r="C778" i="19"/>
  <c r="C777" i="19"/>
  <c r="C776" i="19"/>
  <c r="C775" i="19"/>
  <c r="C774" i="19"/>
  <c r="C773" i="19"/>
  <c r="C772" i="19"/>
  <c r="C771" i="19"/>
  <c r="C770" i="19"/>
  <c r="C769" i="19"/>
  <c r="C768" i="19"/>
  <c r="C767" i="19"/>
  <c r="C766" i="19"/>
  <c r="C765" i="19"/>
  <c r="C764" i="19"/>
  <c r="C763" i="19"/>
  <c r="C762" i="19"/>
  <c r="C761" i="19"/>
  <c r="C760" i="19"/>
  <c r="C759" i="19"/>
  <c r="C758" i="19"/>
  <c r="C757" i="19"/>
  <c r="C756" i="19"/>
  <c r="C755" i="19"/>
  <c r="C754" i="19"/>
  <c r="C753" i="19"/>
  <c r="C752" i="19"/>
  <c r="C751" i="19"/>
  <c r="C750" i="19"/>
  <c r="C749" i="19"/>
  <c r="C748" i="19"/>
  <c r="C747" i="19"/>
  <c r="C746" i="19"/>
  <c r="C745" i="19"/>
  <c r="C744" i="19"/>
  <c r="C743" i="19"/>
  <c r="C742" i="19"/>
  <c r="C741" i="19"/>
  <c r="C740" i="19"/>
  <c r="C739" i="19"/>
  <c r="C738" i="19"/>
  <c r="C737" i="19"/>
  <c r="C736" i="19"/>
  <c r="C735" i="19"/>
  <c r="C734" i="19"/>
  <c r="C733" i="19"/>
  <c r="C732" i="19"/>
  <c r="C731" i="19"/>
  <c r="C730" i="19"/>
  <c r="C729" i="19"/>
  <c r="C728" i="19"/>
  <c r="C727" i="19"/>
  <c r="C726" i="19"/>
  <c r="C725" i="19"/>
  <c r="C724" i="19"/>
  <c r="C723" i="19"/>
  <c r="C722" i="19"/>
  <c r="C721" i="19"/>
  <c r="C720" i="19"/>
  <c r="C719" i="19"/>
  <c r="C718" i="19"/>
  <c r="C717" i="19"/>
  <c r="C716" i="19"/>
  <c r="C715" i="19"/>
  <c r="C714" i="19"/>
  <c r="C713" i="19"/>
  <c r="C712" i="19"/>
  <c r="C711" i="19"/>
  <c r="C710" i="19"/>
  <c r="C709" i="19"/>
  <c r="C708" i="19"/>
  <c r="C707" i="19"/>
  <c r="C706" i="19"/>
  <c r="C705" i="19"/>
  <c r="C704" i="19"/>
  <c r="C703" i="19"/>
  <c r="C702" i="19"/>
  <c r="C701" i="19"/>
  <c r="C700" i="19"/>
  <c r="C699" i="19"/>
  <c r="C698" i="19"/>
  <c r="C697" i="19"/>
  <c r="C696" i="19"/>
  <c r="C695" i="19"/>
  <c r="C694" i="19"/>
  <c r="C693" i="19"/>
  <c r="C692" i="19"/>
  <c r="C691" i="19"/>
  <c r="C690" i="19"/>
  <c r="C689" i="19"/>
  <c r="C688" i="19"/>
  <c r="C687" i="19"/>
  <c r="C686" i="19"/>
  <c r="C685" i="19"/>
  <c r="C684" i="19"/>
  <c r="C683" i="19"/>
  <c r="C682" i="19"/>
  <c r="C681" i="19"/>
  <c r="C680" i="19"/>
  <c r="C679" i="19"/>
  <c r="C678" i="19"/>
  <c r="C677" i="19"/>
  <c r="C676" i="19"/>
  <c r="C675" i="19"/>
  <c r="C674" i="19"/>
  <c r="C673" i="19"/>
  <c r="C672" i="19"/>
  <c r="C671" i="19"/>
  <c r="C670" i="19"/>
  <c r="C669" i="19"/>
  <c r="C668" i="19"/>
  <c r="C667" i="19"/>
  <c r="C666" i="19"/>
  <c r="C665" i="19"/>
  <c r="C664" i="19"/>
  <c r="C663" i="19"/>
  <c r="C662" i="19"/>
  <c r="C661" i="19"/>
  <c r="C660" i="19"/>
  <c r="C659" i="19"/>
  <c r="C658" i="19"/>
  <c r="C657" i="19"/>
  <c r="C656" i="19"/>
  <c r="C655" i="19"/>
  <c r="C654" i="19"/>
  <c r="C653" i="19"/>
  <c r="C652" i="19"/>
  <c r="C651" i="19"/>
  <c r="C650" i="19"/>
  <c r="C649" i="19"/>
  <c r="C648" i="19"/>
  <c r="C647" i="19"/>
  <c r="C646" i="19"/>
  <c r="C645" i="19"/>
  <c r="C644" i="19"/>
  <c r="C643" i="19"/>
  <c r="C642" i="19"/>
  <c r="C641" i="19"/>
  <c r="C640" i="19"/>
  <c r="C639" i="19"/>
  <c r="C638" i="19"/>
  <c r="C637" i="19"/>
  <c r="C636" i="19"/>
  <c r="C635" i="19"/>
  <c r="C634" i="19"/>
  <c r="C633" i="19"/>
  <c r="C632" i="19"/>
  <c r="C631" i="19"/>
  <c r="C630" i="19"/>
  <c r="C629" i="19"/>
  <c r="C628" i="19"/>
  <c r="C627" i="19"/>
  <c r="C626" i="19"/>
  <c r="C625" i="19"/>
  <c r="C624" i="19"/>
  <c r="C623" i="19"/>
  <c r="C622" i="19"/>
  <c r="C621" i="19"/>
  <c r="C620" i="19"/>
  <c r="C619" i="19"/>
  <c r="C618" i="19"/>
  <c r="C617" i="19"/>
  <c r="C616" i="19"/>
  <c r="C615" i="19"/>
  <c r="C614" i="19"/>
  <c r="C613" i="19"/>
  <c r="C612" i="19"/>
  <c r="C611" i="19"/>
  <c r="C610" i="19"/>
  <c r="C609" i="19"/>
  <c r="C608" i="19"/>
  <c r="C607" i="19"/>
  <c r="C606" i="19"/>
  <c r="C605" i="19"/>
  <c r="C604" i="19"/>
  <c r="C603" i="19"/>
  <c r="C602" i="19"/>
  <c r="C601" i="19"/>
  <c r="C600" i="19"/>
  <c r="C599" i="19"/>
  <c r="C598" i="19"/>
  <c r="C597" i="19"/>
  <c r="C596" i="19"/>
  <c r="C595" i="19"/>
  <c r="C594" i="19"/>
  <c r="C593" i="19"/>
  <c r="C592" i="19"/>
  <c r="C591" i="19"/>
  <c r="C590" i="19"/>
  <c r="C589" i="19"/>
  <c r="C588" i="19"/>
  <c r="C587" i="19"/>
  <c r="C586" i="19"/>
  <c r="C585" i="19"/>
  <c r="C584" i="19"/>
  <c r="C583" i="19"/>
  <c r="C582" i="19"/>
  <c r="C581" i="19"/>
  <c r="C580" i="19"/>
  <c r="C579" i="19"/>
  <c r="C578" i="19"/>
  <c r="C577" i="19"/>
  <c r="C576" i="19"/>
  <c r="C575" i="19"/>
  <c r="C574" i="19"/>
  <c r="C573" i="19"/>
  <c r="C572" i="19"/>
  <c r="C571" i="19"/>
  <c r="C570" i="19"/>
  <c r="C569" i="19"/>
  <c r="C568" i="19"/>
  <c r="C567" i="19"/>
  <c r="C566" i="19"/>
  <c r="C565" i="19"/>
  <c r="C564" i="19"/>
  <c r="C563" i="19"/>
  <c r="C562" i="19"/>
  <c r="C561" i="19"/>
  <c r="C560" i="19"/>
  <c r="C559" i="19"/>
  <c r="C558" i="19"/>
  <c r="C557" i="19"/>
  <c r="C556" i="19"/>
  <c r="C555" i="19"/>
  <c r="C554" i="19"/>
  <c r="C553" i="19"/>
  <c r="C552" i="19"/>
  <c r="C551" i="19"/>
  <c r="C550" i="19"/>
  <c r="C549" i="19"/>
  <c r="C548" i="19"/>
  <c r="C547" i="19"/>
  <c r="C546" i="19"/>
  <c r="C545" i="19"/>
  <c r="B545" i="19" s="1"/>
  <c r="C544" i="19"/>
  <c r="B544" i="19" s="1"/>
  <c r="C543" i="19"/>
  <c r="B543" i="19" s="1"/>
  <c r="C542" i="19"/>
  <c r="B542" i="19" s="1"/>
  <c r="C541" i="19"/>
  <c r="B541" i="19" s="1"/>
  <c r="C540" i="19"/>
  <c r="B540" i="19" s="1"/>
  <c r="C539" i="19"/>
  <c r="B539" i="19" s="1"/>
  <c r="C538" i="19"/>
  <c r="B538" i="19" s="1"/>
  <c r="C537" i="19"/>
  <c r="B537" i="19" s="1"/>
  <c r="C536" i="19"/>
  <c r="B536" i="19" s="1"/>
  <c r="C535" i="19"/>
  <c r="B535" i="19" s="1"/>
  <c r="F535" i="19" s="1"/>
  <c r="C534" i="19"/>
  <c r="B534" i="19" s="1"/>
  <c r="C533" i="19"/>
  <c r="B533" i="19" s="1"/>
  <c r="C532" i="19"/>
  <c r="B532" i="19" s="1"/>
  <c r="C531" i="19"/>
  <c r="B531" i="19" s="1"/>
  <c r="C530" i="19"/>
  <c r="B530" i="19" s="1"/>
  <c r="C529" i="19"/>
  <c r="B529" i="19" s="1"/>
  <c r="C528" i="19"/>
  <c r="B528" i="19" s="1"/>
  <c r="C527" i="19"/>
  <c r="B527" i="19" s="1"/>
  <c r="C526" i="19"/>
  <c r="B526" i="19" s="1"/>
  <c r="C525" i="19"/>
  <c r="B525" i="19" s="1"/>
  <c r="C524" i="19"/>
  <c r="C523" i="19"/>
  <c r="C522" i="19"/>
  <c r="C521" i="19"/>
  <c r="C520" i="19"/>
  <c r="C519" i="19"/>
  <c r="C518" i="19"/>
  <c r="C517" i="19"/>
  <c r="C516" i="19"/>
  <c r="C515" i="19"/>
  <c r="C514" i="19"/>
  <c r="C513" i="19"/>
  <c r="C512" i="19"/>
  <c r="C511" i="19"/>
  <c r="C510" i="19"/>
  <c r="C509" i="19"/>
  <c r="C508" i="19"/>
  <c r="C507" i="19"/>
  <c r="C506" i="19"/>
  <c r="C505" i="19"/>
  <c r="C504" i="19"/>
  <c r="C503" i="19"/>
  <c r="C502" i="19"/>
  <c r="C501" i="19"/>
  <c r="C500" i="19"/>
  <c r="C499" i="19"/>
  <c r="C498" i="19"/>
  <c r="C497" i="19"/>
  <c r="C496" i="19"/>
  <c r="C495" i="19"/>
  <c r="C494" i="19"/>
  <c r="C493" i="19"/>
  <c r="C492" i="19"/>
  <c r="C491" i="19"/>
  <c r="C490" i="19"/>
  <c r="C489" i="19"/>
  <c r="C488" i="19"/>
  <c r="C487" i="19"/>
  <c r="C486" i="19"/>
  <c r="C485" i="19"/>
  <c r="C484" i="19"/>
  <c r="C483" i="19"/>
  <c r="C482" i="19"/>
  <c r="C481" i="19"/>
  <c r="C480" i="19"/>
  <c r="C479" i="19"/>
  <c r="C478" i="19"/>
  <c r="C477" i="19"/>
  <c r="C476" i="19"/>
  <c r="C475" i="19"/>
  <c r="C474" i="19"/>
  <c r="C473" i="19"/>
  <c r="C472" i="19"/>
  <c r="C471" i="19"/>
  <c r="C470" i="19"/>
  <c r="C469" i="19"/>
  <c r="C468" i="19"/>
  <c r="C467" i="19"/>
  <c r="C466" i="19"/>
  <c r="C465" i="19"/>
  <c r="C464" i="19"/>
  <c r="C463" i="19"/>
  <c r="C462" i="19"/>
  <c r="C461" i="19"/>
  <c r="C460" i="19"/>
  <c r="C459" i="19"/>
  <c r="C458" i="19"/>
  <c r="C457" i="19"/>
  <c r="C456" i="19"/>
  <c r="C455" i="19"/>
  <c r="C454" i="19"/>
  <c r="C453" i="19"/>
  <c r="C452" i="19"/>
  <c r="C451" i="19"/>
  <c r="C450" i="19"/>
  <c r="C449" i="19"/>
  <c r="C448" i="19"/>
  <c r="C447" i="19"/>
  <c r="C446" i="19"/>
  <c r="C445" i="19"/>
  <c r="C444" i="19"/>
  <c r="C443" i="19"/>
  <c r="C442" i="19"/>
  <c r="C441" i="19"/>
  <c r="C440" i="19"/>
  <c r="C439" i="19"/>
  <c r="C438" i="19"/>
  <c r="C437" i="19"/>
  <c r="C436" i="19"/>
  <c r="C435" i="19"/>
  <c r="C434" i="19"/>
  <c r="C433" i="19"/>
  <c r="C432" i="19"/>
  <c r="C431" i="19"/>
  <c r="C430" i="19"/>
  <c r="C429" i="19"/>
  <c r="C428" i="19"/>
  <c r="C427" i="19"/>
  <c r="C426" i="19"/>
  <c r="C425" i="19"/>
  <c r="C424" i="19"/>
  <c r="C423" i="19"/>
  <c r="C422" i="19"/>
  <c r="C421" i="19"/>
  <c r="C420" i="19"/>
  <c r="C419" i="19"/>
  <c r="C418" i="19"/>
  <c r="C417" i="19"/>
  <c r="C416" i="19"/>
  <c r="C415" i="19"/>
  <c r="C414" i="19"/>
  <c r="C413" i="19"/>
  <c r="C412" i="19"/>
  <c r="C411" i="19"/>
  <c r="C410" i="19"/>
  <c r="C409" i="19"/>
  <c r="C408" i="19"/>
  <c r="C407" i="19"/>
  <c r="C406" i="19"/>
  <c r="C405" i="19"/>
  <c r="C404" i="19"/>
  <c r="C403" i="19"/>
  <c r="C402" i="19"/>
  <c r="C401" i="19"/>
  <c r="C400" i="19"/>
  <c r="C399" i="19"/>
  <c r="C398" i="19"/>
  <c r="C397" i="19"/>
  <c r="C396" i="19"/>
  <c r="C395" i="19"/>
  <c r="C394" i="19"/>
  <c r="C393" i="19"/>
  <c r="C392" i="19"/>
  <c r="C391" i="19"/>
  <c r="C390" i="19"/>
  <c r="C389" i="19"/>
  <c r="C388" i="19"/>
  <c r="C387" i="19"/>
  <c r="C386" i="19"/>
  <c r="C385" i="19"/>
  <c r="C384" i="19"/>
  <c r="C383" i="19"/>
  <c r="C382" i="19"/>
  <c r="C381" i="19"/>
  <c r="C380" i="19"/>
  <c r="C379" i="19"/>
  <c r="C378" i="19"/>
  <c r="C377" i="19"/>
  <c r="C376" i="19"/>
  <c r="C375" i="19"/>
  <c r="C374" i="19"/>
  <c r="C373" i="19"/>
  <c r="C372" i="19"/>
  <c r="C371" i="19"/>
  <c r="C370" i="19"/>
  <c r="C369" i="19"/>
  <c r="C368" i="19"/>
  <c r="C367" i="19"/>
  <c r="C366" i="19"/>
  <c r="C365" i="19"/>
  <c r="C364" i="19"/>
  <c r="C363" i="19"/>
  <c r="C362" i="19"/>
  <c r="C361" i="19"/>
  <c r="C360" i="19"/>
  <c r="C359" i="19"/>
  <c r="C358" i="19"/>
  <c r="C357" i="19"/>
  <c r="C356" i="19"/>
  <c r="C355" i="19"/>
  <c r="C354" i="19"/>
  <c r="C353" i="19"/>
  <c r="C352" i="19"/>
  <c r="C351" i="19"/>
  <c r="C350" i="19"/>
  <c r="C349" i="19"/>
  <c r="C348" i="19"/>
  <c r="C347" i="19"/>
  <c r="C346" i="19"/>
  <c r="C345" i="19"/>
  <c r="C344" i="19"/>
  <c r="C343" i="19"/>
  <c r="C342" i="19"/>
  <c r="C341" i="19"/>
  <c r="C340" i="19"/>
  <c r="C339" i="19"/>
  <c r="C338" i="19"/>
  <c r="C337" i="19"/>
  <c r="C336" i="19"/>
  <c r="C335" i="19"/>
  <c r="C334" i="19"/>
  <c r="C333" i="19"/>
  <c r="C332" i="19"/>
  <c r="C331" i="19"/>
  <c r="C330" i="19"/>
  <c r="C329" i="19"/>
  <c r="C328" i="19"/>
  <c r="C327" i="19"/>
  <c r="C326" i="19"/>
  <c r="C325" i="19"/>
  <c r="C324" i="19"/>
  <c r="C323" i="19"/>
  <c r="C322" i="19"/>
  <c r="C321" i="19"/>
  <c r="C320" i="19"/>
  <c r="C319" i="19"/>
  <c r="C318" i="19"/>
  <c r="C317" i="19"/>
  <c r="C316" i="19"/>
  <c r="C315" i="19"/>
  <c r="C314" i="19"/>
  <c r="C313" i="19"/>
  <c r="C312" i="19"/>
  <c r="C311" i="19"/>
  <c r="C310" i="19"/>
  <c r="C309" i="19"/>
  <c r="C308" i="19"/>
  <c r="C307" i="19"/>
  <c r="C306" i="19"/>
  <c r="C305" i="19"/>
  <c r="C304" i="19"/>
  <c r="C303" i="19"/>
  <c r="C302" i="19"/>
  <c r="C301" i="19"/>
  <c r="C300" i="19"/>
  <c r="C299" i="19"/>
  <c r="C298" i="19"/>
  <c r="C297" i="19"/>
  <c r="C296" i="19"/>
  <c r="C295" i="19"/>
  <c r="C294" i="19"/>
  <c r="C293" i="19"/>
  <c r="C292" i="19"/>
  <c r="C291" i="19"/>
  <c r="C290" i="19"/>
  <c r="C289" i="19"/>
  <c r="C288" i="19"/>
  <c r="C287" i="19"/>
  <c r="C286" i="19"/>
  <c r="C285" i="19"/>
  <c r="B285" i="19" s="1"/>
  <c r="C284" i="19"/>
  <c r="B284" i="19" s="1"/>
  <c r="C283" i="19"/>
  <c r="B283" i="19" s="1"/>
  <c r="F283" i="19" s="1"/>
  <c r="C282" i="19"/>
  <c r="B282" i="19" s="1"/>
  <c r="C281" i="19"/>
  <c r="B281" i="19" s="1"/>
  <c r="C280" i="19"/>
  <c r="B280" i="19" s="1"/>
  <c r="C279" i="19"/>
  <c r="B279" i="19" s="1"/>
  <c r="C278" i="19"/>
  <c r="B278" i="19" s="1"/>
  <c r="C277" i="19"/>
  <c r="B277" i="19" s="1"/>
  <c r="C276" i="19"/>
  <c r="B276" i="19" s="1"/>
  <c r="C275" i="19"/>
  <c r="B275" i="19" s="1"/>
  <c r="C274" i="19"/>
  <c r="B274" i="19" s="1"/>
  <c r="C273" i="19"/>
  <c r="B273" i="19" s="1"/>
  <c r="C272" i="19"/>
  <c r="B272" i="19" s="1"/>
  <c r="C271" i="19"/>
  <c r="B271" i="19" s="1"/>
  <c r="C270" i="19"/>
  <c r="B270" i="19" s="1"/>
  <c r="C269" i="19"/>
  <c r="B269" i="19" s="1"/>
  <c r="C268" i="19"/>
  <c r="B268" i="19" s="1"/>
  <c r="C267" i="19"/>
  <c r="B267" i="19" s="1"/>
  <c r="C266" i="19"/>
  <c r="B266" i="19" s="1"/>
  <c r="C265" i="19"/>
  <c r="B265" i="19" s="1"/>
  <c r="C264" i="19"/>
  <c r="B264" i="19" s="1"/>
  <c r="C263" i="19"/>
  <c r="C262" i="19"/>
  <c r="C261" i="19"/>
  <c r="C260" i="19"/>
  <c r="C259" i="19"/>
  <c r="C258" i="19"/>
  <c r="C257" i="19"/>
  <c r="C256" i="19"/>
  <c r="C255" i="19"/>
  <c r="C254" i="19"/>
  <c r="C253" i="19"/>
  <c r="C252" i="19"/>
  <c r="C251" i="19"/>
  <c r="C250" i="19"/>
  <c r="C249" i="19"/>
  <c r="C248" i="19"/>
  <c r="C247" i="19"/>
  <c r="C246" i="19"/>
  <c r="C245" i="19"/>
  <c r="C244" i="19"/>
  <c r="C243" i="19"/>
  <c r="C242" i="19"/>
  <c r="C241" i="19"/>
  <c r="C240" i="19"/>
  <c r="C239" i="19"/>
  <c r="C238" i="19"/>
  <c r="C237" i="19"/>
  <c r="C236" i="19"/>
  <c r="C235" i="19"/>
  <c r="C234" i="19"/>
  <c r="C233" i="19"/>
  <c r="C232" i="19"/>
  <c r="C231" i="19"/>
  <c r="C230" i="19"/>
  <c r="C229" i="19"/>
  <c r="C228" i="19"/>
  <c r="C227" i="19"/>
  <c r="C226" i="19"/>
  <c r="C225" i="19"/>
  <c r="C224" i="19"/>
  <c r="C223" i="19"/>
  <c r="C222" i="19"/>
  <c r="C221" i="19"/>
  <c r="C220" i="19"/>
  <c r="C219" i="19"/>
  <c r="C218" i="19"/>
  <c r="C217" i="19"/>
  <c r="C216" i="19"/>
  <c r="C215" i="19"/>
  <c r="C214" i="19"/>
  <c r="C213" i="19"/>
  <c r="C212" i="19"/>
  <c r="C211" i="19"/>
  <c r="C210" i="19"/>
  <c r="C209" i="19"/>
  <c r="C208" i="19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B25" i="19" s="1"/>
  <c r="C24" i="19"/>
  <c r="B24" i="19" s="1"/>
  <c r="C23" i="19"/>
  <c r="B23" i="19" s="1"/>
  <c r="C22" i="19"/>
  <c r="B22" i="19" s="1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C9" i="19"/>
  <c r="B9" i="19" s="1"/>
  <c r="C8" i="19"/>
  <c r="B8" i="19" s="1"/>
  <c r="C7" i="19"/>
  <c r="B7" i="19" s="1"/>
  <c r="C6" i="19"/>
  <c r="B6" i="19" s="1"/>
  <c r="C5" i="19"/>
  <c r="B5" i="19" s="1"/>
  <c r="C4" i="19"/>
  <c r="B4" i="19" s="1"/>
  <c r="C3" i="19"/>
  <c r="B3" i="19" s="1"/>
  <c r="N4" i="19"/>
  <c r="N5" i="19" s="1"/>
  <c r="N6" i="19" s="1"/>
  <c r="N7" i="19" s="1"/>
  <c r="N8" i="19" s="1"/>
  <c r="N9" i="19" s="1"/>
  <c r="N10" i="19" s="1"/>
  <c r="N11" i="19" s="1"/>
  <c r="N12" i="19" s="1"/>
  <c r="N13" i="19" s="1"/>
  <c r="N14" i="19" s="1"/>
  <c r="BG16" i="16"/>
  <c r="AG33" i="4"/>
  <c r="AG25" i="4"/>
  <c r="AF33" i="4"/>
  <c r="AF19" i="4"/>
  <c r="AG29" i="4"/>
  <c r="AG28" i="4"/>
  <c r="AG27" i="4"/>
  <c r="AG26" i="4"/>
  <c r="AF12" i="4"/>
  <c r="AG12" i="4" s="1"/>
  <c r="F10" i="19" l="1"/>
  <c r="F1066" i="19"/>
  <c r="F282" i="19"/>
  <c r="F534" i="19"/>
  <c r="F786" i="19"/>
  <c r="F798" i="19"/>
  <c r="F1050" i="19"/>
  <c r="F1062" i="19"/>
  <c r="F1314" i="19"/>
  <c r="F1326" i="19"/>
  <c r="F1578" i="19"/>
  <c r="F1830" i="19"/>
  <c r="F1067" i="19"/>
  <c r="F1319" i="19"/>
  <c r="F1571" i="19"/>
  <c r="F1583" i="19"/>
  <c r="F1835" i="19"/>
  <c r="F1847" i="19"/>
  <c r="F2099" i="19"/>
  <c r="F2111" i="19"/>
  <c r="F16" i="19"/>
  <c r="F268" i="19"/>
  <c r="F280" i="19"/>
  <c r="F532" i="19"/>
  <c r="F544" i="19"/>
  <c r="F796" i="19"/>
  <c r="F1048" i="19"/>
  <c r="F1060" i="19"/>
  <c r="F1312" i="19"/>
  <c r="F278" i="19"/>
  <c r="F530" i="19"/>
  <c r="F1046" i="19"/>
  <c r="F2102" i="19"/>
  <c r="F14" i="19"/>
  <c r="F266" i="19"/>
  <c r="F542" i="19"/>
  <c r="F794" i="19"/>
  <c r="F1850" i="19"/>
  <c r="F3" i="19"/>
  <c r="F15" i="19"/>
  <c r="F267" i="19"/>
  <c r="F543" i="19"/>
  <c r="F795" i="19"/>
  <c r="F1047" i="19"/>
  <c r="F2103" i="19"/>
  <c r="F274" i="19"/>
  <c r="F526" i="19"/>
  <c r="F806" i="19"/>
  <c r="F1058" i="19"/>
  <c r="F1310" i="19"/>
  <c r="F1324" i="19"/>
  <c r="F8" i="19"/>
  <c r="F275" i="19"/>
  <c r="F527" i="19"/>
  <c r="F807" i="19"/>
  <c r="F1059" i="19"/>
  <c r="F1311" i="19"/>
  <c r="F1843" i="19"/>
  <c r="F2095" i="19"/>
  <c r="F2109" i="19"/>
  <c r="F22" i="19"/>
  <c r="F9" i="19"/>
  <c r="F1844" i="19"/>
  <c r="F2096" i="19"/>
  <c r="F2110" i="19"/>
  <c r="F23" i="19"/>
  <c r="F7" i="19"/>
  <c r="F21" i="19"/>
  <c r="F273" i="19"/>
  <c r="F525" i="19"/>
  <c r="F539" i="19"/>
  <c r="F791" i="19"/>
  <c r="F1323" i="19"/>
  <c r="F1575" i="19"/>
  <c r="F2107" i="19"/>
  <c r="F1576" i="19"/>
  <c r="F1590" i="19"/>
  <c r="F1842" i="19"/>
  <c r="F2094" i="19"/>
  <c r="F2108" i="19"/>
  <c r="F4" i="19"/>
  <c r="F18" i="19"/>
  <c r="F270" i="19"/>
  <c r="F284" i="19"/>
  <c r="F536" i="19"/>
  <c r="F788" i="19"/>
  <c r="F802" i="19"/>
  <c r="F1054" i="19"/>
  <c r="F1586" i="19"/>
  <c r="F1838" i="19"/>
  <c r="F2104" i="19"/>
  <c r="F285" i="19"/>
  <c r="F537" i="19"/>
  <c r="F789" i="19"/>
  <c r="F803" i="19"/>
  <c r="F1055" i="19"/>
  <c r="F1307" i="19"/>
  <c r="F1587" i="19"/>
  <c r="F1839" i="19"/>
  <c r="F2091" i="19"/>
  <c r="F20" i="19"/>
  <c r="F272" i="19"/>
  <c r="F538" i="19"/>
  <c r="F790" i="19"/>
  <c r="F1322" i="19"/>
  <c r="F1574" i="19"/>
  <c r="F1588" i="19"/>
  <c r="F1840" i="19"/>
  <c r="F2092" i="19"/>
  <c r="F2106" i="19"/>
  <c r="F271" i="19"/>
  <c r="F6" i="19"/>
  <c r="F19" i="19"/>
  <c r="F279" i="19"/>
  <c r="F531" i="19"/>
  <c r="F5" i="19"/>
  <c r="F17" i="19"/>
  <c r="F269" i="19"/>
  <c r="F281" i="19"/>
  <c r="F533" i="19"/>
  <c r="F545" i="19"/>
  <c r="F797" i="19"/>
  <c r="F1049" i="19"/>
  <c r="F1061" i="19"/>
  <c r="F1313" i="19"/>
  <c r="F1325" i="19"/>
  <c r="F1577" i="19"/>
  <c r="F1589" i="19"/>
  <c r="F1841" i="19"/>
  <c r="F2093" i="19"/>
  <c r="F2105" i="19"/>
  <c r="F24" i="19"/>
  <c r="F12" i="19"/>
  <c r="F13" i="19"/>
  <c r="F277" i="19"/>
  <c r="F529" i="19"/>
  <c r="F541" i="19"/>
  <c r="F793" i="19"/>
  <c r="F805" i="19"/>
  <c r="F1057" i="19"/>
  <c r="F1309" i="19"/>
  <c r="F1321" i="19"/>
  <c r="F1573" i="19"/>
  <c r="F1585" i="19"/>
  <c r="F1837" i="19"/>
  <c r="F1849" i="19"/>
  <c r="F2101" i="19"/>
  <c r="F265" i="19"/>
  <c r="F25" i="19"/>
  <c r="F264" i="19"/>
  <c r="F276" i="19"/>
  <c r="F528" i="19"/>
  <c r="F540" i="19"/>
  <c r="F792" i="19"/>
  <c r="F804" i="19"/>
  <c r="F1056" i="19"/>
  <c r="F1068" i="19"/>
  <c r="F1308" i="19"/>
  <c r="F1320" i="19"/>
  <c r="F1572" i="19"/>
  <c r="F1584" i="19"/>
  <c r="F1836" i="19"/>
  <c r="F1848" i="19"/>
  <c r="F2100" i="19"/>
  <c r="J60" i="13"/>
  <c r="J49" i="13" s="1"/>
  <c r="J47" i="13"/>
  <c r="I26" i="13"/>
  <c r="I15" i="13" s="1"/>
  <c r="I13" i="13"/>
  <c r="F11" i="19"/>
  <c r="AG23" i="4"/>
  <c r="B28" i="19"/>
  <c r="F28" i="19" s="1"/>
  <c r="B36" i="19"/>
  <c r="F36" i="19" s="1"/>
  <c r="B44" i="19"/>
  <c r="F44" i="19" s="1"/>
  <c r="B52" i="19"/>
  <c r="F52" i="19" s="1"/>
  <c r="B60" i="19"/>
  <c r="F60" i="19" s="1"/>
  <c r="B68" i="19"/>
  <c r="F68" i="19" s="1"/>
  <c r="B76" i="19"/>
  <c r="F76" i="19" s="1"/>
  <c r="B84" i="19"/>
  <c r="F84" i="19" s="1"/>
  <c r="B92" i="19"/>
  <c r="F92" i="19" s="1"/>
  <c r="B100" i="19"/>
  <c r="F100" i="19" s="1"/>
  <c r="B108" i="19"/>
  <c r="F108" i="19" s="1"/>
  <c r="B116" i="19"/>
  <c r="F116" i="19" s="1"/>
  <c r="B124" i="19"/>
  <c r="F124" i="19" s="1"/>
  <c r="B132" i="19"/>
  <c r="F132" i="19" s="1"/>
  <c r="B140" i="19"/>
  <c r="F140" i="19" s="1"/>
  <c r="B148" i="19"/>
  <c r="F148" i="19" s="1"/>
  <c r="B156" i="19"/>
  <c r="F156" i="19" s="1"/>
  <c r="B164" i="19"/>
  <c r="F164" i="19" s="1"/>
  <c r="B172" i="19"/>
  <c r="F172" i="19" s="1"/>
  <c r="B180" i="19"/>
  <c r="F180" i="19" s="1"/>
  <c r="B188" i="19"/>
  <c r="F188" i="19" s="1"/>
  <c r="B196" i="19"/>
  <c r="F196" i="19" s="1"/>
  <c r="B204" i="19"/>
  <c r="F204" i="19" s="1"/>
  <c r="B212" i="19"/>
  <c r="F212" i="19" s="1"/>
  <c r="B220" i="19"/>
  <c r="F220" i="19" s="1"/>
  <c r="B228" i="19"/>
  <c r="F228" i="19" s="1"/>
  <c r="B236" i="19"/>
  <c r="F236" i="19" s="1"/>
  <c r="B244" i="19"/>
  <c r="F244" i="19" s="1"/>
  <c r="B252" i="19"/>
  <c r="F252" i="19" s="1"/>
  <c r="B260" i="19"/>
  <c r="F260" i="19" s="1"/>
  <c r="B292" i="19"/>
  <c r="F292" i="19" s="1"/>
  <c r="B300" i="19"/>
  <c r="F300" i="19" s="1"/>
  <c r="B308" i="19"/>
  <c r="F308" i="19" s="1"/>
  <c r="B316" i="19"/>
  <c r="F316" i="19" s="1"/>
  <c r="B324" i="19"/>
  <c r="F324" i="19" s="1"/>
  <c r="B332" i="19"/>
  <c r="F332" i="19" s="1"/>
  <c r="B340" i="19"/>
  <c r="F340" i="19" s="1"/>
  <c r="B348" i="19"/>
  <c r="F348" i="19" s="1"/>
  <c r="B356" i="19"/>
  <c r="F356" i="19" s="1"/>
  <c r="B364" i="19"/>
  <c r="F364" i="19" s="1"/>
  <c r="B372" i="19"/>
  <c r="F372" i="19" s="1"/>
  <c r="B380" i="19"/>
  <c r="F380" i="19" s="1"/>
  <c r="B388" i="19"/>
  <c r="F388" i="19" s="1"/>
  <c r="B396" i="19"/>
  <c r="F396" i="19" s="1"/>
  <c r="B404" i="19"/>
  <c r="F404" i="19" s="1"/>
  <c r="B412" i="19"/>
  <c r="F412" i="19" s="1"/>
  <c r="B420" i="19"/>
  <c r="F420" i="19" s="1"/>
  <c r="B428" i="19"/>
  <c r="F428" i="19" s="1"/>
  <c r="B436" i="19"/>
  <c r="F436" i="19" s="1"/>
  <c r="B444" i="19"/>
  <c r="F444" i="19" s="1"/>
  <c r="B452" i="19"/>
  <c r="F452" i="19" s="1"/>
  <c r="B460" i="19"/>
  <c r="F460" i="19" s="1"/>
  <c r="B468" i="19"/>
  <c r="F468" i="19" s="1"/>
  <c r="B476" i="19"/>
  <c r="F476" i="19" s="1"/>
  <c r="B484" i="19"/>
  <c r="F484" i="19" s="1"/>
  <c r="B492" i="19"/>
  <c r="F492" i="19" s="1"/>
  <c r="B500" i="19"/>
  <c r="F500" i="19" s="1"/>
  <c r="B508" i="19"/>
  <c r="F508" i="19" s="1"/>
  <c r="B516" i="19"/>
  <c r="F516" i="19" s="1"/>
  <c r="B524" i="19"/>
  <c r="F524" i="19" s="1"/>
  <c r="B548" i="19"/>
  <c r="F548" i="19" s="1"/>
  <c r="B556" i="19"/>
  <c r="F556" i="19" s="1"/>
  <c r="B564" i="19"/>
  <c r="F564" i="19" s="1"/>
  <c r="B572" i="19"/>
  <c r="F572" i="19" s="1"/>
  <c r="B580" i="19"/>
  <c r="F580" i="19" s="1"/>
  <c r="B588" i="19"/>
  <c r="F588" i="19" s="1"/>
  <c r="B596" i="19"/>
  <c r="F596" i="19" s="1"/>
  <c r="B604" i="19"/>
  <c r="F604" i="19" s="1"/>
  <c r="B612" i="19"/>
  <c r="F612" i="19" s="1"/>
  <c r="B620" i="19"/>
  <c r="F620" i="19" s="1"/>
  <c r="B628" i="19"/>
  <c r="F628" i="19" s="1"/>
  <c r="B636" i="19"/>
  <c r="F636" i="19" s="1"/>
  <c r="B644" i="19"/>
  <c r="F644" i="19" s="1"/>
  <c r="B652" i="19"/>
  <c r="F652" i="19" s="1"/>
  <c r="B660" i="19"/>
  <c r="F660" i="19" s="1"/>
  <c r="B668" i="19"/>
  <c r="F668" i="19" s="1"/>
  <c r="B676" i="19"/>
  <c r="F676" i="19" s="1"/>
  <c r="B684" i="19"/>
  <c r="F684" i="19" s="1"/>
  <c r="B692" i="19"/>
  <c r="F692" i="19" s="1"/>
  <c r="B700" i="19"/>
  <c r="F700" i="19" s="1"/>
  <c r="B708" i="19"/>
  <c r="F708" i="19" s="1"/>
  <c r="B716" i="19"/>
  <c r="F716" i="19" s="1"/>
  <c r="B724" i="19"/>
  <c r="F724" i="19" s="1"/>
  <c r="B732" i="19"/>
  <c r="F732" i="19" s="1"/>
  <c r="B740" i="19"/>
  <c r="F740" i="19" s="1"/>
  <c r="B748" i="19"/>
  <c r="F748" i="19" s="1"/>
  <c r="B756" i="19"/>
  <c r="F756" i="19" s="1"/>
  <c r="B764" i="19"/>
  <c r="F764" i="19" s="1"/>
  <c r="B772" i="19"/>
  <c r="F772" i="19" s="1"/>
  <c r="B780" i="19"/>
  <c r="F780" i="19" s="1"/>
  <c r="B812" i="19"/>
  <c r="F812" i="19" s="1"/>
  <c r="B820" i="19"/>
  <c r="F820" i="19" s="1"/>
  <c r="B828" i="19"/>
  <c r="F828" i="19" s="1"/>
  <c r="B836" i="19"/>
  <c r="F836" i="19" s="1"/>
  <c r="B844" i="19"/>
  <c r="F844" i="19" s="1"/>
  <c r="B852" i="19"/>
  <c r="F852" i="19" s="1"/>
  <c r="B860" i="19"/>
  <c r="F860" i="19" s="1"/>
  <c r="B868" i="19"/>
  <c r="F868" i="19" s="1"/>
  <c r="B876" i="19"/>
  <c r="F876" i="19" s="1"/>
  <c r="B884" i="19"/>
  <c r="F884" i="19" s="1"/>
  <c r="B892" i="19"/>
  <c r="F892" i="19" s="1"/>
  <c r="B900" i="19"/>
  <c r="F900" i="19" s="1"/>
  <c r="B908" i="19"/>
  <c r="F908" i="19" s="1"/>
  <c r="B916" i="19"/>
  <c r="F916" i="19" s="1"/>
  <c r="B924" i="19"/>
  <c r="F924" i="19" s="1"/>
  <c r="B932" i="19"/>
  <c r="F932" i="19" s="1"/>
  <c r="B940" i="19"/>
  <c r="F940" i="19" s="1"/>
  <c r="B948" i="19"/>
  <c r="F948" i="19" s="1"/>
  <c r="B956" i="19"/>
  <c r="F956" i="19" s="1"/>
  <c r="B964" i="19"/>
  <c r="F964" i="19" s="1"/>
  <c r="B972" i="19"/>
  <c r="F972" i="19" s="1"/>
  <c r="B980" i="19"/>
  <c r="F980" i="19" s="1"/>
  <c r="B988" i="19"/>
  <c r="F988" i="19" s="1"/>
  <c r="B996" i="19"/>
  <c r="F996" i="19" s="1"/>
  <c r="B1004" i="19"/>
  <c r="F1004" i="19" s="1"/>
  <c r="B1012" i="19"/>
  <c r="F1012" i="19" s="1"/>
  <c r="B1020" i="19"/>
  <c r="F1020" i="19" s="1"/>
  <c r="B1028" i="19"/>
  <c r="F1028" i="19" s="1"/>
  <c r="B1036" i="19"/>
  <c r="F1036" i="19" s="1"/>
  <c r="B1044" i="19"/>
  <c r="F1044" i="19" s="1"/>
  <c r="B1076" i="19"/>
  <c r="F1076" i="19" s="1"/>
  <c r="B1084" i="19"/>
  <c r="F1084" i="19" s="1"/>
  <c r="B1092" i="19"/>
  <c r="F1092" i="19" s="1"/>
  <c r="B1100" i="19"/>
  <c r="F1100" i="19" s="1"/>
  <c r="B1108" i="19"/>
  <c r="F1108" i="19" s="1"/>
  <c r="B1116" i="19"/>
  <c r="F1116" i="19" s="1"/>
  <c r="B1124" i="19"/>
  <c r="F1124" i="19" s="1"/>
  <c r="B1132" i="19"/>
  <c r="F1132" i="19" s="1"/>
  <c r="B1140" i="19"/>
  <c r="F1140" i="19" s="1"/>
  <c r="B1148" i="19"/>
  <c r="F1148" i="19" s="1"/>
  <c r="B1156" i="19"/>
  <c r="F1156" i="19" s="1"/>
  <c r="B1164" i="19"/>
  <c r="F1164" i="19" s="1"/>
  <c r="B1172" i="19"/>
  <c r="F1172" i="19" s="1"/>
  <c r="B1180" i="19"/>
  <c r="F1180" i="19" s="1"/>
  <c r="B1188" i="19"/>
  <c r="F1188" i="19" s="1"/>
  <c r="B1196" i="19"/>
  <c r="F1196" i="19" s="1"/>
  <c r="B1204" i="19"/>
  <c r="F1204" i="19" s="1"/>
  <c r="B1212" i="19"/>
  <c r="F1212" i="19" s="1"/>
  <c r="B1220" i="19"/>
  <c r="F1220" i="19" s="1"/>
  <c r="B1228" i="19"/>
  <c r="F1228" i="19" s="1"/>
  <c r="B1236" i="19"/>
  <c r="F1236" i="19" s="1"/>
  <c r="B1244" i="19"/>
  <c r="F1244" i="19" s="1"/>
  <c r="B33" i="19"/>
  <c r="F33" i="19" s="1"/>
  <c r="B41" i="19"/>
  <c r="F41" i="19" s="1"/>
  <c r="B49" i="19"/>
  <c r="F49" i="19" s="1"/>
  <c r="B57" i="19"/>
  <c r="F57" i="19" s="1"/>
  <c r="B65" i="19"/>
  <c r="F65" i="19" s="1"/>
  <c r="B73" i="19"/>
  <c r="F73" i="19" s="1"/>
  <c r="B81" i="19"/>
  <c r="F81" i="19" s="1"/>
  <c r="B89" i="19"/>
  <c r="F89" i="19" s="1"/>
  <c r="B97" i="19"/>
  <c r="F97" i="19" s="1"/>
  <c r="B105" i="19"/>
  <c r="F105" i="19" s="1"/>
  <c r="B113" i="19"/>
  <c r="F113" i="19" s="1"/>
  <c r="B121" i="19"/>
  <c r="F121" i="19" s="1"/>
  <c r="B129" i="19"/>
  <c r="F129" i="19" s="1"/>
  <c r="B137" i="19"/>
  <c r="F137" i="19" s="1"/>
  <c r="B145" i="19"/>
  <c r="F145" i="19" s="1"/>
  <c r="B153" i="19"/>
  <c r="F153" i="19" s="1"/>
  <c r="B161" i="19"/>
  <c r="F161" i="19" s="1"/>
  <c r="B169" i="19"/>
  <c r="F169" i="19" s="1"/>
  <c r="B177" i="19"/>
  <c r="F177" i="19" s="1"/>
  <c r="B185" i="19"/>
  <c r="F185" i="19" s="1"/>
  <c r="B193" i="19"/>
  <c r="F193" i="19" s="1"/>
  <c r="B201" i="19"/>
  <c r="F201" i="19" s="1"/>
  <c r="B209" i="19"/>
  <c r="F209" i="19" s="1"/>
  <c r="B217" i="19"/>
  <c r="F217" i="19" s="1"/>
  <c r="B225" i="19"/>
  <c r="F225" i="19" s="1"/>
  <c r="B233" i="19"/>
  <c r="F233" i="19" s="1"/>
  <c r="B241" i="19"/>
  <c r="F241" i="19" s="1"/>
  <c r="B249" i="19"/>
  <c r="F249" i="19" s="1"/>
  <c r="B257" i="19"/>
  <c r="F257" i="19" s="1"/>
  <c r="B289" i="19"/>
  <c r="F289" i="19" s="1"/>
  <c r="B297" i="19"/>
  <c r="F297" i="19" s="1"/>
  <c r="B305" i="19"/>
  <c r="F305" i="19" s="1"/>
  <c r="B313" i="19"/>
  <c r="F313" i="19" s="1"/>
  <c r="B321" i="19"/>
  <c r="F321" i="19" s="1"/>
  <c r="B329" i="19"/>
  <c r="F329" i="19" s="1"/>
  <c r="B337" i="19"/>
  <c r="F337" i="19" s="1"/>
  <c r="B345" i="19"/>
  <c r="F345" i="19" s="1"/>
  <c r="B353" i="19"/>
  <c r="F353" i="19" s="1"/>
  <c r="B361" i="19"/>
  <c r="F361" i="19" s="1"/>
  <c r="B369" i="19"/>
  <c r="F369" i="19" s="1"/>
  <c r="B377" i="19"/>
  <c r="F377" i="19" s="1"/>
  <c r="B385" i="19"/>
  <c r="F385" i="19" s="1"/>
  <c r="B393" i="19"/>
  <c r="F393" i="19" s="1"/>
  <c r="B401" i="19"/>
  <c r="F401" i="19" s="1"/>
  <c r="B409" i="19"/>
  <c r="F409" i="19" s="1"/>
  <c r="B417" i="19"/>
  <c r="F417" i="19" s="1"/>
  <c r="B425" i="19"/>
  <c r="F425" i="19" s="1"/>
  <c r="B433" i="19"/>
  <c r="F433" i="19" s="1"/>
  <c r="B441" i="19"/>
  <c r="F441" i="19" s="1"/>
  <c r="B449" i="19"/>
  <c r="F449" i="19" s="1"/>
  <c r="B457" i="19"/>
  <c r="F457" i="19" s="1"/>
  <c r="B465" i="19"/>
  <c r="F465" i="19" s="1"/>
  <c r="B473" i="19"/>
  <c r="F473" i="19" s="1"/>
  <c r="B481" i="19"/>
  <c r="F481" i="19" s="1"/>
  <c r="B489" i="19"/>
  <c r="F489" i="19" s="1"/>
  <c r="B497" i="19"/>
  <c r="F497" i="19" s="1"/>
  <c r="B505" i="19"/>
  <c r="F505" i="19" s="1"/>
  <c r="B513" i="19"/>
  <c r="F513" i="19" s="1"/>
  <c r="B521" i="19"/>
  <c r="F521" i="19" s="1"/>
  <c r="B553" i="19"/>
  <c r="F553" i="19" s="1"/>
  <c r="B561" i="19"/>
  <c r="F561" i="19" s="1"/>
  <c r="B569" i="19"/>
  <c r="F569" i="19" s="1"/>
  <c r="B577" i="19"/>
  <c r="F577" i="19" s="1"/>
  <c r="B585" i="19"/>
  <c r="F585" i="19" s="1"/>
  <c r="B593" i="19"/>
  <c r="F593" i="19" s="1"/>
  <c r="B601" i="19"/>
  <c r="F601" i="19" s="1"/>
  <c r="B609" i="19"/>
  <c r="F609" i="19" s="1"/>
  <c r="B617" i="19"/>
  <c r="F617" i="19" s="1"/>
  <c r="B625" i="19"/>
  <c r="F625" i="19" s="1"/>
  <c r="B633" i="19"/>
  <c r="F633" i="19" s="1"/>
  <c r="B641" i="19"/>
  <c r="F641" i="19" s="1"/>
  <c r="B649" i="19"/>
  <c r="F649" i="19" s="1"/>
  <c r="B657" i="19"/>
  <c r="F657" i="19" s="1"/>
  <c r="B665" i="19"/>
  <c r="F665" i="19" s="1"/>
  <c r="B673" i="19"/>
  <c r="F673" i="19" s="1"/>
  <c r="B681" i="19"/>
  <c r="F681" i="19" s="1"/>
  <c r="B689" i="19"/>
  <c r="F689" i="19" s="1"/>
  <c r="B697" i="19"/>
  <c r="F697" i="19" s="1"/>
  <c r="B705" i="19"/>
  <c r="F705" i="19" s="1"/>
  <c r="B713" i="19"/>
  <c r="F713" i="19" s="1"/>
  <c r="B721" i="19"/>
  <c r="F721" i="19" s="1"/>
  <c r="B729" i="19"/>
  <c r="F729" i="19" s="1"/>
  <c r="B737" i="19"/>
  <c r="F737" i="19" s="1"/>
  <c r="B745" i="19"/>
  <c r="F745" i="19" s="1"/>
  <c r="B753" i="19"/>
  <c r="F753" i="19" s="1"/>
  <c r="B761" i="19"/>
  <c r="F761" i="19" s="1"/>
  <c r="B769" i="19"/>
  <c r="F769" i="19" s="1"/>
  <c r="B777" i="19"/>
  <c r="F777" i="19" s="1"/>
  <c r="B785" i="19"/>
  <c r="F785" i="19" s="1"/>
  <c r="B809" i="19"/>
  <c r="F809" i="19" s="1"/>
  <c r="B817" i="19"/>
  <c r="F817" i="19" s="1"/>
  <c r="B825" i="19"/>
  <c r="F825" i="19" s="1"/>
  <c r="B833" i="19"/>
  <c r="F833" i="19" s="1"/>
  <c r="B841" i="19"/>
  <c r="F841" i="19" s="1"/>
  <c r="B849" i="19"/>
  <c r="F849" i="19" s="1"/>
  <c r="B857" i="19"/>
  <c r="F857" i="19" s="1"/>
  <c r="B865" i="19"/>
  <c r="F865" i="19" s="1"/>
  <c r="B873" i="19"/>
  <c r="F873" i="19" s="1"/>
  <c r="B881" i="19"/>
  <c r="F881" i="19" s="1"/>
  <c r="B889" i="19"/>
  <c r="F889" i="19" s="1"/>
  <c r="B897" i="19"/>
  <c r="F897" i="19" s="1"/>
  <c r="B905" i="19"/>
  <c r="F905" i="19" s="1"/>
  <c r="B913" i="19"/>
  <c r="F913" i="19" s="1"/>
  <c r="B921" i="19"/>
  <c r="F921" i="19" s="1"/>
  <c r="B929" i="19"/>
  <c r="F929" i="19" s="1"/>
  <c r="B937" i="19"/>
  <c r="F937" i="19" s="1"/>
  <c r="B945" i="19"/>
  <c r="F945" i="19" s="1"/>
  <c r="B953" i="19"/>
  <c r="F953" i="19" s="1"/>
  <c r="B961" i="19"/>
  <c r="F961" i="19" s="1"/>
  <c r="B969" i="19"/>
  <c r="F969" i="19" s="1"/>
  <c r="B977" i="19"/>
  <c r="F977" i="19" s="1"/>
  <c r="B985" i="19"/>
  <c r="F985" i="19" s="1"/>
  <c r="B993" i="19"/>
  <c r="F993" i="19" s="1"/>
  <c r="B1001" i="19"/>
  <c r="F1001" i="19" s="1"/>
  <c r="B1009" i="19"/>
  <c r="F1009" i="19" s="1"/>
  <c r="B1017" i="19"/>
  <c r="F1017" i="19" s="1"/>
  <c r="B1025" i="19"/>
  <c r="F1025" i="19" s="1"/>
  <c r="B1033" i="19"/>
  <c r="F1033" i="19" s="1"/>
  <c r="B1041" i="19"/>
  <c r="F1041" i="19" s="1"/>
  <c r="B1073" i="19"/>
  <c r="F1073" i="19" s="1"/>
  <c r="B1081" i="19"/>
  <c r="F1081" i="19" s="1"/>
  <c r="B1089" i="19"/>
  <c r="F1089" i="19" s="1"/>
  <c r="B1097" i="19"/>
  <c r="F1097" i="19" s="1"/>
  <c r="B1105" i="19"/>
  <c r="F1105" i="19" s="1"/>
  <c r="B1113" i="19"/>
  <c r="F1113" i="19" s="1"/>
  <c r="B1121" i="19"/>
  <c r="F1121" i="19" s="1"/>
  <c r="B1129" i="19"/>
  <c r="F1129" i="19" s="1"/>
  <c r="B29" i="19"/>
  <c r="F29" i="19" s="1"/>
  <c r="B37" i="19"/>
  <c r="F37" i="19" s="1"/>
  <c r="B45" i="19"/>
  <c r="F45" i="19" s="1"/>
  <c r="B53" i="19"/>
  <c r="F53" i="19" s="1"/>
  <c r="B61" i="19"/>
  <c r="F61" i="19" s="1"/>
  <c r="B69" i="19"/>
  <c r="F69" i="19" s="1"/>
  <c r="B30" i="19"/>
  <c r="F30" i="19" s="1"/>
  <c r="B38" i="19"/>
  <c r="F38" i="19" s="1"/>
  <c r="B46" i="19"/>
  <c r="F46" i="19" s="1"/>
  <c r="B54" i="19"/>
  <c r="F54" i="19" s="1"/>
  <c r="B62" i="19"/>
  <c r="F62" i="19" s="1"/>
  <c r="B70" i="19"/>
  <c r="F70" i="19" s="1"/>
  <c r="B78" i="19"/>
  <c r="F78" i="19" s="1"/>
  <c r="B86" i="19"/>
  <c r="F86" i="19" s="1"/>
  <c r="B94" i="19"/>
  <c r="F94" i="19" s="1"/>
  <c r="B102" i="19"/>
  <c r="F102" i="19" s="1"/>
  <c r="B110" i="19"/>
  <c r="F110" i="19" s="1"/>
  <c r="B118" i="19"/>
  <c r="F118" i="19" s="1"/>
  <c r="B126" i="19"/>
  <c r="F126" i="19" s="1"/>
  <c r="B134" i="19"/>
  <c r="F134" i="19" s="1"/>
  <c r="B142" i="19"/>
  <c r="F142" i="19" s="1"/>
  <c r="B150" i="19"/>
  <c r="F150" i="19" s="1"/>
  <c r="B158" i="19"/>
  <c r="F158" i="19" s="1"/>
  <c r="B32" i="19"/>
  <c r="F32" i="19" s="1"/>
  <c r="B40" i="19"/>
  <c r="F40" i="19" s="1"/>
  <c r="B48" i="19"/>
  <c r="F48" i="19" s="1"/>
  <c r="B56" i="19"/>
  <c r="F56" i="19" s="1"/>
  <c r="B64" i="19"/>
  <c r="F64" i="19" s="1"/>
  <c r="B72" i="19"/>
  <c r="F72" i="19" s="1"/>
  <c r="B80" i="19"/>
  <c r="F80" i="19" s="1"/>
  <c r="B88" i="19"/>
  <c r="F88" i="19" s="1"/>
  <c r="B96" i="19"/>
  <c r="F96" i="19" s="1"/>
  <c r="B104" i="19"/>
  <c r="F104" i="19" s="1"/>
  <c r="B112" i="19"/>
  <c r="F112" i="19" s="1"/>
  <c r="B120" i="19"/>
  <c r="F120" i="19" s="1"/>
  <c r="B128" i="19"/>
  <c r="F128" i="19" s="1"/>
  <c r="B136" i="19"/>
  <c r="F136" i="19" s="1"/>
  <c r="B144" i="19"/>
  <c r="F144" i="19" s="1"/>
  <c r="B152" i="19"/>
  <c r="F152" i="19" s="1"/>
  <c r="B160" i="19"/>
  <c r="F160" i="19" s="1"/>
  <c r="B168" i="19"/>
  <c r="F168" i="19" s="1"/>
  <c r="B176" i="19"/>
  <c r="F176" i="19" s="1"/>
  <c r="B184" i="19"/>
  <c r="F184" i="19" s="1"/>
  <c r="B192" i="19"/>
  <c r="F192" i="19" s="1"/>
  <c r="B200" i="19"/>
  <c r="F200" i="19" s="1"/>
  <c r="B208" i="19"/>
  <c r="F208" i="19" s="1"/>
  <c r="B216" i="19"/>
  <c r="F216" i="19" s="1"/>
  <c r="B224" i="19"/>
  <c r="F224" i="19" s="1"/>
  <c r="B232" i="19"/>
  <c r="F232" i="19" s="1"/>
  <c r="B240" i="19"/>
  <c r="F240" i="19" s="1"/>
  <c r="B248" i="19"/>
  <c r="F248" i="19" s="1"/>
  <c r="B256" i="19"/>
  <c r="F256" i="19" s="1"/>
  <c r="B288" i="19"/>
  <c r="F288" i="19" s="1"/>
  <c r="B296" i="19"/>
  <c r="F296" i="19" s="1"/>
  <c r="B304" i="19"/>
  <c r="F304" i="19" s="1"/>
  <c r="B312" i="19"/>
  <c r="F312" i="19" s="1"/>
  <c r="B320" i="19"/>
  <c r="F320" i="19" s="1"/>
  <c r="B328" i="19"/>
  <c r="F328" i="19" s="1"/>
  <c r="B336" i="19"/>
  <c r="F336" i="19" s="1"/>
  <c r="B344" i="19"/>
  <c r="F344" i="19" s="1"/>
  <c r="B352" i="19"/>
  <c r="F352" i="19" s="1"/>
  <c r="B360" i="19"/>
  <c r="F360" i="19" s="1"/>
  <c r="B368" i="19"/>
  <c r="F368" i="19" s="1"/>
  <c r="B376" i="19"/>
  <c r="F376" i="19" s="1"/>
  <c r="B384" i="19"/>
  <c r="F384" i="19" s="1"/>
  <c r="B27" i="19"/>
  <c r="F27" i="19" s="1"/>
  <c r="B35" i="19"/>
  <c r="F35" i="19" s="1"/>
  <c r="B43" i="19"/>
  <c r="F43" i="19" s="1"/>
  <c r="B51" i="19"/>
  <c r="F51" i="19" s="1"/>
  <c r="B59" i="19"/>
  <c r="F59" i="19" s="1"/>
  <c r="B67" i="19"/>
  <c r="F67" i="19" s="1"/>
  <c r="B75" i="19"/>
  <c r="F75" i="19" s="1"/>
  <c r="B83" i="19"/>
  <c r="F83" i="19" s="1"/>
  <c r="B91" i="19"/>
  <c r="F91" i="19" s="1"/>
  <c r="B99" i="19"/>
  <c r="F99" i="19" s="1"/>
  <c r="B107" i="19"/>
  <c r="F107" i="19" s="1"/>
  <c r="B115" i="19"/>
  <c r="F115" i="19" s="1"/>
  <c r="B123" i="19"/>
  <c r="F123" i="19" s="1"/>
  <c r="B131" i="19"/>
  <c r="F131" i="19" s="1"/>
  <c r="B139" i="19"/>
  <c r="F139" i="19" s="1"/>
  <c r="B147" i="19"/>
  <c r="F147" i="19" s="1"/>
  <c r="B392" i="19"/>
  <c r="F392" i="19" s="1"/>
  <c r="B400" i="19"/>
  <c r="F400" i="19" s="1"/>
  <c r="B408" i="19"/>
  <c r="F408" i="19" s="1"/>
  <c r="B416" i="19"/>
  <c r="F416" i="19" s="1"/>
  <c r="B424" i="19"/>
  <c r="F424" i="19" s="1"/>
  <c r="B432" i="19"/>
  <c r="F432" i="19" s="1"/>
  <c r="B440" i="19"/>
  <c r="F440" i="19" s="1"/>
  <c r="B448" i="19"/>
  <c r="F448" i="19" s="1"/>
  <c r="B456" i="19"/>
  <c r="F456" i="19" s="1"/>
  <c r="B464" i="19"/>
  <c r="F464" i="19" s="1"/>
  <c r="B472" i="19"/>
  <c r="F472" i="19" s="1"/>
  <c r="B480" i="19"/>
  <c r="F480" i="19" s="1"/>
  <c r="B488" i="19"/>
  <c r="F488" i="19" s="1"/>
  <c r="B496" i="19"/>
  <c r="F496" i="19" s="1"/>
  <c r="B504" i="19"/>
  <c r="F504" i="19" s="1"/>
  <c r="B512" i="19"/>
  <c r="F512" i="19" s="1"/>
  <c r="B520" i="19"/>
  <c r="F520" i="19" s="1"/>
  <c r="B552" i="19"/>
  <c r="F552" i="19" s="1"/>
  <c r="B560" i="19"/>
  <c r="F560" i="19" s="1"/>
  <c r="B1137" i="19"/>
  <c r="F1137" i="19" s="1"/>
  <c r="B1145" i="19"/>
  <c r="F1145" i="19" s="1"/>
  <c r="B1153" i="19"/>
  <c r="F1153" i="19" s="1"/>
  <c r="B1161" i="19"/>
  <c r="F1161" i="19" s="1"/>
  <c r="B1169" i="19"/>
  <c r="F1169" i="19" s="1"/>
  <c r="B1177" i="19"/>
  <c r="F1177" i="19" s="1"/>
  <c r="B1185" i="19"/>
  <c r="F1185" i="19" s="1"/>
  <c r="B1193" i="19"/>
  <c r="F1193" i="19" s="1"/>
  <c r="B1201" i="19"/>
  <c r="F1201" i="19" s="1"/>
  <c r="B1209" i="19"/>
  <c r="F1209" i="19" s="1"/>
  <c r="B1217" i="19"/>
  <c r="F1217" i="19" s="1"/>
  <c r="B1225" i="19"/>
  <c r="F1225" i="19" s="1"/>
  <c r="B1233" i="19"/>
  <c r="F1233" i="19" s="1"/>
  <c r="B1241" i="19"/>
  <c r="F1241" i="19" s="1"/>
  <c r="B1249" i="19"/>
  <c r="F1249" i="19" s="1"/>
  <c r="B1257" i="19"/>
  <c r="F1257" i="19" s="1"/>
  <c r="B1265" i="19"/>
  <c r="F1265" i="19" s="1"/>
  <c r="B1273" i="19"/>
  <c r="F1273" i="19" s="1"/>
  <c r="B1281" i="19"/>
  <c r="F1281" i="19" s="1"/>
  <c r="B1289" i="19"/>
  <c r="F1289" i="19" s="1"/>
  <c r="B1297" i="19"/>
  <c r="F1297" i="19" s="1"/>
  <c r="B1305" i="19"/>
  <c r="F1305" i="19" s="1"/>
  <c r="B1337" i="19"/>
  <c r="F1337" i="19" s="1"/>
  <c r="B568" i="19"/>
  <c r="F568" i="19" s="1"/>
  <c r="B576" i="19"/>
  <c r="F576" i="19" s="1"/>
  <c r="B584" i="19"/>
  <c r="F584" i="19" s="1"/>
  <c r="B592" i="19"/>
  <c r="F592" i="19" s="1"/>
  <c r="B600" i="19"/>
  <c r="F600" i="19" s="1"/>
  <c r="B608" i="19"/>
  <c r="F608" i="19" s="1"/>
  <c r="B616" i="19"/>
  <c r="F616" i="19" s="1"/>
  <c r="B624" i="19"/>
  <c r="F624" i="19" s="1"/>
  <c r="B632" i="19"/>
  <c r="F632" i="19" s="1"/>
  <c r="B640" i="19"/>
  <c r="F640" i="19" s="1"/>
  <c r="B648" i="19"/>
  <c r="F648" i="19" s="1"/>
  <c r="B656" i="19"/>
  <c r="F656" i="19" s="1"/>
  <c r="B664" i="19"/>
  <c r="F664" i="19" s="1"/>
  <c r="B672" i="19"/>
  <c r="F672" i="19" s="1"/>
  <c r="B680" i="19"/>
  <c r="F680" i="19" s="1"/>
  <c r="B688" i="19"/>
  <c r="F688" i="19" s="1"/>
  <c r="B696" i="19"/>
  <c r="F696" i="19" s="1"/>
  <c r="B704" i="19"/>
  <c r="F704" i="19" s="1"/>
  <c r="B712" i="19"/>
  <c r="F712" i="19" s="1"/>
  <c r="B720" i="19"/>
  <c r="F720" i="19" s="1"/>
  <c r="B728" i="19"/>
  <c r="F728" i="19" s="1"/>
  <c r="B736" i="19"/>
  <c r="F736" i="19" s="1"/>
  <c r="B744" i="19"/>
  <c r="F744" i="19" s="1"/>
  <c r="B752" i="19"/>
  <c r="F752" i="19" s="1"/>
  <c r="B760" i="19"/>
  <c r="F760" i="19" s="1"/>
  <c r="B768" i="19"/>
  <c r="F768" i="19" s="1"/>
  <c r="B776" i="19"/>
  <c r="F776" i="19" s="1"/>
  <c r="B784" i="19"/>
  <c r="F784" i="19" s="1"/>
  <c r="B808" i="19"/>
  <c r="F808" i="19" s="1"/>
  <c r="B816" i="19"/>
  <c r="F816" i="19" s="1"/>
  <c r="B824" i="19"/>
  <c r="F824" i="19" s="1"/>
  <c r="B832" i="19"/>
  <c r="F832" i="19" s="1"/>
  <c r="B840" i="19"/>
  <c r="F840" i="19" s="1"/>
  <c r="B848" i="19"/>
  <c r="F848" i="19" s="1"/>
  <c r="B856" i="19"/>
  <c r="F856" i="19" s="1"/>
  <c r="B864" i="19"/>
  <c r="F864" i="19" s="1"/>
  <c r="B872" i="19"/>
  <c r="F872" i="19" s="1"/>
  <c r="B880" i="19"/>
  <c r="F880" i="19" s="1"/>
  <c r="B888" i="19"/>
  <c r="F888" i="19" s="1"/>
  <c r="B896" i="19"/>
  <c r="F896" i="19" s="1"/>
  <c r="B904" i="19"/>
  <c r="F904" i="19" s="1"/>
  <c r="B912" i="19"/>
  <c r="F912" i="19" s="1"/>
  <c r="B920" i="19"/>
  <c r="F920" i="19" s="1"/>
  <c r="B928" i="19"/>
  <c r="F928" i="19" s="1"/>
  <c r="B936" i="19"/>
  <c r="F936" i="19" s="1"/>
  <c r="B944" i="19"/>
  <c r="F944" i="19" s="1"/>
  <c r="B952" i="19"/>
  <c r="F952" i="19" s="1"/>
  <c r="B960" i="19"/>
  <c r="F960" i="19" s="1"/>
  <c r="B968" i="19"/>
  <c r="F968" i="19" s="1"/>
  <c r="B976" i="19"/>
  <c r="F976" i="19" s="1"/>
  <c r="B984" i="19"/>
  <c r="F984" i="19" s="1"/>
  <c r="B992" i="19"/>
  <c r="F992" i="19" s="1"/>
  <c r="B1000" i="19"/>
  <c r="F1000" i="19" s="1"/>
  <c r="B1008" i="19"/>
  <c r="F1008" i="19" s="1"/>
  <c r="B1016" i="19"/>
  <c r="F1016" i="19" s="1"/>
  <c r="B1024" i="19"/>
  <c r="F1024" i="19" s="1"/>
  <c r="B1032" i="19"/>
  <c r="F1032" i="19" s="1"/>
  <c r="B1040" i="19"/>
  <c r="F1040" i="19" s="1"/>
  <c r="B1072" i="19"/>
  <c r="F1072" i="19" s="1"/>
  <c r="B1080" i="19"/>
  <c r="F1080" i="19" s="1"/>
  <c r="B1088" i="19"/>
  <c r="F1088" i="19" s="1"/>
  <c r="B1096" i="19"/>
  <c r="F1096" i="19" s="1"/>
  <c r="B1104" i="19"/>
  <c r="F1104" i="19" s="1"/>
  <c r="B1112" i="19"/>
  <c r="F1112" i="19" s="1"/>
  <c r="B1120" i="19"/>
  <c r="F1120" i="19" s="1"/>
  <c r="B1128" i="19"/>
  <c r="F1128" i="19" s="1"/>
  <c r="B1136" i="19"/>
  <c r="F1136" i="19" s="1"/>
  <c r="B1144" i="19"/>
  <c r="F1144" i="19" s="1"/>
  <c r="B1152" i="19"/>
  <c r="F1152" i="19" s="1"/>
  <c r="B1160" i="19"/>
  <c r="F1160" i="19" s="1"/>
  <c r="B1168" i="19"/>
  <c r="F1168" i="19" s="1"/>
  <c r="B1176" i="19"/>
  <c r="F1176" i="19" s="1"/>
  <c r="B1184" i="19"/>
  <c r="F1184" i="19" s="1"/>
  <c r="B1192" i="19"/>
  <c r="F1192" i="19" s="1"/>
  <c r="B1200" i="19"/>
  <c r="F1200" i="19" s="1"/>
  <c r="B1208" i="19"/>
  <c r="F1208" i="19" s="1"/>
  <c r="B1216" i="19"/>
  <c r="F1216" i="19" s="1"/>
  <c r="B1224" i="19"/>
  <c r="F1224" i="19" s="1"/>
  <c r="B1232" i="19"/>
  <c r="F1232" i="19" s="1"/>
  <c r="B1240" i="19"/>
  <c r="F1240" i="19" s="1"/>
  <c r="B1248" i="19"/>
  <c r="F1248" i="19" s="1"/>
  <c r="B1256" i="19"/>
  <c r="F1256" i="19" s="1"/>
  <c r="B1264" i="19"/>
  <c r="F1264" i="19" s="1"/>
  <c r="B1272" i="19"/>
  <c r="F1272" i="19" s="1"/>
  <c r="B1280" i="19"/>
  <c r="F1280" i="19" s="1"/>
  <c r="B1288" i="19"/>
  <c r="F1288" i="19" s="1"/>
  <c r="B1296" i="19"/>
  <c r="F1296" i="19" s="1"/>
  <c r="B1304" i="19"/>
  <c r="F1304" i="19" s="1"/>
  <c r="B1336" i="19"/>
  <c r="F1336" i="19" s="1"/>
  <c r="B1344" i="19"/>
  <c r="F1344" i="19" s="1"/>
  <c r="B1352" i="19"/>
  <c r="F1352" i="19" s="1"/>
  <c r="B1360" i="19"/>
  <c r="F1360" i="19" s="1"/>
  <c r="B1368" i="19"/>
  <c r="F1368" i="19" s="1"/>
  <c r="B1376" i="19"/>
  <c r="F1376" i="19" s="1"/>
  <c r="B1384" i="19"/>
  <c r="F1384" i="19" s="1"/>
  <c r="B1392" i="19"/>
  <c r="F1392" i="19" s="1"/>
  <c r="B1400" i="19"/>
  <c r="F1400" i="19" s="1"/>
  <c r="B1408" i="19"/>
  <c r="F1408" i="19" s="1"/>
  <c r="B1416" i="19"/>
  <c r="F1416" i="19" s="1"/>
  <c r="B1424" i="19"/>
  <c r="F1424" i="19" s="1"/>
  <c r="B1432" i="19"/>
  <c r="F1432" i="19" s="1"/>
  <c r="B1345" i="19"/>
  <c r="F1345" i="19" s="1"/>
  <c r="B1353" i="19"/>
  <c r="F1353" i="19" s="1"/>
  <c r="B1361" i="19"/>
  <c r="F1361" i="19" s="1"/>
  <c r="B1369" i="19"/>
  <c r="F1369" i="19" s="1"/>
  <c r="B1377" i="19"/>
  <c r="F1377" i="19" s="1"/>
  <c r="B1385" i="19"/>
  <c r="F1385" i="19" s="1"/>
  <c r="B1393" i="19"/>
  <c r="F1393" i="19" s="1"/>
  <c r="B1401" i="19"/>
  <c r="F1401" i="19" s="1"/>
  <c r="B1409" i="19"/>
  <c r="F1409" i="19" s="1"/>
  <c r="B1417" i="19"/>
  <c r="F1417" i="19" s="1"/>
  <c r="B1425" i="19"/>
  <c r="F1425" i="19" s="1"/>
  <c r="B1433" i="19"/>
  <c r="F1433" i="19" s="1"/>
  <c r="B1441" i="19"/>
  <c r="F1441" i="19" s="1"/>
  <c r="B1449" i="19"/>
  <c r="F1449" i="19" s="1"/>
  <c r="B1457" i="19"/>
  <c r="F1457" i="19" s="1"/>
  <c r="B1465" i="19"/>
  <c r="F1465" i="19" s="1"/>
  <c r="B1473" i="19"/>
  <c r="F1473" i="19" s="1"/>
  <c r="B1481" i="19"/>
  <c r="F1481" i="19" s="1"/>
  <c r="B1489" i="19"/>
  <c r="F1489" i="19" s="1"/>
  <c r="B1497" i="19"/>
  <c r="F1497" i="19" s="1"/>
  <c r="B1505" i="19"/>
  <c r="F1505" i="19" s="1"/>
  <c r="B1513" i="19"/>
  <c r="F1513" i="19" s="1"/>
  <c r="B1521" i="19"/>
  <c r="F1521" i="19" s="1"/>
  <c r="B1529" i="19"/>
  <c r="F1529" i="19" s="1"/>
  <c r="B1537" i="19"/>
  <c r="F1537" i="19" s="1"/>
  <c r="B1545" i="19"/>
  <c r="F1545" i="19" s="1"/>
  <c r="B1553" i="19"/>
  <c r="F1553" i="19" s="1"/>
  <c r="B1561" i="19"/>
  <c r="F1561" i="19" s="1"/>
  <c r="B1593" i="19"/>
  <c r="F1593" i="19" s="1"/>
  <c r="B1601" i="19"/>
  <c r="F1601" i="19" s="1"/>
  <c r="B1609" i="19"/>
  <c r="F1609" i="19" s="1"/>
  <c r="B1617" i="19"/>
  <c r="F1617" i="19" s="1"/>
  <c r="B1625" i="19"/>
  <c r="F1625" i="19" s="1"/>
  <c r="B1633" i="19"/>
  <c r="F1633" i="19" s="1"/>
  <c r="B1641" i="19"/>
  <c r="F1641" i="19" s="1"/>
  <c r="B1649" i="19"/>
  <c r="F1649" i="19" s="1"/>
  <c r="B1657" i="19"/>
  <c r="F1657" i="19" s="1"/>
  <c r="B1665" i="19"/>
  <c r="F1665" i="19" s="1"/>
  <c r="B1673" i="19"/>
  <c r="F1673" i="19" s="1"/>
  <c r="B1681" i="19"/>
  <c r="F1681" i="19" s="1"/>
  <c r="B1689" i="19"/>
  <c r="F1689" i="19" s="1"/>
  <c r="B1697" i="19"/>
  <c r="F1697" i="19" s="1"/>
  <c r="B1705" i="19"/>
  <c r="F1705" i="19" s="1"/>
  <c r="B1713" i="19"/>
  <c r="F1713" i="19" s="1"/>
  <c r="B1721" i="19"/>
  <c r="F1721" i="19" s="1"/>
  <c r="B1729" i="19"/>
  <c r="F1729" i="19" s="1"/>
  <c r="B1737" i="19"/>
  <c r="F1737" i="19" s="1"/>
  <c r="B1745" i="19"/>
  <c r="F1745" i="19" s="1"/>
  <c r="B1753" i="19"/>
  <c r="F1753" i="19" s="1"/>
  <c r="B1761" i="19"/>
  <c r="F1761" i="19" s="1"/>
  <c r="B1769" i="19"/>
  <c r="F1769" i="19" s="1"/>
  <c r="B1777" i="19"/>
  <c r="F1777" i="19" s="1"/>
  <c r="B1785" i="19"/>
  <c r="F1785" i="19" s="1"/>
  <c r="B1793" i="19"/>
  <c r="F1793" i="19" s="1"/>
  <c r="B1801" i="19"/>
  <c r="F1801" i="19" s="1"/>
  <c r="B1809" i="19"/>
  <c r="F1809" i="19" s="1"/>
  <c r="B1817" i="19"/>
  <c r="F1817" i="19" s="1"/>
  <c r="B1825" i="19"/>
  <c r="F1825" i="19" s="1"/>
  <c r="B1857" i="19"/>
  <c r="F1857" i="19" s="1"/>
  <c r="B1865" i="19"/>
  <c r="F1865" i="19" s="1"/>
  <c r="B1873" i="19"/>
  <c r="F1873" i="19" s="1"/>
  <c r="B1881" i="19"/>
  <c r="F1881" i="19" s="1"/>
  <c r="B1889" i="19"/>
  <c r="F1889" i="19" s="1"/>
  <c r="B1897" i="19"/>
  <c r="F1897" i="19" s="1"/>
  <c r="B1905" i="19"/>
  <c r="F1905" i="19" s="1"/>
  <c r="B1913" i="19"/>
  <c r="F1913" i="19" s="1"/>
  <c r="B1921" i="19"/>
  <c r="F1921" i="19" s="1"/>
  <c r="B1929" i="19"/>
  <c r="F1929" i="19" s="1"/>
  <c r="B1937" i="19"/>
  <c r="F1937" i="19" s="1"/>
  <c r="B1945" i="19"/>
  <c r="F1945" i="19" s="1"/>
  <c r="B1953" i="19"/>
  <c r="F1953" i="19" s="1"/>
  <c r="B1961" i="19"/>
  <c r="F1961" i="19" s="1"/>
  <c r="B1969" i="19"/>
  <c r="F1969" i="19" s="1"/>
  <c r="B1977" i="19"/>
  <c r="F1977" i="19" s="1"/>
  <c r="B1985" i="19"/>
  <c r="F1985" i="19" s="1"/>
  <c r="B1993" i="19"/>
  <c r="F1993" i="19" s="1"/>
  <c r="B2001" i="19"/>
  <c r="F2001" i="19" s="1"/>
  <c r="B2009" i="19"/>
  <c r="F2009" i="19" s="1"/>
  <c r="B2017" i="19"/>
  <c r="F2017" i="19" s="1"/>
  <c r="B2025" i="19"/>
  <c r="F2025" i="19" s="1"/>
  <c r="B2033" i="19"/>
  <c r="F2033" i="19" s="1"/>
  <c r="B2041" i="19"/>
  <c r="F2041" i="19" s="1"/>
  <c r="B155" i="19"/>
  <c r="F155" i="19" s="1"/>
  <c r="B163" i="19"/>
  <c r="F163" i="19" s="1"/>
  <c r="B171" i="19"/>
  <c r="F171" i="19" s="1"/>
  <c r="B179" i="19"/>
  <c r="F179" i="19" s="1"/>
  <c r="B187" i="19"/>
  <c r="F187" i="19" s="1"/>
  <c r="B195" i="19"/>
  <c r="F195" i="19" s="1"/>
  <c r="B203" i="19"/>
  <c r="F203" i="19" s="1"/>
  <c r="B211" i="19"/>
  <c r="F211" i="19" s="1"/>
  <c r="B219" i="19"/>
  <c r="F219" i="19" s="1"/>
  <c r="B227" i="19"/>
  <c r="F227" i="19" s="1"/>
  <c r="B235" i="19"/>
  <c r="F235" i="19" s="1"/>
  <c r="B243" i="19"/>
  <c r="F243" i="19" s="1"/>
  <c r="B251" i="19"/>
  <c r="F251" i="19" s="1"/>
  <c r="B259" i="19"/>
  <c r="F259" i="19" s="1"/>
  <c r="B291" i="19"/>
  <c r="F291" i="19" s="1"/>
  <c r="B299" i="19"/>
  <c r="F299" i="19" s="1"/>
  <c r="B307" i="19"/>
  <c r="F307" i="19" s="1"/>
  <c r="B315" i="19"/>
  <c r="F315" i="19" s="1"/>
  <c r="B323" i="19"/>
  <c r="F323" i="19" s="1"/>
  <c r="B331" i="19"/>
  <c r="F331" i="19" s="1"/>
  <c r="B339" i="19"/>
  <c r="F339" i="19" s="1"/>
  <c r="B347" i="19"/>
  <c r="F347" i="19" s="1"/>
  <c r="B355" i="19"/>
  <c r="F355" i="19" s="1"/>
  <c r="B363" i="19"/>
  <c r="F363" i="19" s="1"/>
  <c r="B371" i="19"/>
  <c r="F371" i="19" s="1"/>
  <c r="B379" i="19"/>
  <c r="F379" i="19" s="1"/>
  <c r="B387" i="19"/>
  <c r="F387" i="19" s="1"/>
  <c r="B395" i="19"/>
  <c r="F395" i="19" s="1"/>
  <c r="B403" i="19"/>
  <c r="F403" i="19" s="1"/>
  <c r="B411" i="19"/>
  <c r="F411" i="19" s="1"/>
  <c r="B419" i="19"/>
  <c r="F419" i="19" s="1"/>
  <c r="B427" i="19"/>
  <c r="F427" i="19" s="1"/>
  <c r="B435" i="19"/>
  <c r="F435" i="19" s="1"/>
  <c r="B443" i="19"/>
  <c r="F443" i="19" s="1"/>
  <c r="B451" i="19"/>
  <c r="F451" i="19" s="1"/>
  <c r="B459" i="19"/>
  <c r="F459" i="19" s="1"/>
  <c r="B467" i="19"/>
  <c r="F467" i="19" s="1"/>
  <c r="B475" i="19"/>
  <c r="F475" i="19" s="1"/>
  <c r="B483" i="19"/>
  <c r="F483" i="19" s="1"/>
  <c r="B491" i="19"/>
  <c r="F491" i="19" s="1"/>
  <c r="B499" i="19"/>
  <c r="F499" i="19" s="1"/>
  <c r="B507" i="19"/>
  <c r="F507" i="19" s="1"/>
  <c r="B515" i="19"/>
  <c r="F515" i="19" s="1"/>
  <c r="B523" i="19"/>
  <c r="F523" i="19" s="1"/>
  <c r="B547" i="19"/>
  <c r="F547" i="19" s="1"/>
  <c r="B555" i="19"/>
  <c r="F555" i="19" s="1"/>
  <c r="B563" i="19"/>
  <c r="F563" i="19" s="1"/>
  <c r="B571" i="19"/>
  <c r="F571" i="19" s="1"/>
  <c r="B579" i="19"/>
  <c r="F579" i="19" s="1"/>
  <c r="B587" i="19"/>
  <c r="F587" i="19" s="1"/>
  <c r="B595" i="19"/>
  <c r="F595" i="19" s="1"/>
  <c r="B603" i="19"/>
  <c r="F603" i="19" s="1"/>
  <c r="B611" i="19"/>
  <c r="F611" i="19" s="1"/>
  <c r="B619" i="19"/>
  <c r="F619" i="19" s="1"/>
  <c r="B627" i="19"/>
  <c r="F627" i="19" s="1"/>
  <c r="B635" i="19"/>
  <c r="F635" i="19" s="1"/>
  <c r="B643" i="19"/>
  <c r="F643" i="19" s="1"/>
  <c r="B651" i="19"/>
  <c r="F651" i="19" s="1"/>
  <c r="B659" i="19"/>
  <c r="F659" i="19" s="1"/>
  <c r="B667" i="19"/>
  <c r="F667" i="19" s="1"/>
  <c r="B675" i="19"/>
  <c r="F675" i="19" s="1"/>
  <c r="B683" i="19"/>
  <c r="F683" i="19" s="1"/>
  <c r="B691" i="19"/>
  <c r="F691" i="19" s="1"/>
  <c r="B699" i="19"/>
  <c r="F699" i="19" s="1"/>
  <c r="B707" i="19"/>
  <c r="F707" i="19" s="1"/>
  <c r="B715" i="19"/>
  <c r="F715" i="19" s="1"/>
  <c r="B723" i="19"/>
  <c r="F723" i="19" s="1"/>
  <c r="B731" i="19"/>
  <c r="F731" i="19" s="1"/>
  <c r="B739" i="19"/>
  <c r="F739" i="19" s="1"/>
  <c r="B747" i="19"/>
  <c r="F747" i="19" s="1"/>
  <c r="B755" i="19"/>
  <c r="F755" i="19" s="1"/>
  <c r="B763" i="19"/>
  <c r="F763" i="19" s="1"/>
  <c r="B771" i="19"/>
  <c r="F771" i="19" s="1"/>
  <c r="B779" i="19"/>
  <c r="F779" i="19" s="1"/>
  <c r="B811" i="19"/>
  <c r="F811" i="19" s="1"/>
  <c r="B819" i="19"/>
  <c r="F819" i="19" s="1"/>
  <c r="B827" i="19"/>
  <c r="F827" i="19" s="1"/>
  <c r="B835" i="19"/>
  <c r="F835" i="19" s="1"/>
  <c r="B843" i="19"/>
  <c r="F843" i="19" s="1"/>
  <c r="B851" i="19"/>
  <c r="F851" i="19" s="1"/>
  <c r="B859" i="19"/>
  <c r="F859" i="19" s="1"/>
  <c r="B867" i="19"/>
  <c r="F867" i="19" s="1"/>
  <c r="B875" i="19"/>
  <c r="F875" i="19" s="1"/>
  <c r="B883" i="19"/>
  <c r="F883" i="19" s="1"/>
  <c r="B891" i="19"/>
  <c r="F891" i="19" s="1"/>
  <c r="B899" i="19"/>
  <c r="F899" i="19" s="1"/>
  <c r="B907" i="19"/>
  <c r="F907" i="19" s="1"/>
  <c r="B915" i="19"/>
  <c r="F915" i="19" s="1"/>
  <c r="B923" i="19"/>
  <c r="F923" i="19" s="1"/>
  <c r="B931" i="19"/>
  <c r="F931" i="19" s="1"/>
  <c r="B939" i="19"/>
  <c r="F939" i="19" s="1"/>
  <c r="B947" i="19"/>
  <c r="F947" i="19" s="1"/>
  <c r="B955" i="19"/>
  <c r="F955" i="19" s="1"/>
  <c r="B963" i="19"/>
  <c r="F963" i="19" s="1"/>
  <c r="B971" i="19"/>
  <c r="F971" i="19" s="1"/>
  <c r="B979" i="19"/>
  <c r="F979" i="19" s="1"/>
  <c r="B987" i="19"/>
  <c r="F987" i="19" s="1"/>
  <c r="B995" i="19"/>
  <c r="F995" i="19" s="1"/>
  <c r="B1003" i="19"/>
  <c r="F1003" i="19" s="1"/>
  <c r="B1011" i="19"/>
  <c r="F1011" i="19" s="1"/>
  <c r="B1019" i="19"/>
  <c r="F1019" i="19" s="1"/>
  <c r="B1027" i="19"/>
  <c r="F1027" i="19" s="1"/>
  <c r="B1035" i="19"/>
  <c r="F1035" i="19" s="1"/>
  <c r="B1043" i="19"/>
  <c r="F1043" i="19" s="1"/>
  <c r="B1075" i="19"/>
  <c r="F1075" i="19" s="1"/>
  <c r="B1083" i="19"/>
  <c r="F1083" i="19" s="1"/>
  <c r="B1091" i="19"/>
  <c r="F1091" i="19" s="1"/>
  <c r="B1099" i="19"/>
  <c r="F1099" i="19" s="1"/>
  <c r="B1107" i="19"/>
  <c r="F1107" i="19" s="1"/>
  <c r="B1115" i="19"/>
  <c r="F1115" i="19" s="1"/>
  <c r="B1123" i="19"/>
  <c r="F1123" i="19" s="1"/>
  <c r="B1131" i="19"/>
  <c r="F1131" i="19" s="1"/>
  <c r="B1139" i="19"/>
  <c r="F1139" i="19" s="1"/>
  <c r="B1147" i="19"/>
  <c r="F1147" i="19" s="1"/>
  <c r="B1155" i="19"/>
  <c r="F1155" i="19" s="1"/>
  <c r="B1440" i="19"/>
  <c r="F1440" i="19" s="1"/>
  <c r="B1448" i="19"/>
  <c r="F1448" i="19" s="1"/>
  <c r="B1456" i="19"/>
  <c r="F1456" i="19" s="1"/>
  <c r="B1464" i="19"/>
  <c r="F1464" i="19" s="1"/>
  <c r="B1472" i="19"/>
  <c r="F1472" i="19" s="1"/>
  <c r="B1480" i="19"/>
  <c r="F1480" i="19" s="1"/>
  <c r="B1488" i="19"/>
  <c r="F1488" i="19" s="1"/>
  <c r="B1496" i="19"/>
  <c r="F1496" i="19" s="1"/>
  <c r="B1504" i="19"/>
  <c r="F1504" i="19" s="1"/>
  <c r="B1512" i="19"/>
  <c r="F1512" i="19" s="1"/>
  <c r="B1520" i="19"/>
  <c r="F1520" i="19" s="1"/>
  <c r="B1528" i="19"/>
  <c r="F1528" i="19" s="1"/>
  <c r="B1536" i="19"/>
  <c r="F1536" i="19" s="1"/>
  <c r="B1544" i="19"/>
  <c r="F1544" i="19" s="1"/>
  <c r="B1552" i="19"/>
  <c r="F1552" i="19" s="1"/>
  <c r="B1560" i="19"/>
  <c r="F1560" i="19" s="1"/>
  <c r="B1592" i="19"/>
  <c r="F1592" i="19" s="1"/>
  <c r="B1600" i="19"/>
  <c r="F1600" i="19" s="1"/>
  <c r="B1608" i="19"/>
  <c r="F1608" i="19" s="1"/>
  <c r="B1616" i="19"/>
  <c r="F1616" i="19" s="1"/>
  <c r="B1624" i="19"/>
  <c r="F1624" i="19" s="1"/>
  <c r="B1632" i="19"/>
  <c r="F1632" i="19" s="1"/>
  <c r="B1640" i="19"/>
  <c r="F1640" i="19" s="1"/>
  <c r="B1648" i="19"/>
  <c r="F1648" i="19" s="1"/>
  <c r="B1656" i="19"/>
  <c r="F1656" i="19" s="1"/>
  <c r="B1664" i="19"/>
  <c r="F1664" i="19" s="1"/>
  <c r="B1672" i="19"/>
  <c r="F1672" i="19" s="1"/>
  <c r="B1680" i="19"/>
  <c r="F1680" i="19" s="1"/>
  <c r="B1688" i="19"/>
  <c r="F1688" i="19" s="1"/>
  <c r="B1696" i="19"/>
  <c r="F1696" i="19" s="1"/>
  <c r="B1704" i="19"/>
  <c r="F1704" i="19" s="1"/>
  <c r="B1712" i="19"/>
  <c r="F1712" i="19" s="1"/>
  <c r="B1720" i="19"/>
  <c r="F1720" i="19" s="1"/>
  <c r="B1728" i="19"/>
  <c r="F1728" i="19" s="1"/>
  <c r="B1736" i="19"/>
  <c r="F1736" i="19" s="1"/>
  <c r="B1744" i="19"/>
  <c r="F1744" i="19" s="1"/>
  <c r="B1752" i="19"/>
  <c r="F1752" i="19" s="1"/>
  <c r="B1760" i="19"/>
  <c r="F1760" i="19" s="1"/>
  <c r="B1768" i="19"/>
  <c r="F1768" i="19" s="1"/>
  <c r="B1776" i="19"/>
  <c r="F1776" i="19" s="1"/>
  <c r="B1784" i="19"/>
  <c r="F1784" i="19" s="1"/>
  <c r="B1792" i="19"/>
  <c r="F1792" i="19" s="1"/>
  <c r="B1800" i="19"/>
  <c r="F1800" i="19" s="1"/>
  <c r="B1808" i="19"/>
  <c r="F1808" i="19" s="1"/>
  <c r="B1816" i="19"/>
  <c r="F1816" i="19" s="1"/>
  <c r="B1824" i="19"/>
  <c r="F1824" i="19" s="1"/>
  <c r="B1856" i="19"/>
  <c r="F1856" i="19" s="1"/>
  <c r="B1864" i="19"/>
  <c r="F1864" i="19" s="1"/>
  <c r="B1872" i="19"/>
  <c r="F1872" i="19" s="1"/>
  <c r="B1880" i="19"/>
  <c r="F1880" i="19" s="1"/>
  <c r="B1888" i="19"/>
  <c r="F1888" i="19" s="1"/>
  <c r="B1896" i="19"/>
  <c r="F1896" i="19" s="1"/>
  <c r="B1904" i="19"/>
  <c r="F1904" i="19" s="1"/>
  <c r="B1912" i="19"/>
  <c r="F1912" i="19" s="1"/>
  <c r="B1920" i="19"/>
  <c r="F1920" i="19" s="1"/>
  <c r="B1928" i="19"/>
  <c r="F1928" i="19" s="1"/>
  <c r="B1936" i="19"/>
  <c r="F1936" i="19" s="1"/>
  <c r="B1944" i="19"/>
  <c r="F1944" i="19" s="1"/>
  <c r="B1952" i="19"/>
  <c r="F1952" i="19" s="1"/>
  <c r="B1960" i="19"/>
  <c r="F1960" i="19" s="1"/>
  <c r="B1968" i="19"/>
  <c r="F1968" i="19" s="1"/>
  <c r="B1976" i="19"/>
  <c r="F1976" i="19" s="1"/>
  <c r="B1984" i="19"/>
  <c r="F1984" i="19" s="1"/>
  <c r="B1992" i="19"/>
  <c r="F1992" i="19" s="1"/>
  <c r="B2000" i="19"/>
  <c r="F2000" i="19" s="1"/>
  <c r="B2008" i="19"/>
  <c r="F2008" i="19" s="1"/>
  <c r="B2016" i="19"/>
  <c r="F2016" i="19" s="1"/>
  <c r="B2024" i="19"/>
  <c r="F2024" i="19" s="1"/>
  <c r="B2032" i="19"/>
  <c r="F2032" i="19" s="1"/>
  <c r="B2040" i="19"/>
  <c r="F2040" i="19" s="1"/>
  <c r="B2048" i="19"/>
  <c r="F2048" i="19" s="1"/>
  <c r="B2056" i="19"/>
  <c r="F2056" i="19" s="1"/>
  <c r="B2064" i="19"/>
  <c r="F2064" i="19" s="1"/>
  <c r="B2072" i="19"/>
  <c r="F2072" i="19" s="1"/>
  <c r="B2080" i="19"/>
  <c r="F2080" i="19" s="1"/>
  <c r="B2088" i="19"/>
  <c r="F2088" i="19" s="1"/>
  <c r="B2112" i="19"/>
  <c r="F2112" i="19" s="1"/>
  <c r="B2120" i="19"/>
  <c r="F2120" i="19" s="1"/>
  <c r="B2128" i="19"/>
  <c r="F2128" i="19" s="1"/>
  <c r="B2136" i="19"/>
  <c r="F2136" i="19" s="1"/>
  <c r="B2144" i="19"/>
  <c r="F2144" i="19" s="1"/>
  <c r="B2152" i="19"/>
  <c r="F2152" i="19" s="1"/>
  <c r="B2049" i="19"/>
  <c r="F2049" i="19" s="1"/>
  <c r="B2057" i="19"/>
  <c r="F2057" i="19" s="1"/>
  <c r="B2065" i="19"/>
  <c r="F2065" i="19" s="1"/>
  <c r="B2073" i="19"/>
  <c r="F2073" i="19" s="1"/>
  <c r="B2081" i="19"/>
  <c r="F2081" i="19" s="1"/>
  <c r="B2089" i="19"/>
  <c r="F2089" i="19" s="1"/>
  <c r="B2113" i="19"/>
  <c r="F2113" i="19" s="1"/>
  <c r="B2121" i="19"/>
  <c r="F2121" i="19" s="1"/>
  <c r="B2129" i="19"/>
  <c r="F2129" i="19" s="1"/>
  <c r="B2137" i="19"/>
  <c r="F2137" i="19" s="1"/>
  <c r="B2145" i="19"/>
  <c r="F2145" i="19" s="1"/>
  <c r="B2153" i="19"/>
  <c r="F2153" i="19" s="1"/>
  <c r="B166" i="19"/>
  <c r="F166" i="19" s="1"/>
  <c r="B182" i="19"/>
  <c r="F182" i="19" s="1"/>
  <c r="B198" i="19"/>
  <c r="F198" i="19" s="1"/>
  <c r="B214" i="19"/>
  <c r="F214" i="19" s="1"/>
  <c r="B230" i="19"/>
  <c r="F230" i="19" s="1"/>
  <c r="B246" i="19"/>
  <c r="F246" i="19" s="1"/>
  <c r="B254" i="19"/>
  <c r="F254" i="19" s="1"/>
  <c r="B262" i="19"/>
  <c r="F262" i="19" s="1"/>
  <c r="B294" i="19"/>
  <c r="F294" i="19" s="1"/>
  <c r="B302" i="19"/>
  <c r="F302" i="19" s="1"/>
  <c r="B310" i="19"/>
  <c r="F310" i="19" s="1"/>
  <c r="B318" i="19"/>
  <c r="F318" i="19" s="1"/>
  <c r="B334" i="19"/>
  <c r="F334" i="19" s="1"/>
  <c r="B174" i="19"/>
  <c r="F174" i="19" s="1"/>
  <c r="B190" i="19"/>
  <c r="F190" i="19" s="1"/>
  <c r="B206" i="19"/>
  <c r="F206" i="19" s="1"/>
  <c r="B222" i="19"/>
  <c r="F222" i="19" s="1"/>
  <c r="B238" i="19"/>
  <c r="F238" i="19" s="1"/>
  <c r="B286" i="19"/>
  <c r="F286" i="19" s="1"/>
  <c r="B326" i="19"/>
  <c r="F326" i="19" s="1"/>
  <c r="B382" i="19"/>
  <c r="F382" i="19" s="1"/>
  <c r="B26" i="19"/>
  <c r="F26" i="19" s="1"/>
  <c r="B34" i="19"/>
  <c r="F34" i="19" s="1"/>
  <c r="B42" i="19"/>
  <c r="F42" i="19" s="1"/>
  <c r="B50" i="19"/>
  <c r="F50" i="19" s="1"/>
  <c r="B58" i="19"/>
  <c r="F58" i="19" s="1"/>
  <c r="B77" i="19"/>
  <c r="F77" i="19" s="1"/>
  <c r="B85" i="19"/>
  <c r="F85" i="19" s="1"/>
  <c r="B93" i="19"/>
  <c r="F93" i="19" s="1"/>
  <c r="B101" i="19"/>
  <c r="F101" i="19" s="1"/>
  <c r="B109" i="19"/>
  <c r="F109" i="19" s="1"/>
  <c r="B117" i="19"/>
  <c r="F117" i="19" s="1"/>
  <c r="B125" i="19"/>
  <c r="F125" i="19" s="1"/>
  <c r="B133" i="19"/>
  <c r="F133" i="19" s="1"/>
  <c r="B141" i="19"/>
  <c r="F141" i="19" s="1"/>
  <c r="B149" i="19"/>
  <c r="F149" i="19" s="1"/>
  <c r="B157" i="19"/>
  <c r="F157" i="19" s="1"/>
  <c r="B165" i="19"/>
  <c r="F165" i="19" s="1"/>
  <c r="B173" i="19"/>
  <c r="F173" i="19" s="1"/>
  <c r="B181" i="19"/>
  <c r="F181" i="19" s="1"/>
  <c r="B189" i="19"/>
  <c r="F189" i="19" s="1"/>
  <c r="B197" i="19"/>
  <c r="F197" i="19" s="1"/>
  <c r="B205" i="19"/>
  <c r="F205" i="19" s="1"/>
  <c r="B213" i="19"/>
  <c r="F213" i="19" s="1"/>
  <c r="B221" i="19"/>
  <c r="F221" i="19" s="1"/>
  <c r="B229" i="19"/>
  <c r="F229" i="19" s="1"/>
  <c r="B237" i="19"/>
  <c r="F237" i="19" s="1"/>
  <c r="B245" i="19"/>
  <c r="F245" i="19" s="1"/>
  <c r="B253" i="19"/>
  <c r="F253" i="19" s="1"/>
  <c r="B261" i="19"/>
  <c r="F261" i="19" s="1"/>
  <c r="B293" i="19"/>
  <c r="F293" i="19" s="1"/>
  <c r="B301" i="19"/>
  <c r="F301" i="19" s="1"/>
  <c r="B309" i="19"/>
  <c r="F309" i="19" s="1"/>
  <c r="B317" i="19"/>
  <c r="F317" i="19" s="1"/>
  <c r="B325" i="19"/>
  <c r="F325" i="19" s="1"/>
  <c r="B333" i="19"/>
  <c r="F333" i="19" s="1"/>
  <c r="B341" i="19"/>
  <c r="F341" i="19" s="1"/>
  <c r="B349" i="19"/>
  <c r="F349" i="19" s="1"/>
  <c r="B357" i="19"/>
  <c r="F357" i="19" s="1"/>
  <c r="B365" i="19"/>
  <c r="F365" i="19" s="1"/>
  <c r="B373" i="19"/>
  <c r="F373" i="19" s="1"/>
  <c r="B381" i="19"/>
  <c r="F381" i="19" s="1"/>
  <c r="B389" i="19"/>
  <c r="F389" i="19" s="1"/>
  <c r="B397" i="19"/>
  <c r="F397" i="19" s="1"/>
  <c r="B405" i="19"/>
  <c r="F405" i="19" s="1"/>
  <c r="B413" i="19"/>
  <c r="F413" i="19" s="1"/>
  <c r="B421" i="19"/>
  <c r="F421" i="19" s="1"/>
  <c r="B429" i="19"/>
  <c r="F429" i="19" s="1"/>
  <c r="B437" i="19"/>
  <c r="F437" i="19" s="1"/>
  <c r="B445" i="19"/>
  <c r="F445" i="19" s="1"/>
  <c r="B453" i="19"/>
  <c r="F453" i="19" s="1"/>
  <c r="B461" i="19"/>
  <c r="F461" i="19" s="1"/>
  <c r="B469" i="19"/>
  <c r="F469" i="19" s="1"/>
  <c r="B477" i="19"/>
  <c r="F477" i="19" s="1"/>
  <c r="B485" i="19"/>
  <c r="F485" i="19" s="1"/>
  <c r="B493" i="19"/>
  <c r="F493" i="19" s="1"/>
  <c r="B501" i="19"/>
  <c r="F501" i="19" s="1"/>
  <c r="B509" i="19"/>
  <c r="F509" i="19" s="1"/>
  <c r="B517" i="19"/>
  <c r="F517" i="19" s="1"/>
  <c r="B549" i="19"/>
  <c r="F549" i="19" s="1"/>
  <c r="B557" i="19"/>
  <c r="F557" i="19" s="1"/>
  <c r="B565" i="19"/>
  <c r="F565" i="19" s="1"/>
  <c r="B573" i="19"/>
  <c r="F573" i="19" s="1"/>
  <c r="B581" i="19"/>
  <c r="F581" i="19" s="1"/>
  <c r="B589" i="19"/>
  <c r="F589" i="19" s="1"/>
  <c r="B597" i="19"/>
  <c r="F597" i="19" s="1"/>
  <c r="B605" i="19"/>
  <c r="F605" i="19" s="1"/>
  <c r="B613" i="19"/>
  <c r="F613" i="19" s="1"/>
  <c r="B621" i="19"/>
  <c r="F621" i="19" s="1"/>
  <c r="B629" i="19"/>
  <c r="F629" i="19" s="1"/>
  <c r="B637" i="19"/>
  <c r="F637" i="19" s="1"/>
  <c r="B645" i="19"/>
  <c r="F645" i="19" s="1"/>
  <c r="B653" i="19"/>
  <c r="F653" i="19" s="1"/>
  <c r="B661" i="19"/>
  <c r="F661" i="19" s="1"/>
  <c r="B669" i="19"/>
  <c r="F669" i="19" s="1"/>
  <c r="B677" i="19"/>
  <c r="F677" i="19" s="1"/>
  <c r="B685" i="19"/>
  <c r="F685" i="19" s="1"/>
  <c r="B693" i="19"/>
  <c r="F693" i="19" s="1"/>
  <c r="B701" i="19"/>
  <c r="F701" i="19" s="1"/>
  <c r="B709" i="19"/>
  <c r="F709" i="19" s="1"/>
  <c r="B717" i="19"/>
  <c r="F717" i="19" s="1"/>
  <c r="B725" i="19"/>
  <c r="F725" i="19" s="1"/>
  <c r="B733" i="19"/>
  <c r="F733" i="19" s="1"/>
  <c r="B741" i="19"/>
  <c r="F741" i="19" s="1"/>
  <c r="B749" i="19"/>
  <c r="F749" i="19" s="1"/>
  <c r="B757" i="19"/>
  <c r="F757" i="19" s="1"/>
  <c r="B765" i="19"/>
  <c r="F765" i="19" s="1"/>
  <c r="B773" i="19"/>
  <c r="F773" i="19" s="1"/>
  <c r="B781" i="19"/>
  <c r="F781" i="19" s="1"/>
  <c r="B813" i="19"/>
  <c r="F813" i="19" s="1"/>
  <c r="B821" i="19"/>
  <c r="F821" i="19" s="1"/>
  <c r="B829" i="19"/>
  <c r="F829" i="19" s="1"/>
  <c r="B837" i="19"/>
  <c r="F837" i="19" s="1"/>
  <c r="B845" i="19"/>
  <c r="F845" i="19" s="1"/>
  <c r="B853" i="19"/>
  <c r="F853" i="19" s="1"/>
  <c r="B861" i="19"/>
  <c r="F861" i="19" s="1"/>
  <c r="B869" i="19"/>
  <c r="F869" i="19" s="1"/>
  <c r="B342" i="19"/>
  <c r="F342" i="19" s="1"/>
  <c r="B350" i="19"/>
  <c r="F350" i="19" s="1"/>
  <c r="B358" i="19"/>
  <c r="F358" i="19" s="1"/>
  <c r="B366" i="19"/>
  <c r="F366" i="19" s="1"/>
  <c r="B374" i="19"/>
  <c r="F374" i="19" s="1"/>
  <c r="B390" i="19"/>
  <c r="F390" i="19" s="1"/>
  <c r="B398" i="19"/>
  <c r="F398" i="19" s="1"/>
  <c r="B406" i="19"/>
  <c r="F406" i="19" s="1"/>
  <c r="B414" i="19"/>
  <c r="F414" i="19" s="1"/>
  <c r="B422" i="19"/>
  <c r="F422" i="19" s="1"/>
  <c r="B430" i="19"/>
  <c r="F430" i="19" s="1"/>
  <c r="B438" i="19"/>
  <c r="F438" i="19" s="1"/>
  <c r="B446" i="19"/>
  <c r="F446" i="19" s="1"/>
  <c r="B454" i="19"/>
  <c r="F454" i="19" s="1"/>
  <c r="B462" i="19"/>
  <c r="F462" i="19" s="1"/>
  <c r="B470" i="19"/>
  <c r="F470" i="19" s="1"/>
  <c r="B478" i="19"/>
  <c r="F478" i="19" s="1"/>
  <c r="B486" i="19"/>
  <c r="F486" i="19" s="1"/>
  <c r="B494" i="19"/>
  <c r="F494" i="19" s="1"/>
  <c r="B502" i="19"/>
  <c r="F502" i="19" s="1"/>
  <c r="B510" i="19"/>
  <c r="F510" i="19" s="1"/>
  <c r="B518" i="19"/>
  <c r="F518" i="19" s="1"/>
  <c r="B550" i="19"/>
  <c r="F550" i="19" s="1"/>
  <c r="B558" i="19"/>
  <c r="F558" i="19" s="1"/>
  <c r="B566" i="19"/>
  <c r="F566" i="19" s="1"/>
  <c r="B574" i="19"/>
  <c r="F574" i="19" s="1"/>
  <c r="B582" i="19"/>
  <c r="F582" i="19" s="1"/>
  <c r="B590" i="19"/>
  <c r="F590" i="19" s="1"/>
  <c r="B598" i="19"/>
  <c r="F598" i="19" s="1"/>
  <c r="B606" i="19"/>
  <c r="F606" i="19" s="1"/>
  <c r="B614" i="19"/>
  <c r="F614" i="19" s="1"/>
  <c r="B622" i="19"/>
  <c r="F622" i="19" s="1"/>
  <c r="B630" i="19"/>
  <c r="F630" i="19" s="1"/>
  <c r="B638" i="19"/>
  <c r="F638" i="19" s="1"/>
  <c r="B646" i="19"/>
  <c r="F646" i="19" s="1"/>
  <c r="B654" i="19"/>
  <c r="F654" i="19" s="1"/>
  <c r="B662" i="19"/>
  <c r="F662" i="19" s="1"/>
  <c r="B670" i="19"/>
  <c r="F670" i="19" s="1"/>
  <c r="B678" i="19"/>
  <c r="F678" i="19" s="1"/>
  <c r="B686" i="19"/>
  <c r="F686" i="19" s="1"/>
  <c r="B694" i="19"/>
  <c r="F694" i="19" s="1"/>
  <c r="B702" i="19"/>
  <c r="F702" i="19" s="1"/>
  <c r="B710" i="19"/>
  <c r="F710" i="19" s="1"/>
  <c r="B718" i="19"/>
  <c r="F718" i="19" s="1"/>
  <c r="B726" i="19"/>
  <c r="F726" i="19" s="1"/>
  <c r="B734" i="19"/>
  <c r="F734" i="19" s="1"/>
  <c r="B742" i="19"/>
  <c r="F742" i="19" s="1"/>
  <c r="B750" i="19"/>
  <c r="F750" i="19" s="1"/>
  <c r="B758" i="19"/>
  <c r="F758" i="19" s="1"/>
  <c r="B766" i="19"/>
  <c r="F766" i="19" s="1"/>
  <c r="B774" i="19"/>
  <c r="F774" i="19" s="1"/>
  <c r="B782" i="19"/>
  <c r="F782" i="19" s="1"/>
  <c r="B814" i="19"/>
  <c r="F814" i="19" s="1"/>
  <c r="B822" i="19"/>
  <c r="F822" i="19" s="1"/>
  <c r="B830" i="19"/>
  <c r="F830" i="19" s="1"/>
  <c r="B838" i="19"/>
  <c r="F838" i="19" s="1"/>
  <c r="B846" i="19"/>
  <c r="F846" i="19" s="1"/>
  <c r="B854" i="19"/>
  <c r="F854" i="19" s="1"/>
  <c r="B862" i="19"/>
  <c r="F862" i="19" s="1"/>
  <c r="B870" i="19"/>
  <c r="F870" i="19" s="1"/>
  <c r="B878" i="19"/>
  <c r="F878" i="19" s="1"/>
  <c r="B886" i="19"/>
  <c r="F886" i="19" s="1"/>
  <c r="B894" i="19"/>
  <c r="F894" i="19" s="1"/>
  <c r="B902" i="19"/>
  <c r="F902" i="19" s="1"/>
  <c r="B910" i="19"/>
  <c r="F910" i="19" s="1"/>
  <c r="B918" i="19"/>
  <c r="F918" i="19" s="1"/>
  <c r="B926" i="19"/>
  <c r="F926" i="19" s="1"/>
  <c r="B934" i="19"/>
  <c r="F934" i="19" s="1"/>
  <c r="B942" i="19"/>
  <c r="F942" i="19" s="1"/>
  <c r="B950" i="19"/>
  <c r="F950" i="19" s="1"/>
  <c r="B958" i="19"/>
  <c r="F958" i="19" s="1"/>
  <c r="B966" i="19"/>
  <c r="F966" i="19" s="1"/>
  <c r="B974" i="19"/>
  <c r="F974" i="19" s="1"/>
  <c r="B982" i="19"/>
  <c r="F982" i="19" s="1"/>
  <c r="B990" i="19"/>
  <c r="F990" i="19" s="1"/>
  <c r="B998" i="19"/>
  <c r="F998" i="19" s="1"/>
  <c r="B1006" i="19"/>
  <c r="F1006" i="19" s="1"/>
  <c r="B1014" i="19"/>
  <c r="F1014" i="19" s="1"/>
  <c r="B1022" i="19"/>
  <c r="F1022" i="19" s="1"/>
  <c r="B1030" i="19"/>
  <c r="F1030" i="19" s="1"/>
  <c r="B1038" i="19"/>
  <c r="F1038" i="19" s="1"/>
  <c r="B1070" i="19"/>
  <c r="F1070" i="19" s="1"/>
  <c r="B1078" i="19"/>
  <c r="F1078" i="19" s="1"/>
  <c r="B1086" i="19"/>
  <c r="F1086" i="19" s="1"/>
  <c r="B1094" i="19"/>
  <c r="F1094" i="19" s="1"/>
  <c r="B1102" i="19"/>
  <c r="F1102" i="19" s="1"/>
  <c r="B1110" i="19"/>
  <c r="F1110" i="19" s="1"/>
  <c r="B1118" i="19"/>
  <c r="F1118" i="19" s="1"/>
  <c r="B1126" i="19"/>
  <c r="F1126" i="19" s="1"/>
  <c r="B1134" i="19"/>
  <c r="F1134" i="19" s="1"/>
  <c r="B1142" i="19"/>
  <c r="F1142" i="19" s="1"/>
  <c r="B1150" i="19"/>
  <c r="F1150" i="19" s="1"/>
  <c r="B1158" i="19"/>
  <c r="F1158" i="19" s="1"/>
  <c r="B1166" i="19"/>
  <c r="F1166" i="19" s="1"/>
  <c r="B1174" i="19"/>
  <c r="F1174" i="19" s="1"/>
  <c r="B1182" i="19"/>
  <c r="F1182" i="19" s="1"/>
  <c r="B1190" i="19"/>
  <c r="F1190" i="19" s="1"/>
  <c r="B1198" i="19"/>
  <c r="F1198" i="19" s="1"/>
  <c r="B1206" i="19"/>
  <c r="F1206" i="19" s="1"/>
  <c r="B1214" i="19"/>
  <c r="F1214" i="19" s="1"/>
  <c r="B1222" i="19"/>
  <c r="F1222" i="19" s="1"/>
  <c r="B1230" i="19"/>
  <c r="F1230" i="19" s="1"/>
  <c r="B1238" i="19"/>
  <c r="F1238" i="19" s="1"/>
  <c r="B1246" i="19"/>
  <c r="F1246" i="19" s="1"/>
  <c r="B1254" i="19"/>
  <c r="F1254" i="19" s="1"/>
  <c r="B1262" i="19"/>
  <c r="F1262" i="19" s="1"/>
  <c r="B1270" i="19"/>
  <c r="F1270" i="19" s="1"/>
  <c r="B1278" i="19"/>
  <c r="F1278" i="19" s="1"/>
  <c r="B1286" i="19"/>
  <c r="F1286" i="19" s="1"/>
  <c r="B1294" i="19"/>
  <c r="F1294" i="19" s="1"/>
  <c r="B1302" i="19"/>
  <c r="F1302" i="19" s="1"/>
  <c r="B1334" i="19"/>
  <c r="F1334" i="19" s="1"/>
  <c r="B1342" i="19"/>
  <c r="F1342" i="19" s="1"/>
  <c r="B1350" i="19"/>
  <c r="F1350" i="19" s="1"/>
  <c r="B1358" i="19"/>
  <c r="F1358" i="19" s="1"/>
  <c r="B1366" i="19"/>
  <c r="F1366" i="19" s="1"/>
  <c r="B1374" i="19"/>
  <c r="F1374" i="19" s="1"/>
  <c r="B1382" i="19"/>
  <c r="F1382" i="19" s="1"/>
  <c r="B1390" i="19"/>
  <c r="F1390" i="19" s="1"/>
  <c r="B1398" i="19"/>
  <c r="F1398" i="19" s="1"/>
  <c r="B1406" i="19"/>
  <c r="F1406" i="19" s="1"/>
  <c r="B1414" i="19"/>
  <c r="F1414" i="19" s="1"/>
  <c r="B1422" i="19"/>
  <c r="F1422" i="19" s="1"/>
  <c r="B1430" i="19"/>
  <c r="F1430" i="19" s="1"/>
  <c r="B1438" i="19"/>
  <c r="F1438" i="19" s="1"/>
  <c r="B1446" i="19"/>
  <c r="F1446" i="19" s="1"/>
  <c r="B1454" i="19"/>
  <c r="F1454" i="19" s="1"/>
  <c r="B1462" i="19"/>
  <c r="F1462" i="19" s="1"/>
  <c r="B1470" i="19"/>
  <c r="F1470" i="19" s="1"/>
  <c r="B1478" i="19"/>
  <c r="F1478" i="19" s="1"/>
  <c r="B1486" i="19"/>
  <c r="F1486" i="19" s="1"/>
  <c r="B1494" i="19"/>
  <c r="F1494" i="19" s="1"/>
  <c r="B1502" i="19"/>
  <c r="F1502" i="19" s="1"/>
  <c r="B1510" i="19"/>
  <c r="F1510" i="19" s="1"/>
  <c r="B1518" i="19"/>
  <c r="F1518" i="19" s="1"/>
  <c r="B1526" i="19"/>
  <c r="F1526" i="19" s="1"/>
  <c r="B1534" i="19"/>
  <c r="F1534" i="19" s="1"/>
  <c r="B1542" i="19"/>
  <c r="F1542" i="19" s="1"/>
  <c r="B1550" i="19"/>
  <c r="F1550" i="19" s="1"/>
  <c r="B1558" i="19"/>
  <c r="F1558" i="19" s="1"/>
  <c r="B1566" i="19"/>
  <c r="F1566" i="19" s="1"/>
  <c r="B1598" i="19"/>
  <c r="F1598" i="19" s="1"/>
  <c r="B1606" i="19"/>
  <c r="F1606" i="19" s="1"/>
  <c r="B1614" i="19"/>
  <c r="F1614" i="19" s="1"/>
  <c r="B1622" i="19"/>
  <c r="F1622" i="19" s="1"/>
  <c r="B1630" i="19"/>
  <c r="F1630" i="19" s="1"/>
  <c r="B1638" i="19"/>
  <c r="F1638" i="19" s="1"/>
  <c r="B1646" i="19"/>
  <c r="F1646" i="19" s="1"/>
  <c r="B1654" i="19"/>
  <c r="F1654" i="19" s="1"/>
  <c r="B1662" i="19"/>
  <c r="F1662" i="19" s="1"/>
  <c r="B1670" i="19"/>
  <c r="F1670" i="19" s="1"/>
  <c r="B1678" i="19"/>
  <c r="F1678" i="19" s="1"/>
  <c r="B1686" i="19"/>
  <c r="F1686" i="19" s="1"/>
  <c r="B1694" i="19"/>
  <c r="F1694" i="19" s="1"/>
  <c r="B1702" i="19"/>
  <c r="F1702" i="19" s="1"/>
  <c r="B1710" i="19"/>
  <c r="F1710" i="19" s="1"/>
  <c r="B1718" i="19"/>
  <c r="F1718" i="19" s="1"/>
  <c r="B1726" i="19"/>
  <c r="F1726" i="19" s="1"/>
  <c r="B1734" i="19"/>
  <c r="F1734" i="19" s="1"/>
  <c r="B1742" i="19"/>
  <c r="F1742" i="19" s="1"/>
  <c r="B1750" i="19"/>
  <c r="F1750" i="19" s="1"/>
  <c r="B1758" i="19"/>
  <c r="F1758" i="19" s="1"/>
  <c r="B1766" i="19"/>
  <c r="F1766" i="19" s="1"/>
  <c r="B1774" i="19"/>
  <c r="F1774" i="19" s="1"/>
  <c r="B1782" i="19"/>
  <c r="F1782" i="19" s="1"/>
  <c r="B1790" i="19"/>
  <c r="F1790" i="19" s="1"/>
  <c r="B1798" i="19"/>
  <c r="F1798" i="19" s="1"/>
  <c r="B1806" i="19"/>
  <c r="F1806" i="19" s="1"/>
  <c r="B1814" i="19"/>
  <c r="F1814" i="19" s="1"/>
  <c r="B1822" i="19"/>
  <c r="F1822" i="19" s="1"/>
  <c r="B31" i="19"/>
  <c r="F31" i="19" s="1"/>
  <c r="B39" i="19"/>
  <c r="F39" i="19" s="1"/>
  <c r="B47" i="19"/>
  <c r="F47" i="19" s="1"/>
  <c r="B55" i="19"/>
  <c r="F55" i="19" s="1"/>
  <c r="B63" i="19"/>
  <c r="F63" i="19" s="1"/>
  <c r="B71" i="19"/>
  <c r="F71" i="19" s="1"/>
  <c r="B79" i="19"/>
  <c r="F79" i="19" s="1"/>
  <c r="B87" i="19"/>
  <c r="F87" i="19" s="1"/>
  <c r="B95" i="19"/>
  <c r="F95" i="19" s="1"/>
  <c r="B103" i="19"/>
  <c r="F103" i="19" s="1"/>
  <c r="B111" i="19"/>
  <c r="F111" i="19" s="1"/>
  <c r="B119" i="19"/>
  <c r="F119" i="19" s="1"/>
  <c r="B127" i="19"/>
  <c r="F127" i="19" s="1"/>
  <c r="B135" i="19"/>
  <c r="F135" i="19" s="1"/>
  <c r="B143" i="19"/>
  <c r="F143" i="19" s="1"/>
  <c r="B151" i="19"/>
  <c r="F151" i="19" s="1"/>
  <c r="B159" i="19"/>
  <c r="F159" i="19" s="1"/>
  <c r="B167" i="19"/>
  <c r="F167" i="19" s="1"/>
  <c r="B175" i="19"/>
  <c r="F175" i="19" s="1"/>
  <c r="B183" i="19"/>
  <c r="F183" i="19" s="1"/>
  <c r="B191" i="19"/>
  <c r="F191" i="19" s="1"/>
  <c r="B199" i="19"/>
  <c r="F199" i="19" s="1"/>
  <c r="B207" i="19"/>
  <c r="F207" i="19" s="1"/>
  <c r="B215" i="19"/>
  <c r="F215" i="19" s="1"/>
  <c r="B223" i="19"/>
  <c r="F223" i="19" s="1"/>
  <c r="B231" i="19"/>
  <c r="F231" i="19" s="1"/>
  <c r="B239" i="19"/>
  <c r="F239" i="19" s="1"/>
  <c r="B247" i="19"/>
  <c r="F247" i="19" s="1"/>
  <c r="B255" i="19"/>
  <c r="F255" i="19" s="1"/>
  <c r="B263" i="19"/>
  <c r="F263" i="19" s="1"/>
  <c r="B287" i="19"/>
  <c r="F287" i="19" s="1"/>
  <c r="B295" i="19"/>
  <c r="F295" i="19" s="1"/>
  <c r="B303" i="19"/>
  <c r="F303" i="19" s="1"/>
  <c r="B311" i="19"/>
  <c r="F311" i="19" s="1"/>
  <c r="B319" i="19"/>
  <c r="F319" i="19" s="1"/>
  <c r="B327" i="19"/>
  <c r="F327" i="19" s="1"/>
  <c r="B335" i="19"/>
  <c r="F335" i="19" s="1"/>
  <c r="B343" i="19"/>
  <c r="F343" i="19" s="1"/>
  <c r="B351" i="19"/>
  <c r="F351" i="19" s="1"/>
  <c r="B359" i="19"/>
  <c r="F359" i="19" s="1"/>
  <c r="B367" i="19"/>
  <c r="F367" i="19" s="1"/>
  <c r="B375" i="19"/>
  <c r="F375" i="19" s="1"/>
  <c r="B383" i="19"/>
  <c r="F383" i="19" s="1"/>
  <c r="B391" i="19"/>
  <c r="F391" i="19" s="1"/>
  <c r="B399" i="19"/>
  <c r="F399" i="19" s="1"/>
  <c r="B407" i="19"/>
  <c r="F407" i="19" s="1"/>
  <c r="B415" i="19"/>
  <c r="F415" i="19" s="1"/>
  <c r="B423" i="19"/>
  <c r="F423" i="19" s="1"/>
  <c r="B431" i="19"/>
  <c r="F431" i="19" s="1"/>
  <c r="B439" i="19"/>
  <c r="F439" i="19" s="1"/>
  <c r="B447" i="19"/>
  <c r="F447" i="19" s="1"/>
  <c r="B455" i="19"/>
  <c r="F455" i="19" s="1"/>
  <c r="B463" i="19"/>
  <c r="F463" i="19" s="1"/>
  <c r="B471" i="19"/>
  <c r="F471" i="19" s="1"/>
  <c r="B479" i="19"/>
  <c r="F479" i="19" s="1"/>
  <c r="B487" i="19"/>
  <c r="F487" i="19" s="1"/>
  <c r="B495" i="19"/>
  <c r="F495" i="19" s="1"/>
  <c r="B503" i="19"/>
  <c r="F503" i="19" s="1"/>
  <c r="B511" i="19"/>
  <c r="F511" i="19" s="1"/>
  <c r="B519" i="19"/>
  <c r="F519" i="19" s="1"/>
  <c r="B551" i="19"/>
  <c r="F551" i="19" s="1"/>
  <c r="B559" i="19"/>
  <c r="F559" i="19" s="1"/>
  <c r="B567" i="19"/>
  <c r="F567" i="19" s="1"/>
  <c r="B575" i="19"/>
  <c r="F575" i="19" s="1"/>
  <c r="B583" i="19"/>
  <c r="F583" i="19" s="1"/>
  <c r="B591" i="19"/>
  <c r="F591" i="19" s="1"/>
  <c r="B599" i="19"/>
  <c r="F599" i="19" s="1"/>
  <c r="B607" i="19"/>
  <c r="F607" i="19" s="1"/>
  <c r="B615" i="19"/>
  <c r="F615" i="19" s="1"/>
  <c r="B623" i="19"/>
  <c r="F623" i="19" s="1"/>
  <c r="B631" i="19"/>
  <c r="F631" i="19" s="1"/>
  <c r="B639" i="19"/>
  <c r="F639" i="19" s="1"/>
  <c r="B647" i="19"/>
  <c r="F647" i="19" s="1"/>
  <c r="B655" i="19"/>
  <c r="F655" i="19" s="1"/>
  <c r="B663" i="19"/>
  <c r="F663" i="19" s="1"/>
  <c r="B671" i="19"/>
  <c r="F671" i="19" s="1"/>
  <c r="B679" i="19"/>
  <c r="F679" i="19" s="1"/>
  <c r="B687" i="19"/>
  <c r="F687" i="19" s="1"/>
  <c r="B695" i="19"/>
  <c r="F695" i="19" s="1"/>
  <c r="B703" i="19"/>
  <c r="F703" i="19" s="1"/>
  <c r="B711" i="19"/>
  <c r="F711" i="19" s="1"/>
  <c r="B719" i="19"/>
  <c r="F719" i="19" s="1"/>
  <c r="B727" i="19"/>
  <c r="F727" i="19" s="1"/>
  <c r="B735" i="19"/>
  <c r="F735" i="19" s="1"/>
  <c r="B743" i="19"/>
  <c r="F743" i="19" s="1"/>
  <c r="B751" i="19"/>
  <c r="F751" i="19" s="1"/>
  <c r="B759" i="19"/>
  <c r="F759" i="19" s="1"/>
  <c r="B767" i="19"/>
  <c r="F767" i="19" s="1"/>
  <c r="B775" i="19"/>
  <c r="F775" i="19" s="1"/>
  <c r="B783" i="19"/>
  <c r="F783" i="19" s="1"/>
  <c r="B815" i="19"/>
  <c r="F815" i="19" s="1"/>
  <c r="B823" i="19"/>
  <c r="F823" i="19" s="1"/>
  <c r="B831" i="19"/>
  <c r="F831" i="19" s="1"/>
  <c r="B839" i="19"/>
  <c r="F839" i="19" s="1"/>
  <c r="B847" i="19"/>
  <c r="F847" i="19" s="1"/>
  <c r="B855" i="19"/>
  <c r="F855" i="19" s="1"/>
  <c r="B863" i="19"/>
  <c r="F863" i="19" s="1"/>
  <c r="B871" i="19"/>
  <c r="F871" i="19" s="1"/>
  <c r="B879" i="19"/>
  <c r="F879" i="19" s="1"/>
  <c r="B887" i="19"/>
  <c r="F887" i="19" s="1"/>
  <c r="B895" i="19"/>
  <c r="F895" i="19" s="1"/>
  <c r="B903" i="19"/>
  <c r="F903" i="19" s="1"/>
  <c r="B911" i="19"/>
  <c r="F911" i="19" s="1"/>
  <c r="B919" i="19"/>
  <c r="F919" i="19" s="1"/>
  <c r="B927" i="19"/>
  <c r="F927" i="19" s="1"/>
  <c r="B935" i="19"/>
  <c r="F935" i="19" s="1"/>
  <c r="B943" i="19"/>
  <c r="F943" i="19" s="1"/>
  <c r="B951" i="19"/>
  <c r="F951" i="19" s="1"/>
  <c r="B959" i="19"/>
  <c r="F959" i="19" s="1"/>
  <c r="B967" i="19"/>
  <c r="F967" i="19" s="1"/>
  <c r="B975" i="19"/>
  <c r="F975" i="19" s="1"/>
  <c r="B983" i="19"/>
  <c r="F983" i="19" s="1"/>
  <c r="B991" i="19"/>
  <c r="F991" i="19" s="1"/>
  <c r="B999" i="19"/>
  <c r="F999" i="19" s="1"/>
  <c r="B1007" i="19"/>
  <c r="F1007" i="19" s="1"/>
  <c r="B1015" i="19"/>
  <c r="F1015" i="19" s="1"/>
  <c r="B1023" i="19"/>
  <c r="F1023" i="19" s="1"/>
  <c r="B1031" i="19"/>
  <c r="F1031" i="19" s="1"/>
  <c r="B1039" i="19"/>
  <c r="F1039" i="19" s="1"/>
  <c r="B1071" i="19"/>
  <c r="F1071" i="19" s="1"/>
  <c r="B1079" i="19"/>
  <c r="F1079" i="19" s="1"/>
  <c r="B1087" i="19"/>
  <c r="F1087" i="19" s="1"/>
  <c r="B1095" i="19"/>
  <c r="F1095" i="19" s="1"/>
  <c r="B1103" i="19"/>
  <c r="F1103" i="19" s="1"/>
  <c r="B1111" i="19"/>
  <c r="F1111" i="19" s="1"/>
  <c r="B1119" i="19"/>
  <c r="F1119" i="19" s="1"/>
  <c r="B66" i="19"/>
  <c r="F66" i="19" s="1"/>
  <c r="B74" i="19"/>
  <c r="F74" i="19" s="1"/>
  <c r="B82" i="19"/>
  <c r="F82" i="19" s="1"/>
  <c r="B90" i="19"/>
  <c r="F90" i="19" s="1"/>
  <c r="B98" i="19"/>
  <c r="F98" i="19" s="1"/>
  <c r="B106" i="19"/>
  <c r="F106" i="19" s="1"/>
  <c r="B114" i="19"/>
  <c r="F114" i="19" s="1"/>
  <c r="B122" i="19"/>
  <c r="F122" i="19" s="1"/>
  <c r="B130" i="19"/>
  <c r="F130" i="19" s="1"/>
  <c r="B138" i="19"/>
  <c r="F138" i="19" s="1"/>
  <c r="B146" i="19"/>
  <c r="F146" i="19" s="1"/>
  <c r="B154" i="19"/>
  <c r="F154" i="19" s="1"/>
  <c r="B162" i="19"/>
  <c r="F162" i="19" s="1"/>
  <c r="B170" i="19"/>
  <c r="F170" i="19" s="1"/>
  <c r="B178" i="19"/>
  <c r="F178" i="19" s="1"/>
  <c r="B186" i="19"/>
  <c r="F186" i="19" s="1"/>
  <c r="B194" i="19"/>
  <c r="F194" i="19" s="1"/>
  <c r="B202" i="19"/>
  <c r="F202" i="19" s="1"/>
  <c r="B210" i="19"/>
  <c r="F210" i="19" s="1"/>
  <c r="B218" i="19"/>
  <c r="F218" i="19" s="1"/>
  <c r="B226" i="19"/>
  <c r="F226" i="19" s="1"/>
  <c r="B234" i="19"/>
  <c r="F234" i="19" s="1"/>
  <c r="B242" i="19"/>
  <c r="F242" i="19" s="1"/>
  <c r="B250" i="19"/>
  <c r="F250" i="19" s="1"/>
  <c r="B258" i="19"/>
  <c r="F258" i="19" s="1"/>
  <c r="B290" i="19"/>
  <c r="F290" i="19" s="1"/>
  <c r="B298" i="19"/>
  <c r="F298" i="19" s="1"/>
  <c r="B306" i="19"/>
  <c r="F306" i="19" s="1"/>
  <c r="B314" i="19"/>
  <c r="F314" i="19" s="1"/>
  <c r="B322" i="19"/>
  <c r="F322" i="19" s="1"/>
  <c r="B330" i="19"/>
  <c r="F330" i="19" s="1"/>
  <c r="B338" i="19"/>
  <c r="F338" i="19" s="1"/>
  <c r="B346" i="19"/>
  <c r="F346" i="19" s="1"/>
  <c r="B354" i="19"/>
  <c r="F354" i="19" s="1"/>
  <c r="B362" i="19"/>
  <c r="F362" i="19" s="1"/>
  <c r="B370" i="19"/>
  <c r="F370" i="19" s="1"/>
  <c r="B378" i="19"/>
  <c r="F378" i="19" s="1"/>
  <c r="B386" i="19"/>
  <c r="F386" i="19" s="1"/>
  <c r="B394" i="19"/>
  <c r="F394" i="19" s="1"/>
  <c r="B402" i="19"/>
  <c r="F402" i="19" s="1"/>
  <c r="B410" i="19"/>
  <c r="F410" i="19" s="1"/>
  <c r="B418" i="19"/>
  <c r="F418" i="19" s="1"/>
  <c r="B426" i="19"/>
  <c r="F426" i="19" s="1"/>
  <c r="B434" i="19"/>
  <c r="F434" i="19" s="1"/>
  <c r="B442" i="19"/>
  <c r="F442" i="19" s="1"/>
  <c r="B450" i="19"/>
  <c r="F450" i="19" s="1"/>
  <c r="B458" i="19"/>
  <c r="F458" i="19" s="1"/>
  <c r="B466" i="19"/>
  <c r="F466" i="19" s="1"/>
  <c r="B474" i="19"/>
  <c r="F474" i="19" s="1"/>
  <c r="B482" i="19"/>
  <c r="F482" i="19" s="1"/>
  <c r="B490" i="19"/>
  <c r="F490" i="19" s="1"/>
  <c r="B498" i="19"/>
  <c r="F498" i="19" s="1"/>
  <c r="B506" i="19"/>
  <c r="F506" i="19" s="1"/>
  <c r="B514" i="19"/>
  <c r="F514" i="19" s="1"/>
  <c r="B522" i="19"/>
  <c r="F522" i="19" s="1"/>
  <c r="B546" i="19"/>
  <c r="F546" i="19" s="1"/>
  <c r="B554" i="19"/>
  <c r="F554" i="19" s="1"/>
  <c r="B562" i="19"/>
  <c r="F562" i="19" s="1"/>
  <c r="B570" i="19"/>
  <c r="F570" i="19" s="1"/>
  <c r="B578" i="19"/>
  <c r="F578" i="19" s="1"/>
  <c r="B586" i="19"/>
  <c r="F586" i="19" s="1"/>
  <c r="B594" i="19"/>
  <c r="F594" i="19" s="1"/>
  <c r="B602" i="19"/>
  <c r="F602" i="19" s="1"/>
  <c r="B610" i="19"/>
  <c r="F610" i="19" s="1"/>
  <c r="B618" i="19"/>
  <c r="F618" i="19" s="1"/>
  <c r="B626" i="19"/>
  <c r="F626" i="19" s="1"/>
  <c r="B634" i="19"/>
  <c r="F634" i="19" s="1"/>
  <c r="B642" i="19"/>
  <c r="F642" i="19" s="1"/>
  <c r="B650" i="19"/>
  <c r="F650" i="19" s="1"/>
  <c r="B658" i="19"/>
  <c r="F658" i="19" s="1"/>
  <c r="B666" i="19"/>
  <c r="F666" i="19" s="1"/>
  <c r="B674" i="19"/>
  <c r="F674" i="19" s="1"/>
  <c r="B682" i="19"/>
  <c r="F682" i="19" s="1"/>
  <c r="B690" i="19"/>
  <c r="F690" i="19" s="1"/>
  <c r="B698" i="19"/>
  <c r="F698" i="19" s="1"/>
  <c r="B706" i="19"/>
  <c r="F706" i="19" s="1"/>
  <c r="B714" i="19"/>
  <c r="F714" i="19" s="1"/>
  <c r="B722" i="19"/>
  <c r="F722" i="19" s="1"/>
  <c r="B730" i="19"/>
  <c r="F730" i="19" s="1"/>
  <c r="B738" i="19"/>
  <c r="F738" i="19" s="1"/>
  <c r="B746" i="19"/>
  <c r="F746" i="19" s="1"/>
  <c r="B754" i="19"/>
  <c r="F754" i="19" s="1"/>
  <c r="B762" i="19"/>
  <c r="F762" i="19" s="1"/>
  <c r="B770" i="19"/>
  <c r="F770" i="19" s="1"/>
  <c r="B778" i="19"/>
  <c r="F778" i="19" s="1"/>
  <c r="B810" i="19"/>
  <c r="F810" i="19" s="1"/>
  <c r="B818" i="19"/>
  <c r="F818" i="19" s="1"/>
  <c r="B826" i="19"/>
  <c r="F826" i="19" s="1"/>
  <c r="B834" i="19"/>
  <c r="F834" i="19" s="1"/>
  <c r="B842" i="19"/>
  <c r="F842" i="19" s="1"/>
  <c r="B850" i="19"/>
  <c r="F850" i="19" s="1"/>
  <c r="B858" i="19"/>
  <c r="F858" i="19" s="1"/>
  <c r="B866" i="19"/>
  <c r="F866" i="19" s="1"/>
  <c r="B874" i="19"/>
  <c r="F874" i="19" s="1"/>
  <c r="B882" i="19"/>
  <c r="F882" i="19" s="1"/>
  <c r="B890" i="19"/>
  <c r="F890" i="19" s="1"/>
  <c r="B898" i="19"/>
  <c r="F898" i="19" s="1"/>
  <c r="B906" i="19"/>
  <c r="F906" i="19" s="1"/>
  <c r="B914" i="19"/>
  <c r="F914" i="19" s="1"/>
  <c r="B922" i="19"/>
  <c r="F922" i="19" s="1"/>
  <c r="B930" i="19"/>
  <c r="F930" i="19" s="1"/>
  <c r="B938" i="19"/>
  <c r="F938" i="19" s="1"/>
  <c r="B946" i="19"/>
  <c r="F946" i="19" s="1"/>
  <c r="B954" i="19"/>
  <c r="F954" i="19" s="1"/>
  <c r="B962" i="19"/>
  <c r="F962" i="19" s="1"/>
  <c r="B970" i="19"/>
  <c r="F970" i="19" s="1"/>
  <c r="B978" i="19"/>
  <c r="F978" i="19" s="1"/>
  <c r="B986" i="19"/>
  <c r="F986" i="19" s="1"/>
  <c r="B994" i="19"/>
  <c r="F994" i="19" s="1"/>
  <c r="B1002" i="19"/>
  <c r="F1002" i="19" s="1"/>
  <c r="B1010" i="19"/>
  <c r="F1010" i="19" s="1"/>
  <c r="B1018" i="19"/>
  <c r="F1018" i="19" s="1"/>
  <c r="B1026" i="19"/>
  <c r="F1026" i="19" s="1"/>
  <c r="B1034" i="19"/>
  <c r="F1034" i="19" s="1"/>
  <c r="B1042" i="19"/>
  <c r="F1042" i="19" s="1"/>
  <c r="B1074" i="19"/>
  <c r="F1074" i="19" s="1"/>
  <c r="B1082" i="19"/>
  <c r="F1082" i="19" s="1"/>
  <c r="B1090" i="19"/>
  <c r="F1090" i="19" s="1"/>
  <c r="B1098" i="19"/>
  <c r="F1098" i="19" s="1"/>
  <c r="B1106" i="19"/>
  <c r="F1106" i="19" s="1"/>
  <c r="B1114" i="19"/>
  <c r="F1114" i="19" s="1"/>
  <c r="B1122" i="19"/>
  <c r="F1122" i="19" s="1"/>
  <c r="B1130" i="19"/>
  <c r="F1130" i="19" s="1"/>
  <c r="B1138" i="19"/>
  <c r="F1138" i="19" s="1"/>
  <c r="B1146" i="19"/>
  <c r="F1146" i="19" s="1"/>
  <c r="B1154" i="19"/>
  <c r="F1154" i="19" s="1"/>
  <c r="B1162" i="19"/>
  <c r="F1162" i="19" s="1"/>
  <c r="B1170" i="19"/>
  <c r="F1170" i="19" s="1"/>
  <c r="B1178" i="19"/>
  <c r="F1178" i="19" s="1"/>
  <c r="B1186" i="19"/>
  <c r="F1186" i="19" s="1"/>
  <c r="B1194" i="19"/>
  <c r="F1194" i="19" s="1"/>
  <c r="B1202" i="19"/>
  <c r="F1202" i="19" s="1"/>
  <c r="B1210" i="19"/>
  <c r="F1210" i="19" s="1"/>
  <c r="B1218" i="19"/>
  <c r="F1218" i="19" s="1"/>
  <c r="B1226" i="19"/>
  <c r="F1226" i="19" s="1"/>
  <c r="B1234" i="19"/>
  <c r="F1234" i="19" s="1"/>
  <c r="B1242" i="19"/>
  <c r="F1242" i="19" s="1"/>
  <c r="B1250" i="19"/>
  <c r="F1250" i="19" s="1"/>
  <c r="B1258" i="19"/>
  <c r="F1258" i="19" s="1"/>
  <c r="B1266" i="19"/>
  <c r="F1266" i="19" s="1"/>
  <c r="B1274" i="19"/>
  <c r="F1274" i="19" s="1"/>
  <c r="B1282" i="19"/>
  <c r="F1282" i="19" s="1"/>
  <c r="B1290" i="19"/>
  <c r="F1290" i="19" s="1"/>
  <c r="B1298" i="19"/>
  <c r="F1298" i="19" s="1"/>
  <c r="B1306" i="19"/>
  <c r="F1306" i="19" s="1"/>
  <c r="B1330" i="19"/>
  <c r="F1330" i="19" s="1"/>
  <c r="B1338" i="19"/>
  <c r="F1338" i="19" s="1"/>
  <c r="B1346" i="19"/>
  <c r="F1346" i="19" s="1"/>
  <c r="B1354" i="19"/>
  <c r="F1354" i="19" s="1"/>
  <c r="B1362" i="19"/>
  <c r="F1362" i="19" s="1"/>
  <c r="B1370" i="19"/>
  <c r="F1370" i="19" s="1"/>
  <c r="B1378" i="19"/>
  <c r="F1378" i="19" s="1"/>
  <c r="B1386" i="19"/>
  <c r="F1386" i="19" s="1"/>
  <c r="B1394" i="19"/>
  <c r="F1394" i="19" s="1"/>
  <c r="B1402" i="19"/>
  <c r="F1402" i="19" s="1"/>
  <c r="B1410" i="19"/>
  <c r="F1410" i="19" s="1"/>
  <c r="B1418" i="19"/>
  <c r="F1418" i="19" s="1"/>
  <c r="B1426" i="19"/>
  <c r="F1426" i="19" s="1"/>
  <c r="B1434" i="19"/>
  <c r="F1434" i="19" s="1"/>
  <c r="B1442" i="19"/>
  <c r="F1442" i="19" s="1"/>
  <c r="B1450" i="19"/>
  <c r="F1450" i="19" s="1"/>
  <c r="B1458" i="19"/>
  <c r="F1458" i="19" s="1"/>
  <c r="B1466" i="19"/>
  <c r="F1466" i="19" s="1"/>
  <c r="B1474" i="19"/>
  <c r="F1474" i="19" s="1"/>
  <c r="B1482" i="19"/>
  <c r="F1482" i="19" s="1"/>
  <c r="B1490" i="19"/>
  <c r="F1490" i="19" s="1"/>
  <c r="B1498" i="19"/>
  <c r="F1498" i="19" s="1"/>
  <c r="B1506" i="19"/>
  <c r="F1506" i="19" s="1"/>
  <c r="B1514" i="19"/>
  <c r="F1514" i="19" s="1"/>
  <c r="B1522" i="19"/>
  <c r="F1522" i="19" s="1"/>
  <c r="B1530" i="19"/>
  <c r="F1530" i="19" s="1"/>
  <c r="B1538" i="19"/>
  <c r="F1538" i="19" s="1"/>
  <c r="B1546" i="19"/>
  <c r="F1546" i="19" s="1"/>
  <c r="B1554" i="19"/>
  <c r="F1554" i="19" s="1"/>
  <c r="B1562" i="19"/>
  <c r="F1562" i="19" s="1"/>
  <c r="B1594" i="19"/>
  <c r="F1594" i="19" s="1"/>
  <c r="B1602" i="19"/>
  <c r="F1602" i="19" s="1"/>
  <c r="B1610" i="19"/>
  <c r="F1610" i="19" s="1"/>
  <c r="B1618" i="19"/>
  <c r="F1618" i="19" s="1"/>
  <c r="B1626" i="19"/>
  <c r="F1626" i="19" s="1"/>
  <c r="B1634" i="19"/>
  <c r="F1634" i="19" s="1"/>
  <c r="B1642" i="19"/>
  <c r="F1642" i="19" s="1"/>
  <c r="B1650" i="19"/>
  <c r="F1650" i="19" s="1"/>
  <c r="B1658" i="19"/>
  <c r="F1658" i="19" s="1"/>
  <c r="B1666" i="19"/>
  <c r="F1666" i="19" s="1"/>
  <c r="B1674" i="19"/>
  <c r="F1674" i="19" s="1"/>
  <c r="B1682" i="19"/>
  <c r="F1682" i="19" s="1"/>
  <c r="B1690" i="19"/>
  <c r="F1690" i="19" s="1"/>
  <c r="B1698" i="19"/>
  <c r="F1698" i="19" s="1"/>
  <c r="B1706" i="19"/>
  <c r="F1706" i="19" s="1"/>
  <c r="B1714" i="19"/>
  <c r="F1714" i="19" s="1"/>
  <c r="B1722" i="19"/>
  <c r="F1722" i="19" s="1"/>
  <c r="B1730" i="19"/>
  <c r="F1730" i="19" s="1"/>
  <c r="B1738" i="19"/>
  <c r="F1738" i="19" s="1"/>
  <c r="B1746" i="19"/>
  <c r="F1746" i="19" s="1"/>
  <c r="B1754" i="19"/>
  <c r="F1754" i="19" s="1"/>
  <c r="B1762" i="19"/>
  <c r="F1762" i="19" s="1"/>
  <c r="B1770" i="19"/>
  <c r="F1770" i="19" s="1"/>
  <c r="B1778" i="19"/>
  <c r="F1778" i="19" s="1"/>
  <c r="B1786" i="19"/>
  <c r="F1786" i="19" s="1"/>
  <c r="B1794" i="19"/>
  <c r="F1794" i="19" s="1"/>
  <c r="B1802" i="19"/>
  <c r="F1802" i="19" s="1"/>
  <c r="B1810" i="19"/>
  <c r="F1810" i="19" s="1"/>
  <c r="B1818" i="19"/>
  <c r="F1818" i="19" s="1"/>
  <c r="B1826" i="19"/>
  <c r="F1826" i="19" s="1"/>
  <c r="B1858" i="19"/>
  <c r="F1858" i="19" s="1"/>
  <c r="B1866" i="19"/>
  <c r="F1866" i="19" s="1"/>
  <c r="B1874" i="19"/>
  <c r="F1874" i="19" s="1"/>
  <c r="B1882" i="19"/>
  <c r="F1882" i="19" s="1"/>
  <c r="B1890" i="19"/>
  <c r="F1890" i="19" s="1"/>
  <c r="B1898" i="19"/>
  <c r="F1898" i="19" s="1"/>
  <c r="B1906" i="19"/>
  <c r="F1906" i="19" s="1"/>
  <c r="B1914" i="19"/>
  <c r="F1914" i="19" s="1"/>
  <c r="B1922" i="19"/>
  <c r="F1922" i="19" s="1"/>
  <c r="B1930" i="19"/>
  <c r="F1930" i="19" s="1"/>
  <c r="B1938" i="19"/>
  <c r="F1938" i="19" s="1"/>
  <c r="B1946" i="19"/>
  <c r="F1946" i="19" s="1"/>
  <c r="B1954" i="19"/>
  <c r="F1954" i="19" s="1"/>
  <c r="B1962" i="19"/>
  <c r="F1962" i="19" s="1"/>
  <c r="B1970" i="19"/>
  <c r="F1970" i="19" s="1"/>
  <c r="B1978" i="19"/>
  <c r="F1978" i="19" s="1"/>
  <c r="B1986" i="19"/>
  <c r="F1986" i="19" s="1"/>
  <c r="B1994" i="19"/>
  <c r="F1994" i="19" s="1"/>
  <c r="B2002" i="19"/>
  <c r="F2002" i="19" s="1"/>
  <c r="B2010" i="19"/>
  <c r="F2010" i="19" s="1"/>
  <c r="B2018" i="19"/>
  <c r="F2018" i="19" s="1"/>
  <c r="B2026" i="19"/>
  <c r="F2026" i="19" s="1"/>
  <c r="B2034" i="19"/>
  <c r="F2034" i="19" s="1"/>
  <c r="B2042" i="19"/>
  <c r="F2042" i="19" s="1"/>
  <c r="B2050" i="19"/>
  <c r="F2050" i="19" s="1"/>
  <c r="B2058" i="19"/>
  <c r="F2058" i="19" s="1"/>
  <c r="B2066" i="19"/>
  <c r="F2066" i="19" s="1"/>
  <c r="B2074" i="19"/>
  <c r="F2074" i="19" s="1"/>
  <c r="B2082" i="19"/>
  <c r="F2082" i="19" s="1"/>
  <c r="B2090" i="19"/>
  <c r="F2090" i="19" s="1"/>
  <c r="B2114" i="19"/>
  <c r="F2114" i="19" s="1"/>
  <c r="B2122" i="19"/>
  <c r="F2122" i="19" s="1"/>
  <c r="B2130" i="19"/>
  <c r="F2130" i="19" s="1"/>
  <c r="B2138" i="19"/>
  <c r="F2138" i="19" s="1"/>
  <c r="B2146" i="19"/>
  <c r="F2146" i="19" s="1"/>
  <c r="B2154" i="19"/>
  <c r="F2154" i="19" s="1"/>
  <c r="B1163" i="19"/>
  <c r="F1163" i="19" s="1"/>
  <c r="B1171" i="19"/>
  <c r="F1171" i="19" s="1"/>
  <c r="B1179" i="19"/>
  <c r="F1179" i="19" s="1"/>
  <c r="B1187" i="19"/>
  <c r="F1187" i="19" s="1"/>
  <c r="B1195" i="19"/>
  <c r="F1195" i="19" s="1"/>
  <c r="B1203" i="19"/>
  <c r="F1203" i="19" s="1"/>
  <c r="B1211" i="19"/>
  <c r="F1211" i="19" s="1"/>
  <c r="B1219" i="19"/>
  <c r="F1219" i="19" s="1"/>
  <c r="B1227" i="19"/>
  <c r="F1227" i="19" s="1"/>
  <c r="B1235" i="19"/>
  <c r="F1235" i="19" s="1"/>
  <c r="B1243" i="19"/>
  <c r="F1243" i="19" s="1"/>
  <c r="B1251" i="19"/>
  <c r="F1251" i="19" s="1"/>
  <c r="B1259" i="19"/>
  <c r="F1259" i="19" s="1"/>
  <c r="B1267" i="19"/>
  <c r="F1267" i="19" s="1"/>
  <c r="B1275" i="19"/>
  <c r="F1275" i="19" s="1"/>
  <c r="B1283" i="19"/>
  <c r="F1283" i="19" s="1"/>
  <c r="B1291" i="19"/>
  <c r="F1291" i="19" s="1"/>
  <c r="B1299" i="19"/>
  <c r="F1299" i="19" s="1"/>
  <c r="B1331" i="19"/>
  <c r="F1331" i="19" s="1"/>
  <c r="B1339" i="19"/>
  <c r="F1339" i="19" s="1"/>
  <c r="B1347" i="19"/>
  <c r="F1347" i="19" s="1"/>
  <c r="B1355" i="19"/>
  <c r="F1355" i="19" s="1"/>
  <c r="B1363" i="19"/>
  <c r="F1363" i="19" s="1"/>
  <c r="B1371" i="19"/>
  <c r="F1371" i="19" s="1"/>
  <c r="B1379" i="19"/>
  <c r="F1379" i="19" s="1"/>
  <c r="B1387" i="19"/>
  <c r="F1387" i="19" s="1"/>
  <c r="B1395" i="19"/>
  <c r="F1395" i="19" s="1"/>
  <c r="B1403" i="19"/>
  <c r="F1403" i="19" s="1"/>
  <c r="B1411" i="19"/>
  <c r="F1411" i="19" s="1"/>
  <c r="B1419" i="19"/>
  <c r="F1419" i="19" s="1"/>
  <c r="B1427" i="19"/>
  <c r="F1427" i="19" s="1"/>
  <c r="B1435" i="19"/>
  <c r="F1435" i="19" s="1"/>
  <c r="B1443" i="19"/>
  <c r="F1443" i="19" s="1"/>
  <c r="B1451" i="19"/>
  <c r="F1451" i="19" s="1"/>
  <c r="B1459" i="19"/>
  <c r="F1459" i="19" s="1"/>
  <c r="B1467" i="19"/>
  <c r="F1467" i="19" s="1"/>
  <c r="B1475" i="19"/>
  <c r="F1475" i="19" s="1"/>
  <c r="B1483" i="19"/>
  <c r="F1483" i="19" s="1"/>
  <c r="B1491" i="19"/>
  <c r="F1491" i="19" s="1"/>
  <c r="B1499" i="19"/>
  <c r="F1499" i="19" s="1"/>
  <c r="B1507" i="19"/>
  <c r="F1507" i="19" s="1"/>
  <c r="B1515" i="19"/>
  <c r="F1515" i="19" s="1"/>
  <c r="B1523" i="19"/>
  <c r="F1523" i="19" s="1"/>
  <c r="B1531" i="19"/>
  <c r="F1531" i="19" s="1"/>
  <c r="B1539" i="19"/>
  <c r="F1539" i="19" s="1"/>
  <c r="B1547" i="19"/>
  <c r="F1547" i="19" s="1"/>
  <c r="B1555" i="19"/>
  <c r="F1555" i="19" s="1"/>
  <c r="B1563" i="19"/>
  <c r="F1563" i="19" s="1"/>
  <c r="B1595" i="19"/>
  <c r="F1595" i="19" s="1"/>
  <c r="B1603" i="19"/>
  <c r="F1603" i="19" s="1"/>
  <c r="B1611" i="19"/>
  <c r="F1611" i="19" s="1"/>
  <c r="B1619" i="19"/>
  <c r="F1619" i="19" s="1"/>
  <c r="B1627" i="19"/>
  <c r="F1627" i="19" s="1"/>
  <c r="B1635" i="19"/>
  <c r="F1635" i="19" s="1"/>
  <c r="B1643" i="19"/>
  <c r="F1643" i="19" s="1"/>
  <c r="B1651" i="19"/>
  <c r="F1651" i="19" s="1"/>
  <c r="B1659" i="19"/>
  <c r="F1659" i="19" s="1"/>
  <c r="B1667" i="19"/>
  <c r="F1667" i="19" s="1"/>
  <c r="B1675" i="19"/>
  <c r="F1675" i="19" s="1"/>
  <c r="B1683" i="19"/>
  <c r="F1683" i="19" s="1"/>
  <c r="B1691" i="19"/>
  <c r="F1691" i="19" s="1"/>
  <c r="B1699" i="19"/>
  <c r="F1699" i="19" s="1"/>
  <c r="B1707" i="19"/>
  <c r="F1707" i="19" s="1"/>
  <c r="B1715" i="19"/>
  <c r="F1715" i="19" s="1"/>
  <c r="B1723" i="19"/>
  <c r="F1723" i="19" s="1"/>
  <c r="B1731" i="19"/>
  <c r="F1731" i="19" s="1"/>
  <c r="B1739" i="19"/>
  <c r="F1739" i="19" s="1"/>
  <c r="B1747" i="19"/>
  <c r="F1747" i="19" s="1"/>
  <c r="B1755" i="19"/>
  <c r="F1755" i="19" s="1"/>
  <c r="B1763" i="19"/>
  <c r="F1763" i="19" s="1"/>
  <c r="B1771" i="19"/>
  <c r="F1771" i="19" s="1"/>
  <c r="B1779" i="19"/>
  <c r="F1779" i="19" s="1"/>
  <c r="B1787" i="19"/>
  <c r="F1787" i="19" s="1"/>
  <c r="B1795" i="19"/>
  <c r="F1795" i="19" s="1"/>
  <c r="B1803" i="19"/>
  <c r="F1803" i="19" s="1"/>
  <c r="B1811" i="19"/>
  <c r="F1811" i="19" s="1"/>
  <c r="B1819" i="19"/>
  <c r="F1819" i="19" s="1"/>
  <c r="B1827" i="19"/>
  <c r="F1827" i="19" s="1"/>
  <c r="B1851" i="19"/>
  <c r="F1851" i="19" s="1"/>
  <c r="B1859" i="19"/>
  <c r="F1859" i="19" s="1"/>
  <c r="B1867" i="19"/>
  <c r="F1867" i="19" s="1"/>
  <c r="B1875" i="19"/>
  <c r="F1875" i="19" s="1"/>
  <c r="B1883" i="19"/>
  <c r="F1883" i="19" s="1"/>
  <c r="B1891" i="19"/>
  <c r="F1891" i="19" s="1"/>
  <c r="B1899" i="19"/>
  <c r="F1899" i="19" s="1"/>
  <c r="B1907" i="19"/>
  <c r="F1907" i="19" s="1"/>
  <c r="B1915" i="19"/>
  <c r="F1915" i="19" s="1"/>
  <c r="B1923" i="19"/>
  <c r="F1923" i="19" s="1"/>
  <c r="B1931" i="19"/>
  <c r="F1931" i="19" s="1"/>
  <c r="B1939" i="19"/>
  <c r="F1939" i="19" s="1"/>
  <c r="B1947" i="19"/>
  <c r="F1947" i="19" s="1"/>
  <c r="B1955" i="19"/>
  <c r="F1955" i="19" s="1"/>
  <c r="B1963" i="19"/>
  <c r="F1963" i="19" s="1"/>
  <c r="B1971" i="19"/>
  <c r="F1971" i="19" s="1"/>
  <c r="B1979" i="19"/>
  <c r="F1979" i="19" s="1"/>
  <c r="B1987" i="19"/>
  <c r="F1987" i="19" s="1"/>
  <c r="B1995" i="19"/>
  <c r="F1995" i="19" s="1"/>
  <c r="B2003" i="19"/>
  <c r="F2003" i="19" s="1"/>
  <c r="B2011" i="19"/>
  <c r="F2011" i="19" s="1"/>
  <c r="B2019" i="19"/>
  <c r="F2019" i="19" s="1"/>
  <c r="B2027" i="19"/>
  <c r="F2027" i="19" s="1"/>
  <c r="B2035" i="19"/>
  <c r="F2035" i="19" s="1"/>
  <c r="B2043" i="19"/>
  <c r="F2043" i="19" s="1"/>
  <c r="B2051" i="19"/>
  <c r="F2051" i="19" s="1"/>
  <c r="B2059" i="19"/>
  <c r="F2059" i="19" s="1"/>
  <c r="B2067" i="19"/>
  <c r="F2067" i="19" s="1"/>
  <c r="B2075" i="19"/>
  <c r="F2075" i="19" s="1"/>
  <c r="B2083" i="19"/>
  <c r="F2083" i="19" s="1"/>
  <c r="B2115" i="19"/>
  <c r="F2115" i="19" s="1"/>
  <c r="B2123" i="19"/>
  <c r="F2123" i="19" s="1"/>
  <c r="B2131" i="19"/>
  <c r="F2131" i="19" s="1"/>
  <c r="B2139" i="19"/>
  <c r="F2139" i="19" s="1"/>
  <c r="B2147" i="19"/>
  <c r="F2147" i="19" s="1"/>
  <c r="B1252" i="19"/>
  <c r="F1252" i="19" s="1"/>
  <c r="B1260" i="19"/>
  <c r="F1260" i="19" s="1"/>
  <c r="B1268" i="19"/>
  <c r="F1268" i="19" s="1"/>
  <c r="B1276" i="19"/>
  <c r="F1276" i="19" s="1"/>
  <c r="B1284" i="19"/>
  <c r="F1284" i="19" s="1"/>
  <c r="B1292" i="19"/>
  <c r="F1292" i="19" s="1"/>
  <c r="B1300" i="19"/>
  <c r="F1300" i="19" s="1"/>
  <c r="B1332" i="19"/>
  <c r="F1332" i="19" s="1"/>
  <c r="B1340" i="19"/>
  <c r="F1340" i="19" s="1"/>
  <c r="B1348" i="19"/>
  <c r="F1348" i="19" s="1"/>
  <c r="B1356" i="19"/>
  <c r="F1356" i="19" s="1"/>
  <c r="B1364" i="19"/>
  <c r="F1364" i="19" s="1"/>
  <c r="B1372" i="19"/>
  <c r="F1372" i="19" s="1"/>
  <c r="B1380" i="19"/>
  <c r="F1380" i="19" s="1"/>
  <c r="B1388" i="19"/>
  <c r="F1388" i="19" s="1"/>
  <c r="B1396" i="19"/>
  <c r="F1396" i="19" s="1"/>
  <c r="B1404" i="19"/>
  <c r="F1404" i="19" s="1"/>
  <c r="B1412" i="19"/>
  <c r="F1412" i="19" s="1"/>
  <c r="B1420" i="19"/>
  <c r="F1420" i="19" s="1"/>
  <c r="B1428" i="19"/>
  <c r="F1428" i="19" s="1"/>
  <c r="B1436" i="19"/>
  <c r="F1436" i="19" s="1"/>
  <c r="B1444" i="19"/>
  <c r="F1444" i="19" s="1"/>
  <c r="B1452" i="19"/>
  <c r="F1452" i="19" s="1"/>
  <c r="B1460" i="19"/>
  <c r="F1460" i="19" s="1"/>
  <c r="B1468" i="19"/>
  <c r="F1468" i="19" s="1"/>
  <c r="B1476" i="19"/>
  <c r="F1476" i="19" s="1"/>
  <c r="B1484" i="19"/>
  <c r="F1484" i="19" s="1"/>
  <c r="B1492" i="19"/>
  <c r="F1492" i="19" s="1"/>
  <c r="B1500" i="19"/>
  <c r="F1500" i="19" s="1"/>
  <c r="B1508" i="19"/>
  <c r="F1508" i="19" s="1"/>
  <c r="B1516" i="19"/>
  <c r="F1516" i="19" s="1"/>
  <c r="B1524" i="19"/>
  <c r="F1524" i="19" s="1"/>
  <c r="B1532" i="19"/>
  <c r="F1532" i="19" s="1"/>
  <c r="B1540" i="19"/>
  <c r="F1540" i="19" s="1"/>
  <c r="B1548" i="19"/>
  <c r="F1548" i="19" s="1"/>
  <c r="B1556" i="19"/>
  <c r="F1556" i="19" s="1"/>
  <c r="B1564" i="19"/>
  <c r="F1564" i="19" s="1"/>
  <c r="B1596" i="19"/>
  <c r="F1596" i="19" s="1"/>
  <c r="B1604" i="19"/>
  <c r="F1604" i="19" s="1"/>
  <c r="B1612" i="19"/>
  <c r="F1612" i="19" s="1"/>
  <c r="B1620" i="19"/>
  <c r="F1620" i="19" s="1"/>
  <c r="B1628" i="19"/>
  <c r="F1628" i="19" s="1"/>
  <c r="B1636" i="19"/>
  <c r="F1636" i="19" s="1"/>
  <c r="B1644" i="19"/>
  <c r="F1644" i="19" s="1"/>
  <c r="B1652" i="19"/>
  <c r="F1652" i="19" s="1"/>
  <c r="B1660" i="19"/>
  <c r="F1660" i="19" s="1"/>
  <c r="B1668" i="19"/>
  <c r="F1668" i="19" s="1"/>
  <c r="B1676" i="19"/>
  <c r="F1676" i="19" s="1"/>
  <c r="B1684" i="19"/>
  <c r="F1684" i="19" s="1"/>
  <c r="B1692" i="19"/>
  <c r="F1692" i="19" s="1"/>
  <c r="B1700" i="19"/>
  <c r="F1700" i="19" s="1"/>
  <c r="B1708" i="19"/>
  <c r="F1708" i="19" s="1"/>
  <c r="B1716" i="19"/>
  <c r="F1716" i="19" s="1"/>
  <c r="B1724" i="19"/>
  <c r="F1724" i="19" s="1"/>
  <c r="B1732" i="19"/>
  <c r="F1732" i="19" s="1"/>
  <c r="B1740" i="19"/>
  <c r="F1740" i="19" s="1"/>
  <c r="B1748" i="19"/>
  <c r="F1748" i="19" s="1"/>
  <c r="B1756" i="19"/>
  <c r="F1756" i="19" s="1"/>
  <c r="B1764" i="19"/>
  <c r="F1764" i="19" s="1"/>
  <c r="B1772" i="19"/>
  <c r="F1772" i="19" s="1"/>
  <c r="B1780" i="19"/>
  <c r="F1780" i="19" s="1"/>
  <c r="B1788" i="19"/>
  <c r="F1788" i="19" s="1"/>
  <c r="B1796" i="19"/>
  <c r="F1796" i="19" s="1"/>
  <c r="B1804" i="19"/>
  <c r="F1804" i="19" s="1"/>
  <c r="B1812" i="19"/>
  <c r="F1812" i="19" s="1"/>
  <c r="B1820" i="19"/>
  <c r="F1820" i="19" s="1"/>
  <c r="B1828" i="19"/>
  <c r="F1828" i="19" s="1"/>
  <c r="B1852" i="19"/>
  <c r="F1852" i="19" s="1"/>
  <c r="B1860" i="19"/>
  <c r="F1860" i="19" s="1"/>
  <c r="B1868" i="19"/>
  <c r="F1868" i="19" s="1"/>
  <c r="B1876" i="19"/>
  <c r="F1876" i="19" s="1"/>
  <c r="B1884" i="19"/>
  <c r="F1884" i="19" s="1"/>
  <c r="B1892" i="19"/>
  <c r="F1892" i="19" s="1"/>
  <c r="B1900" i="19"/>
  <c r="F1900" i="19" s="1"/>
  <c r="B1908" i="19"/>
  <c r="F1908" i="19" s="1"/>
  <c r="B1916" i="19"/>
  <c r="F1916" i="19" s="1"/>
  <c r="B1924" i="19"/>
  <c r="F1924" i="19" s="1"/>
  <c r="B1932" i="19"/>
  <c r="F1932" i="19" s="1"/>
  <c r="B1940" i="19"/>
  <c r="F1940" i="19" s="1"/>
  <c r="B1948" i="19"/>
  <c r="F1948" i="19" s="1"/>
  <c r="B1956" i="19"/>
  <c r="F1956" i="19" s="1"/>
  <c r="B1964" i="19"/>
  <c r="F1964" i="19" s="1"/>
  <c r="B1972" i="19"/>
  <c r="F1972" i="19" s="1"/>
  <c r="B1980" i="19"/>
  <c r="F1980" i="19" s="1"/>
  <c r="B1988" i="19"/>
  <c r="F1988" i="19" s="1"/>
  <c r="B1996" i="19"/>
  <c r="F1996" i="19" s="1"/>
  <c r="B2004" i="19"/>
  <c r="F2004" i="19" s="1"/>
  <c r="B2012" i="19"/>
  <c r="F2012" i="19" s="1"/>
  <c r="B2020" i="19"/>
  <c r="F2020" i="19" s="1"/>
  <c r="B2028" i="19"/>
  <c r="F2028" i="19" s="1"/>
  <c r="B2036" i="19"/>
  <c r="F2036" i="19" s="1"/>
  <c r="B2044" i="19"/>
  <c r="F2044" i="19" s="1"/>
  <c r="B2052" i="19"/>
  <c r="F2052" i="19" s="1"/>
  <c r="B2060" i="19"/>
  <c r="F2060" i="19" s="1"/>
  <c r="B2068" i="19"/>
  <c r="F2068" i="19" s="1"/>
  <c r="B2076" i="19"/>
  <c r="F2076" i="19" s="1"/>
  <c r="B2084" i="19"/>
  <c r="F2084" i="19" s="1"/>
  <c r="B2116" i="19"/>
  <c r="F2116" i="19" s="1"/>
  <c r="B2124" i="19"/>
  <c r="F2124" i="19" s="1"/>
  <c r="B2132" i="19"/>
  <c r="F2132" i="19" s="1"/>
  <c r="B2140" i="19"/>
  <c r="F2140" i="19" s="1"/>
  <c r="B2148" i="19"/>
  <c r="F2148" i="19" s="1"/>
  <c r="B877" i="19"/>
  <c r="F877" i="19" s="1"/>
  <c r="B885" i="19"/>
  <c r="F885" i="19" s="1"/>
  <c r="B893" i="19"/>
  <c r="F893" i="19" s="1"/>
  <c r="B901" i="19"/>
  <c r="F901" i="19" s="1"/>
  <c r="B909" i="19"/>
  <c r="F909" i="19" s="1"/>
  <c r="B917" i="19"/>
  <c r="F917" i="19" s="1"/>
  <c r="B925" i="19"/>
  <c r="F925" i="19" s="1"/>
  <c r="B933" i="19"/>
  <c r="F933" i="19" s="1"/>
  <c r="B941" i="19"/>
  <c r="F941" i="19" s="1"/>
  <c r="B949" i="19"/>
  <c r="F949" i="19" s="1"/>
  <c r="B957" i="19"/>
  <c r="F957" i="19" s="1"/>
  <c r="B965" i="19"/>
  <c r="F965" i="19" s="1"/>
  <c r="B973" i="19"/>
  <c r="F973" i="19" s="1"/>
  <c r="B981" i="19"/>
  <c r="F981" i="19" s="1"/>
  <c r="B989" i="19"/>
  <c r="F989" i="19" s="1"/>
  <c r="B997" i="19"/>
  <c r="F997" i="19" s="1"/>
  <c r="B1005" i="19"/>
  <c r="F1005" i="19" s="1"/>
  <c r="B1013" i="19"/>
  <c r="F1013" i="19" s="1"/>
  <c r="B1021" i="19"/>
  <c r="F1021" i="19" s="1"/>
  <c r="B1029" i="19"/>
  <c r="F1029" i="19" s="1"/>
  <c r="B1037" i="19"/>
  <c r="F1037" i="19" s="1"/>
  <c r="B1045" i="19"/>
  <c r="F1045" i="19" s="1"/>
  <c r="B1069" i="19"/>
  <c r="F1069" i="19" s="1"/>
  <c r="B1077" i="19"/>
  <c r="F1077" i="19" s="1"/>
  <c r="B1085" i="19"/>
  <c r="F1085" i="19" s="1"/>
  <c r="B1093" i="19"/>
  <c r="F1093" i="19" s="1"/>
  <c r="B1101" i="19"/>
  <c r="F1101" i="19" s="1"/>
  <c r="B1109" i="19"/>
  <c r="F1109" i="19" s="1"/>
  <c r="B1117" i="19"/>
  <c r="F1117" i="19" s="1"/>
  <c r="B1125" i="19"/>
  <c r="F1125" i="19" s="1"/>
  <c r="B1133" i="19"/>
  <c r="F1133" i="19" s="1"/>
  <c r="B1141" i="19"/>
  <c r="F1141" i="19" s="1"/>
  <c r="B1149" i="19"/>
  <c r="F1149" i="19" s="1"/>
  <c r="B1157" i="19"/>
  <c r="F1157" i="19" s="1"/>
  <c r="B1165" i="19"/>
  <c r="F1165" i="19" s="1"/>
  <c r="B1173" i="19"/>
  <c r="F1173" i="19" s="1"/>
  <c r="B1181" i="19"/>
  <c r="F1181" i="19" s="1"/>
  <c r="B1189" i="19"/>
  <c r="F1189" i="19" s="1"/>
  <c r="B1197" i="19"/>
  <c r="F1197" i="19" s="1"/>
  <c r="B1205" i="19"/>
  <c r="F1205" i="19" s="1"/>
  <c r="B1213" i="19"/>
  <c r="F1213" i="19" s="1"/>
  <c r="B1221" i="19"/>
  <c r="F1221" i="19" s="1"/>
  <c r="B1229" i="19"/>
  <c r="F1229" i="19" s="1"/>
  <c r="B1237" i="19"/>
  <c r="F1237" i="19" s="1"/>
  <c r="B1245" i="19"/>
  <c r="F1245" i="19" s="1"/>
  <c r="B1253" i="19"/>
  <c r="F1253" i="19" s="1"/>
  <c r="B1261" i="19"/>
  <c r="F1261" i="19" s="1"/>
  <c r="B1269" i="19"/>
  <c r="F1269" i="19" s="1"/>
  <c r="B1277" i="19"/>
  <c r="F1277" i="19" s="1"/>
  <c r="B1285" i="19"/>
  <c r="F1285" i="19" s="1"/>
  <c r="B1293" i="19"/>
  <c r="F1293" i="19" s="1"/>
  <c r="B1301" i="19"/>
  <c r="F1301" i="19" s="1"/>
  <c r="B1333" i="19"/>
  <c r="F1333" i="19" s="1"/>
  <c r="B1341" i="19"/>
  <c r="F1341" i="19" s="1"/>
  <c r="B1349" i="19"/>
  <c r="F1349" i="19" s="1"/>
  <c r="B1357" i="19"/>
  <c r="F1357" i="19" s="1"/>
  <c r="B1365" i="19"/>
  <c r="F1365" i="19" s="1"/>
  <c r="B1373" i="19"/>
  <c r="F1373" i="19" s="1"/>
  <c r="B1381" i="19"/>
  <c r="F1381" i="19" s="1"/>
  <c r="B1389" i="19"/>
  <c r="F1389" i="19" s="1"/>
  <c r="B1397" i="19"/>
  <c r="F1397" i="19" s="1"/>
  <c r="B1405" i="19"/>
  <c r="F1405" i="19" s="1"/>
  <c r="B1413" i="19"/>
  <c r="F1413" i="19" s="1"/>
  <c r="B1421" i="19"/>
  <c r="F1421" i="19" s="1"/>
  <c r="B1429" i="19"/>
  <c r="F1429" i="19" s="1"/>
  <c r="B1437" i="19"/>
  <c r="F1437" i="19" s="1"/>
  <c r="B1445" i="19"/>
  <c r="F1445" i="19" s="1"/>
  <c r="B1453" i="19"/>
  <c r="F1453" i="19" s="1"/>
  <c r="B1461" i="19"/>
  <c r="F1461" i="19" s="1"/>
  <c r="B1469" i="19"/>
  <c r="F1469" i="19" s="1"/>
  <c r="B1477" i="19"/>
  <c r="F1477" i="19" s="1"/>
  <c r="B1485" i="19"/>
  <c r="F1485" i="19" s="1"/>
  <c r="B1493" i="19"/>
  <c r="F1493" i="19" s="1"/>
  <c r="B1501" i="19"/>
  <c r="F1501" i="19" s="1"/>
  <c r="B1509" i="19"/>
  <c r="F1509" i="19" s="1"/>
  <c r="B1517" i="19"/>
  <c r="F1517" i="19" s="1"/>
  <c r="B1525" i="19"/>
  <c r="F1525" i="19" s="1"/>
  <c r="B1533" i="19"/>
  <c r="F1533" i="19" s="1"/>
  <c r="B1541" i="19"/>
  <c r="F1541" i="19" s="1"/>
  <c r="B1549" i="19"/>
  <c r="F1549" i="19" s="1"/>
  <c r="B1557" i="19"/>
  <c r="F1557" i="19" s="1"/>
  <c r="B1565" i="19"/>
  <c r="F1565" i="19" s="1"/>
  <c r="B1597" i="19"/>
  <c r="F1597" i="19" s="1"/>
  <c r="B1605" i="19"/>
  <c r="F1605" i="19" s="1"/>
  <c r="B1613" i="19"/>
  <c r="F1613" i="19" s="1"/>
  <c r="B1621" i="19"/>
  <c r="F1621" i="19" s="1"/>
  <c r="B1629" i="19"/>
  <c r="F1629" i="19" s="1"/>
  <c r="B1637" i="19"/>
  <c r="F1637" i="19" s="1"/>
  <c r="B1645" i="19"/>
  <c r="F1645" i="19" s="1"/>
  <c r="B1653" i="19"/>
  <c r="F1653" i="19" s="1"/>
  <c r="B1661" i="19"/>
  <c r="F1661" i="19" s="1"/>
  <c r="B1669" i="19"/>
  <c r="F1669" i="19" s="1"/>
  <c r="B1677" i="19"/>
  <c r="F1677" i="19" s="1"/>
  <c r="B1685" i="19"/>
  <c r="F1685" i="19" s="1"/>
  <c r="B1693" i="19"/>
  <c r="F1693" i="19" s="1"/>
  <c r="B1701" i="19"/>
  <c r="F1701" i="19" s="1"/>
  <c r="B1709" i="19"/>
  <c r="F1709" i="19" s="1"/>
  <c r="B1717" i="19"/>
  <c r="F1717" i="19" s="1"/>
  <c r="B1725" i="19"/>
  <c r="F1725" i="19" s="1"/>
  <c r="B1733" i="19"/>
  <c r="F1733" i="19" s="1"/>
  <c r="B1741" i="19"/>
  <c r="F1741" i="19" s="1"/>
  <c r="B1749" i="19"/>
  <c r="F1749" i="19" s="1"/>
  <c r="B1757" i="19"/>
  <c r="F1757" i="19" s="1"/>
  <c r="B1765" i="19"/>
  <c r="F1765" i="19" s="1"/>
  <c r="B1773" i="19"/>
  <c r="F1773" i="19" s="1"/>
  <c r="B1781" i="19"/>
  <c r="F1781" i="19" s="1"/>
  <c r="B1789" i="19"/>
  <c r="F1789" i="19" s="1"/>
  <c r="B1797" i="19"/>
  <c r="F1797" i="19" s="1"/>
  <c r="B1805" i="19"/>
  <c r="F1805" i="19" s="1"/>
  <c r="B1813" i="19"/>
  <c r="F1813" i="19" s="1"/>
  <c r="B1821" i="19"/>
  <c r="F1821" i="19" s="1"/>
  <c r="B1829" i="19"/>
  <c r="F1829" i="19" s="1"/>
  <c r="B1853" i="19"/>
  <c r="F1853" i="19" s="1"/>
  <c r="B1861" i="19"/>
  <c r="F1861" i="19" s="1"/>
  <c r="B1869" i="19"/>
  <c r="F1869" i="19" s="1"/>
  <c r="B1877" i="19"/>
  <c r="F1877" i="19" s="1"/>
  <c r="B1885" i="19"/>
  <c r="F1885" i="19" s="1"/>
  <c r="B1893" i="19"/>
  <c r="F1893" i="19" s="1"/>
  <c r="B1901" i="19"/>
  <c r="F1901" i="19" s="1"/>
  <c r="B1909" i="19"/>
  <c r="F1909" i="19" s="1"/>
  <c r="B1917" i="19"/>
  <c r="F1917" i="19" s="1"/>
  <c r="B1925" i="19"/>
  <c r="F1925" i="19" s="1"/>
  <c r="B1933" i="19"/>
  <c r="F1933" i="19" s="1"/>
  <c r="B1941" i="19"/>
  <c r="F1941" i="19" s="1"/>
  <c r="B1949" i="19"/>
  <c r="F1949" i="19" s="1"/>
  <c r="B1957" i="19"/>
  <c r="F1957" i="19" s="1"/>
  <c r="B1965" i="19"/>
  <c r="F1965" i="19" s="1"/>
  <c r="B1973" i="19"/>
  <c r="F1973" i="19" s="1"/>
  <c r="B1981" i="19"/>
  <c r="F1981" i="19" s="1"/>
  <c r="B1989" i="19"/>
  <c r="F1989" i="19" s="1"/>
  <c r="B1997" i="19"/>
  <c r="F1997" i="19" s="1"/>
  <c r="B2005" i="19"/>
  <c r="F2005" i="19" s="1"/>
  <c r="B2013" i="19"/>
  <c r="F2013" i="19" s="1"/>
  <c r="B2021" i="19"/>
  <c r="F2021" i="19" s="1"/>
  <c r="B2029" i="19"/>
  <c r="F2029" i="19" s="1"/>
  <c r="B2037" i="19"/>
  <c r="F2037" i="19" s="1"/>
  <c r="B2045" i="19"/>
  <c r="F2045" i="19" s="1"/>
  <c r="B2053" i="19"/>
  <c r="F2053" i="19" s="1"/>
  <c r="B2061" i="19"/>
  <c r="F2061" i="19" s="1"/>
  <c r="B2069" i="19"/>
  <c r="F2069" i="19" s="1"/>
  <c r="B2077" i="19"/>
  <c r="F2077" i="19" s="1"/>
  <c r="B2085" i="19"/>
  <c r="F2085" i="19" s="1"/>
  <c r="B2117" i="19"/>
  <c r="F2117" i="19" s="1"/>
  <c r="B2125" i="19"/>
  <c r="F2125" i="19" s="1"/>
  <c r="B2133" i="19"/>
  <c r="F2133" i="19" s="1"/>
  <c r="B2141" i="19"/>
  <c r="F2141" i="19" s="1"/>
  <c r="B2149" i="19"/>
  <c r="F2149" i="19" s="1"/>
  <c r="B1854" i="19"/>
  <c r="F1854" i="19" s="1"/>
  <c r="B1862" i="19"/>
  <c r="F1862" i="19" s="1"/>
  <c r="B1870" i="19"/>
  <c r="F1870" i="19" s="1"/>
  <c r="B1878" i="19"/>
  <c r="F1878" i="19" s="1"/>
  <c r="B1886" i="19"/>
  <c r="F1886" i="19" s="1"/>
  <c r="B1894" i="19"/>
  <c r="F1894" i="19" s="1"/>
  <c r="B1902" i="19"/>
  <c r="F1902" i="19" s="1"/>
  <c r="B1910" i="19"/>
  <c r="F1910" i="19" s="1"/>
  <c r="B1918" i="19"/>
  <c r="F1918" i="19" s="1"/>
  <c r="B1926" i="19"/>
  <c r="F1926" i="19" s="1"/>
  <c r="B1934" i="19"/>
  <c r="F1934" i="19" s="1"/>
  <c r="B1942" i="19"/>
  <c r="F1942" i="19" s="1"/>
  <c r="B1950" i="19"/>
  <c r="F1950" i="19" s="1"/>
  <c r="B1958" i="19"/>
  <c r="F1958" i="19" s="1"/>
  <c r="B1966" i="19"/>
  <c r="F1966" i="19" s="1"/>
  <c r="B1974" i="19"/>
  <c r="F1974" i="19" s="1"/>
  <c r="B1982" i="19"/>
  <c r="F1982" i="19" s="1"/>
  <c r="B1990" i="19"/>
  <c r="F1990" i="19" s="1"/>
  <c r="B1998" i="19"/>
  <c r="F1998" i="19" s="1"/>
  <c r="B2006" i="19"/>
  <c r="F2006" i="19" s="1"/>
  <c r="B2014" i="19"/>
  <c r="F2014" i="19" s="1"/>
  <c r="B2022" i="19"/>
  <c r="F2022" i="19" s="1"/>
  <c r="B2030" i="19"/>
  <c r="F2030" i="19" s="1"/>
  <c r="B2038" i="19"/>
  <c r="F2038" i="19" s="1"/>
  <c r="B2046" i="19"/>
  <c r="F2046" i="19" s="1"/>
  <c r="B2054" i="19"/>
  <c r="F2054" i="19" s="1"/>
  <c r="B2062" i="19"/>
  <c r="F2062" i="19" s="1"/>
  <c r="B2070" i="19"/>
  <c r="F2070" i="19" s="1"/>
  <c r="B2078" i="19"/>
  <c r="F2078" i="19" s="1"/>
  <c r="B2086" i="19"/>
  <c r="F2086" i="19" s="1"/>
  <c r="B2118" i="19"/>
  <c r="F2118" i="19" s="1"/>
  <c r="B2126" i="19"/>
  <c r="F2126" i="19" s="1"/>
  <c r="B2134" i="19"/>
  <c r="F2134" i="19" s="1"/>
  <c r="B2142" i="19"/>
  <c r="F2142" i="19" s="1"/>
  <c r="B2150" i="19"/>
  <c r="F2150" i="19" s="1"/>
  <c r="B1127" i="19"/>
  <c r="F1127" i="19" s="1"/>
  <c r="B1135" i="19"/>
  <c r="F1135" i="19" s="1"/>
  <c r="B1143" i="19"/>
  <c r="F1143" i="19" s="1"/>
  <c r="B1151" i="19"/>
  <c r="F1151" i="19" s="1"/>
  <c r="B1159" i="19"/>
  <c r="F1159" i="19" s="1"/>
  <c r="B1167" i="19"/>
  <c r="F1167" i="19" s="1"/>
  <c r="B1175" i="19"/>
  <c r="F1175" i="19" s="1"/>
  <c r="B1183" i="19"/>
  <c r="F1183" i="19" s="1"/>
  <c r="B1191" i="19"/>
  <c r="F1191" i="19" s="1"/>
  <c r="B1199" i="19"/>
  <c r="F1199" i="19" s="1"/>
  <c r="B1207" i="19"/>
  <c r="F1207" i="19" s="1"/>
  <c r="B1215" i="19"/>
  <c r="F1215" i="19" s="1"/>
  <c r="B1223" i="19"/>
  <c r="F1223" i="19" s="1"/>
  <c r="B1231" i="19"/>
  <c r="F1231" i="19" s="1"/>
  <c r="B1239" i="19"/>
  <c r="F1239" i="19" s="1"/>
  <c r="B1247" i="19"/>
  <c r="F1247" i="19" s="1"/>
  <c r="B1255" i="19"/>
  <c r="F1255" i="19" s="1"/>
  <c r="B1263" i="19"/>
  <c r="F1263" i="19" s="1"/>
  <c r="B1271" i="19"/>
  <c r="F1271" i="19" s="1"/>
  <c r="B1279" i="19"/>
  <c r="F1279" i="19" s="1"/>
  <c r="B1287" i="19"/>
  <c r="F1287" i="19" s="1"/>
  <c r="B1295" i="19"/>
  <c r="F1295" i="19" s="1"/>
  <c r="B1303" i="19"/>
  <c r="F1303" i="19" s="1"/>
  <c r="B1335" i="19"/>
  <c r="F1335" i="19" s="1"/>
  <c r="B1343" i="19"/>
  <c r="F1343" i="19" s="1"/>
  <c r="B1351" i="19"/>
  <c r="F1351" i="19" s="1"/>
  <c r="B1359" i="19"/>
  <c r="F1359" i="19" s="1"/>
  <c r="B1367" i="19"/>
  <c r="F1367" i="19" s="1"/>
  <c r="B1375" i="19"/>
  <c r="F1375" i="19" s="1"/>
  <c r="B1383" i="19"/>
  <c r="F1383" i="19" s="1"/>
  <c r="B1391" i="19"/>
  <c r="F1391" i="19" s="1"/>
  <c r="B1399" i="19"/>
  <c r="F1399" i="19" s="1"/>
  <c r="B1407" i="19"/>
  <c r="F1407" i="19" s="1"/>
  <c r="B1415" i="19"/>
  <c r="F1415" i="19" s="1"/>
  <c r="B1423" i="19"/>
  <c r="F1423" i="19" s="1"/>
  <c r="B1431" i="19"/>
  <c r="F1431" i="19" s="1"/>
  <c r="B1439" i="19"/>
  <c r="F1439" i="19" s="1"/>
  <c r="B1447" i="19"/>
  <c r="F1447" i="19" s="1"/>
  <c r="B1455" i="19"/>
  <c r="F1455" i="19" s="1"/>
  <c r="B1463" i="19"/>
  <c r="F1463" i="19" s="1"/>
  <c r="B1471" i="19"/>
  <c r="F1471" i="19" s="1"/>
  <c r="B1479" i="19"/>
  <c r="F1479" i="19" s="1"/>
  <c r="B1487" i="19"/>
  <c r="F1487" i="19" s="1"/>
  <c r="B1495" i="19"/>
  <c r="F1495" i="19" s="1"/>
  <c r="B1503" i="19"/>
  <c r="F1503" i="19" s="1"/>
  <c r="B1511" i="19"/>
  <c r="F1511" i="19" s="1"/>
  <c r="B1519" i="19"/>
  <c r="F1519" i="19" s="1"/>
  <c r="B1527" i="19"/>
  <c r="F1527" i="19" s="1"/>
  <c r="B1535" i="19"/>
  <c r="F1535" i="19" s="1"/>
  <c r="B1543" i="19"/>
  <c r="F1543" i="19" s="1"/>
  <c r="B1551" i="19"/>
  <c r="F1551" i="19" s="1"/>
  <c r="B1559" i="19"/>
  <c r="F1559" i="19" s="1"/>
  <c r="B1567" i="19"/>
  <c r="F1567" i="19" s="1"/>
  <c r="B1591" i="19"/>
  <c r="F1591" i="19" s="1"/>
  <c r="B1599" i="19"/>
  <c r="F1599" i="19" s="1"/>
  <c r="B1607" i="19"/>
  <c r="F1607" i="19" s="1"/>
  <c r="B1615" i="19"/>
  <c r="F1615" i="19" s="1"/>
  <c r="B1623" i="19"/>
  <c r="F1623" i="19" s="1"/>
  <c r="B1631" i="19"/>
  <c r="F1631" i="19" s="1"/>
  <c r="B1639" i="19"/>
  <c r="F1639" i="19" s="1"/>
  <c r="B1647" i="19"/>
  <c r="F1647" i="19" s="1"/>
  <c r="B1655" i="19"/>
  <c r="F1655" i="19" s="1"/>
  <c r="B1663" i="19"/>
  <c r="F1663" i="19" s="1"/>
  <c r="B1671" i="19"/>
  <c r="F1671" i="19" s="1"/>
  <c r="B1679" i="19"/>
  <c r="F1679" i="19" s="1"/>
  <c r="B1687" i="19"/>
  <c r="F1687" i="19" s="1"/>
  <c r="B1695" i="19"/>
  <c r="F1695" i="19" s="1"/>
  <c r="B1703" i="19"/>
  <c r="F1703" i="19" s="1"/>
  <c r="B1711" i="19"/>
  <c r="F1711" i="19" s="1"/>
  <c r="B1719" i="19"/>
  <c r="F1719" i="19" s="1"/>
  <c r="B1727" i="19"/>
  <c r="F1727" i="19" s="1"/>
  <c r="B1735" i="19"/>
  <c r="F1735" i="19" s="1"/>
  <c r="B1743" i="19"/>
  <c r="F1743" i="19" s="1"/>
  <c r="B1751" i="19"/>
  <c r="F1751" i="19" s="1"/>
  <c r="B1759" i="19"/>
  <c r="F1759" i="19" s="1"/>
  <c r="B1767" i="19"/>
  <c r="F1767" i="19" s="1"/>
  <c r="B1775" i="19"/>
  <c r="F1775" i="19" s="1"/>
  <c r="B1783" i="19"/>
  <c r="F1783" i="19" s="1"/>
  <c r="B1791" i="19"/>
  <c r="F1791" i="19" s="1"/>
  <c r="B1799" i="19"/>
  <c r="F1799" i="19" s="1"/>
  <c r="B1807" i="19"/>
  <c r="F1807" i="19" s="1"/>
  <c r="B1815" i="19"/>
  <c r="F1815" i="19" s="1"/>
  <c r="B1823" i="19"/>
  <c r="F1823" i="19" s="1"/>
  <c r="B1855" i="19"/>
  <c r="F1855" i="19" s="1"/>
  <c r="B1863" i="19"/>
  <c r="F1863" i="19" s="1"/>
  <c r="B1871" i="19"/>
  <c r="F1871" i="19" s="1"/>
  <c r="B1879" i="19"/>
  <c r="F1879" i="19" s="1"/>
  <c r="B1887" i="19"/>
  <c r="F1887" i="19" s="1"/>
  <c r="B1895" i="19"/>
  <c r="F1895" i="19" s="1"/>
  <c r="B1903" i="19"/>
  <c r="F1903" i="19" s="1"/>
  <c r="B1911" i="19"/>
  <c r="F1911" i="19" s="1"/>
  <c r="B1919" i="19"/>
  <c r="F1919" i="19" s="1"/>
  <c r="B1927" i="19"/>
  <c r="F1927" i="19" s="1"/>
  <c r="B1935" i="19"/>
  <c r="F1935" i="19" s="1"/>
  <c r="B1943" i="19"/>
  <c r="F1943" i="19" s="1"/>
  <c r="B1951" i="19"/>
  <c r="F1951" i="19" s="1"/>
  <c r="B1959" i="19"/>
  <c r="F1959" i="19" s="1"/>
  <c r="B1967" i="19"/>
  <c r="F1967" i="19" s="1"/>
  <c r="B1975" i="19"/>
  <c r="F1975" i="19" s="1"/>
  <c r="B1983" i="19"/>
  <c r="F1983" i="19" s="1"/>
  <c r="B1991" i="19"/>
  <c r="F1991" i="19" s="1"/>
  <c r="B1999" i="19"/>
  <c r="F1999" i="19" s="1"/>
  <c r="B2007" i="19"/>
  <c r="F2007" i="19" s="1"/>
  <c r="B2015" i="19"/>
  <c r="F2015" i="19" s="1"/>
  <c r="B2023" i="19"/>
  <c r="F2023" i="19" s="1"/>
  <c r="B2031" i="19"/>
  <c r="F2031" i="19" s="1"/>
  <c r="B2039" i="19"/>
  <c r="F2039" i="19" s="1"/>
  <c r="B2047" i="19"/>
  <c r="F2047" i="19" s="1"/>
  <c r="B2055" i="19"/>
  <c r="F2055" i="19" s="1"/>
  <c r="B2063" i="19"/>
  <c r="F2063" i="19" s="1"/>
  <c r="B2071" i="19"/>
  <c r="F2071" i="19" s="1"/>
  <c r="B2079" i="19"/>
  <c r="F2079" i="19" s="1"/>
  <c r="B2087" i="19"/>
  <c r="F2087" i="19" s="1"/>
  <c r="B2119" i="19"/>
  <c r="F2119" i="19" s="1"/>
  <c r="B2127" i="19"/>
  <c r="F2127" i="19" s="1"/>
  <c r="B2135" i="19"/>
  <c r="F2135" i="19" s="1"/>
  <c r="B2143" i="19"/>
  <c r="F2143" i="19" s="1"/>
  <c r="B2151" i="19"/>
  <c r="F2151" i="19" s="1"/>
  <c r="AD44" i="17"/>
  <c r="BH33" i="4"/>
  <c r="AF14" i="4"/>
  <c r="AF13" i="4"/>
  <c r="K26" i="19" l="1"/>
  <c r="K34" i="19"/>
  <c r="K18" i="19"/>
  <c r="K9" i="19"/>
  <c r="K29" i="19"/>
  <c r="K6" i="19"/>
  <c r="K21" i="19"/>
  <c r="K3" i="19"/>
  <c r="K14" i="19"/>
  <c r="K32" i="19"/>
  <c r="K13" i="19"/>
  <c r="K10" i="19"/>
  <c r="K33" i="19"/>
  <c r="K27" i="19"/>
  <c r="K31" i="19"/>
  <c r="K36" i="19"/>
  <c r="K24" i="19"/>
  <c r="K25" i="19"/>
  <c r="K8" i="19"/>
  <c r="K15" i="19"/>
  <c r="K28" i="19"/>
  <c r="K35" i="19"/>
  <c r="K17" i="19"/>
  <c r="K7" i="19"/>
  <c r="K5" i="19"/>
  <c r="K20" i="19"/>
  <c r="K19" i="19"/>
  <c r="K30" i="19"/>
  <c r="K16" i="19"/>
  <c r="K12" i="19"/>
  <c r="K11" i="19"/>
  <c r="K37" i="19"/>
  <c r="K22" i="19"/>
  <c r="K23" i="19"/>
  <c r="K4" i="19"/>
  <c r="AG11" i="16"/>
  <c r="AF18" i="4"/>
  <c r="BG39" i="4"/>
  <c r="AD22" i="16" l="1"/>
  <c r="AD23" i="16"/>
  <c r="AD24" i="16"/>
  <c r="AD16" i="16"/>
  <c r="AD7" i="16"/>
  <c r="AD17" i="16"/>
  <c r="AD10" i="16"/>
  <c r="AD18" i="16"/>
  <c r="AD11" i="16"/>
  <c r="AD21" i="16"/>
  <c r="AD12" i="16"/>
  <c r="AD13" i="16"/>
  <c r="AD14" i="16"/>
  <c r="AD15" i="16"/>
  <c r="AF22" i="16"/>
  <c r="AG24" i="16"/>
  <c r="AG22" i="16"/>
  <c r="AG21" i="16"/>
  <c r="AG23" i="16"/>
  <c r="J15" i="16"/>
  <c r="J14" i="16"/>
  <c r="J11" i="16"/>
  <c r="J10" i="16"/>
  <c r="J32" i="16"/>
  <c r="J17" i="16"/>
  <c r="C22" i="16"/>
  <c r="C24" i="16"/>
  <c r="C15" i="16"/>
  <c r="C30" i="16"/>
  <c r="C14" i="16"/>
  <c r="C21" i="16"/>
  <c r="C13" i="16"/>
  <c r="C12" i="16"/>
  <c r="C32" i="16"/>
  <c r="C7" i="16"/>
  <c r="C11" i="16"/>
  <c r="C10" i="16"/>
  <c r="C23" i="16"/>
  <c r="C17" i="16"/>
  <c r="C18" i="16"/>
  <c r="S22" i="16"/>
  <c r="S15" i="16"/>
  <c r="S30" i="16"/>
  <c r="S14" i="16"/>
  <c r="S21" i="16"/>
  <c r="S13" i="16"/>
  <c r="S12" i="16"/>
  <c r="S7" i="16"/>
  <c r="S11" i="16"/>
  <c r="S23" i="16"/>
  <c r="S17" i="16"/>
  <c r="S18" i="16"/>
  <c r="AB24" i="16"/>
  <c r="AB30" i="16"/>
  <c r="AB21" i="16"/>
  <c r="AB15" i="16"/>
  <c r="AB14" i="16"/>
  <c r="AB7" i="16"/>
  <c r="AB13" i="16"/>
  <c r="AB32" i="16"/>
  <c r="AB12" i="16"/>
  <c r="AB23" i="16"/>
  <c r="AB11" i="16"/>
  <c r="AB22" i="16"/>
  <c r="AB10" i="16"/>
  <c r="AB18" i="16"/>
  <c r="M21" i="16"/>
  <c r="M17" i="16"/>
  <c r="M32" i="16"/>
  <c r="M7" i="16"/>
  <c r="M15" i="16"/>
  <c r="M14" i="16"/>
  <c r="M23" i="16"/>
  <c r="M13" i="16"/>
  <c r="M22" i="16"/>
  <c r="M12" i="16"/>
  <c r="M18" i="16"/>
  <c r="M24" i="16"/>
  <c r="M11" i="16"/>
  <c r="Z14" i="16"/>
  <c r="Z13" i="16"/>
  <c r="Z12" i="16"/>
  <c r="Z11" i="16"/>
  <c r="Z10" i="16"/>
  <c r="Z17" i="16"/>
  <c r="Z15" i="16"/>
  <c r="L24" i="16"/>
  <c r="L30" i="16"/>
  <c r="L21" i="16"/>
  <c r="L15" i="16"/>
  <c r="L14" i="16"/>
  <c r="L32" i="16"/>
  <c r="L7" i="16"/>
  <c r="L13" i="16"/>
  <c r="L12" i="16"/>
  <c r="L23" i="16"/>
  <c r="L11" i="16"/>
  <c r="L22" i="16"/>
  <c r="L10" i="16"/>
  <c r="L18" i="16"/>
  <c r="L17" i="16"/>
  <c r="G12" i="16"/>
  <c r="G32" i="16"/>
  <c r="G7" i="16"/>
  <c r="G11" i="16"/>
  <c r="G10" i="16"/>
  <c r="G23" i="16"/>
  <c r="G22" i="16"/>
  <c r="G24" i="16"/>
  <c r="G30" i="16"/>
  <c r="G14" i="16"/>
  <c r="G21" i="16"/>
  <c r="G13" i="16"/>
  <c r="G15" i="16"/>
  <c r="G18" i="16"/>
  <c r="G17" i="16"/>
  <c r="W12" i="16"/>
  <c r="W7" i="16"/>
  <c r="W11" i="16"/>
  <c r="W10" i="16"/>
  <c r="W22" i="16"/>
  <c r="W24" i="16"/>
  <c r="W14" i="16"/>
  <c r="W21" i="16"/>
  <c r="W13" i="16"/>
  <c r="W15" i="16"/>
  <c r="W18" i="16"/>
  <c r="W17" i="16"/>
  <c r="AC10" i="16"/>
  <c r="AC30" i="16"/>
  <c r="AC21" i="16"/>
  <c r="AC7" i="16"/>
  <c r="AC15" i="16"/>
  <c r="AC32" i="16"/>
  <c r="AC14" i="16"/>
  <c r="AC23" i="16"/>
  <c r="AC13" i="16"/>
  <c r="AC22" i="16"/>
  <c r="AC12" i="16"/>
  <c r="AC18" i="16"/>
  <c r="AC24" i="16"/>
  <c r="AC11" i="16"/>
  <c r="N11" i="16"/>
  <c r="N10" i="16"/>
  <c r="N17" i="16"/>
  <c r="N15" i="16"/>
  <c r="N14" i="16"/>
  <c r="N13" i="16"/>
  <c r="N12" i="16"/>
  <c r="I14" i="16"/>
  <c r="I23" i="16"/>
  <c r="I13" i="16"/>
  <c r="I22" i="16"/>
  <c r="I12" i="16"/>
  <c r="I11" i="16"/>
  <c r="I10" i="16"/>
  <c r="I21" i="16"/>
  <c r="I32" i="16"/>
  <c r="I7" i="16"/>
  <c r="I15" i="16"/>
  <c r="I17" i="16"/>
  <c r="I18" i="16"/>
  <c r="Y14" i="16"/>
  <c r="Y23" i="16"/>
  <c r="Y13" i="16"/>
  <c r="Y22" i="16"/>
  <c r="Y12" i="16"/>
  <c r="Y11" i="16"/>
  <c r="Y10" i="16"/>
  <c r="Y30" i="16"/>
  <c r="Y21" i="16"/>
  <c r="Y7" i="16"/>
  <c r="Y15" i="16"/>
  <c r="Y17" i="16"/>
  <c r="Y18" i="16"/>
  <c r="H32" i="16"/>
  <c r="H7" i="16"/>
  <c r="H13" i="16"/>
  <c r="H12" i="16"/>
  <c r="H18" i="16"/>
  <c r="H23" i="16"/>
  <c r="H11" i="16"/>
  <c r="H10" i="16"/>
  <c r="H24" i="16"/>
  <c r="H30" i="16"/>
  <c r="H21" i="16"/>
  <c r="H15" i="16"/>
  <c r="H14" i="16"/>
  <c r="H17" i="16"/>
  <c r="X32" i="16"/>
  <c r="X7" i="16"/>
  <c r="X13" i="16"/>
  <c r="X12" i="16"/>
  <c r="X18" i="16"/>
  <c r="X23" i="16"/>
  <c r="X11" i="16"/>
  <c r="X22" i="16"/>
  <c r="X10" i="16"/>
  <c r="X30" i="16"/>
  <c r="X21" i="16"/>
  <c r="X15" i="16"/>
  <c r="X14" i="16"/>
  <c r="X17" i="16"/>
  <c r="E10" i="16"/>
  <c r="E21" i="16"/>
  <c r="E17" i="16"/>
  <c r="E32" i="16"/>
  <c r="E7" i="16"/>
  <c r="E15" i="16"/>
  <c r="E14" i="16"/>
  <c r="E23" i="16"/>
  <c r="E13" i="16"/>
  <c r="E22" i="16"/>
  <c r="E12" i="16"/>
  <c r="E18" i="16"/>
  <c r="E24" i="16"/>
  <c r="E11" i="16"/>
  <c r="K22" i="16"/>
  <c r="K24" i="16"/>
  <c r="K15" i="16"/>
  <c r="K30" i="16"/>
  <c r="K14" i="16"/>
  <c r="K21" i="16"/>
  <c r="K13" i="16"/>
  <c r="K12" i="16"/>
  <c r="K7" i="16"/>
  <c r="K11" i="16"/>
  <c r="K10" i="16"/>
  <c r="K23" i="16"/>
  <c r="K17" i="16"/>
  <c r="K18" i="16"/>
  <c r="AA22" i="16"/>
  <c r="AA24" i="16"/>
  <c r="AA15" i="16"/>
  <c r="AA14" i="16"/>
  <c r="AA30" i="16"/>
  <c r="AA21" i="16"/>
  <c r="AA13" i="16"/>
  <c r="AA12" i="16"/>
  <c r="AA7" i="16"/>
  <c r="AA11" i="16"/>
  <c r="AA32" i="16"/>
  <c r="AA10" i="16"/>
  <c r="AA23" i="16"/>
  <c r="AA17" i="16"/>
  <c r="AA18" i="16"/>
  <c r="O12" i="16"/>
  <c r="O32" i="16"/>
  <c r="O7" i="16"/>
  <c r="O11" i="16"/>
  <c r="O10" i="16"/>
  <c r="O23" i="16"/>
  <c r="O22" i="16"/>
  <c r="O24" i="16"/>
  <c r="O30" i="16"/>
  <c r="O14" i="16"/>
  <c r="O21" i="16"/>
  <c r="O13" i="16"/>
  <c r="O18" i="16"/>
  <c r="O15" i="16"/>
  <c r="O17" i="16"/>
  <c r="BB18" i="17"/>
  <c r="R14" i="16"/>
  <c r="R13" i="16"/>
  <c r="R11" i="16"/>
  <c r="R17" i="16"/>
  <c r="R15" i="16"/>
  <c r="D24" i="16"/>
  <c r="D30" i="16"/>
  <c r="D21" i="16"/>
  <c r="D15" i="16"/>
  <c r="D14" i="16"/>
  <c r="D32" i="16"/>
  <c r="D7" i="16"/>
  <c r="D13" i="16"/>
  <c r="D12" i="16"/>
  <c r="D23" i="16"/>
  <c r="D11" i="16"/>
  <c r="D22" i="16"/>
  <c r="D10" i="16"/>
  <c r="D18" i="16"/>
  <c r="D17" i="16"/>
  <c r="T30" i="16"/>
  <c r="T21" i="16"/>
  <c r="T15" i="16"/>
  <c r="T14" i="16"/>
  <c r="T32" i="16"/>
  <c r="T7" i="16"/>
  <c r="T13" i="16"/>
  <c r="T12" i="16"/>
  <c r="T23" i="16"/>
  <c r="T11" i="16"/>
  <c r="T22" i="16"/>
  <c r="T10" i="16"/>
  <c r="T18" i="16"/>
  <c r="T17" i="16"/>
  <c r="Q14" i="16"/>
  <c r="Q23" i="16"/>
  <c r="Q13" i="16"/>
  <c r="Q22" i="16"/>
  <c r="Q12" i="16"/>
  <c r="Q24" i="16"/>
  <c r="Q11" i="16"/>
  <c r="Q21" i="16"/>
  <c r="Q32" i="16"/>
  <c r="Q7" i="16"/>
  <c r="Q15" i="16"/>
  <c r="Q18" i="16"/>
  <c r="Q17" i="16"/>
  <c r="U30" i="16"/>
  <c r="U10" i="16"/>
  <c r="U21" i="16"/>
  <c r="U17" i="16"/>
  <c r="U32" i="16"/>
  <c r="U7" i="16"/>
  <c r="U15" i="16"/>
  <c r="U14" i="16"/>
  <c r="U23" i="16"/>
  <c r="U13" i="16"/>
  <c r="U22" i="16"/>
  <c r="U12" i="16"/>
  <c r="U18" i="16"/>
  <c r="U11" i="16"/>
  <c r="F11" i="16"/>
  <c r="F10" i="16"/>
  <c r="F17" i="16"/>
  <c r="F15" i="16"/>
  <c r="F22" i="16"/>
  <c r="F24" i="16"/>
  <c r="F13" i="16"/>
  <c r="F12" i="16"/>
  <c r="V11" i="16"/>
  <c r="V10" i="16"/>
  <c r="V32" i="16"/>
  <c r="V17" i="16"/>
  <c r="V23" i="16"/>
  <c r="V15" i="16"/>
  <c r="V13" i="16"/>
  <c r="V12" i="16"/>
  <c r="AE12" i="16"/>
  <c r="AE7" i="16"/>
  <c r="AE11" i="16"/>
  <c r="AE10" i="16"/>
  <c r="AE14" i="16"/>
  <c r="AE13" i="16"/>
  <c r="AE15" i="16"/>
  <c r="AE18" i="16"/>
  <c r="P32" i="16"/>
  <c r="P7" i="16"/>
  <c r="P13" i="16"/>
  <c r="P12" i="16"/>
  <c r="P18" i="16"/>
  <c r="P23" i="16"/>
  <c r="P11" i="16"/>
  <c r="P22" i="16"/>
  <c r="P10" i="16"/>
  <c r="P24" i="16"/>
  <c r="P30" i="16"/>
  <c r="P21" i="16"/>
  <c r="P15" i="16"/>
  <c r="P14" i="16"/>
  <c r="P17" i="16"/>
  <c r="AF7" i="16"/>
  <c r="AF13" i="16"/>
  <c r="AF12" i="16"/>
  <c r="AF18" i="16"/>
  <c r="AF23" i="16"/>
  <c r="AF11" i="16"/>
  <c r="AF10" i="16"/>
  <c r="AF24" i="16"/>
  <c r="AF21" i="16"/>
  <c r="AF15" i="16"/>
  <c r="AF14" i="16"/>
  <c r="AF16" i="16"/>
  <c r="AF17" i="16"/>
  <c r="B12" i="16"/>
  <c r="B21" i="16"/>
  <c r="B13" i="16"/>
  <c r="B18" i="16"/>
  <c r="B11" i="16"/>
  <c r="B23" i="16"/>
  <c r="B17" i="16"/>
  <c r="B7" i="16"/>
  <c r="B22" i="16"/>
  <c r="B21" i="15"/>
  <c r="B10" i="16"/>
  <c r="B20" i="16"/>
  <c r="B23" i="15"/>
  <c r="B24" i="16"/>
  <c r="B15" i="16"/>
  <c r="B30" i="16"/>
  <c r="B27" i="16"/>
  <c r="B14" i="16"/>
  <c r="B32" i="16"/>
  <c r="S10" i="16"/>
  <c r="J13" i="16"/>
  <c r="M10" i="16"/>
  <c r="AF30" i="4"/>
  <c r="E27" i="16" l="1"/>
  <c r="BA7" i="16"/>
  <c r="M27" i="16"/>
  <c r="AD23" i="15"/>
  <c r="AD20" i="16"/>
  <c r="AG20" i="16"/>
  <c r="BA25" i="15"/>
  <c r="BG17" i="16"/>
  <c r="G27" i="16"/>
  <c r="BD16" i="15"/>
  <c r="AC27" i="16"/>
  <c r="AG23" i="15"/>
  <c r="BC15" i="15"/>
  <c r="BB16" i="15"/>
  <c r="BA29" i="15"/>
  <c r="BA23" i="16"/>
  <c r="J21" i="15"/>
  <c r="BB27" i="15"/>
  <c r="BD15" i="15"/>
  <c r="BB15" i="15"/>
  <c r="BG13" i="16"/>
  <c r="BA26" i="15"/>
  <c r="BD12" i="15"/>
  <c r="BE15" i="15"/>
  <c r="U27" i="16"/>
  <c r="H20" i="16"/>
  <c r="BF13" i="15"/>
  <c r="BD12" i="16"/>
  <c r="BB12" i="15"/>
  <c r="BD13" i="15"/>
  <c r="BE11" i="15"/>
  <c r="BA39" i="15"/>
  <c r="BA19" i="15"/>
  <c r="BE14" i="16"/>
  <c r="BA28" i="15"/>
  <c r="V21" i="15"/>
  <c r="V14" i="16"/>
  <c r="V9" i="16" s="1"/>
  <c r="BG14" i="15"/>
  <c r="BH12" i="15"/>
  <c r="BF15" i="15"/>
  <c r="R10" i="16"/>
  <c r="BE10" i="16" s="1"/>
  <c r="BF30" i="15"/>
  <c r="BH11" i="16"/>
  <c r="BC11" i="15"/>
  <c r="BA16" i="15"/>
  <c r="P21" i="15"/>
  <c r="BA20" i="15"/>
  <c r="BE18" i="15"/>
  <c r="BA30" i="15"/>
  <c r="BA9" i="15"/>
  <c r="BE12" i="15"/>
  <c r="S27" i="16"/>
  <c r="BD15" i="16"/>
  <c r="BA31" i="15"/>
  <c r="K27" i="16"/>
  <c r="BE11" i="16"/>
  <c r="BA32" i="16"/>
  <c r="BF12" i="16"/>
  <c r="BA18" i="16"/>
  <c r="BB15" i="16"/>
  <c r="BA21" i="16"/>
  <c r="BG12" i="16"/>
  <c r="BD14" i="16"/>
  <c r="E9" i="16"/>
  <c r="BG15" i="16"/>
  <c r="BB11" i="16"/>
  <c r="D9" i="16"/>
  <c r="BA15" i="16"/>
  <c r="AA9" i="16"/>
  <c r="BC15" i="16"/>
  <c r="P9" i="16"/>
  <c r="BE17" i="16"/>
  <c r="BA13" i="16"/>
  <c r="BA11" i="16"/>
  <c r="BG13" i="15"/>
  <c r="BF18" i="15"/>
  <c r="BA14" i="15"/>
  <c r="Q21" i="15"/>
  <c r="BA14" i="16"/>
  <c r="R21" i="15"/>
  <c r="BD11" i="15"/>
  <c r="E21" i="15"/>
  <c r="X9" i="16"/>
  <c r="H9" i="16"/>
  <c r="Y9" i="16"/>
  <c r="AC9" i="16"/>
  <c r="Z21" i="15"/>
  <c r="AB9" i="16"/>
  <c r="BA12" i="16"/>
  <c r="BA27" i="15"/>
  <c r="BC13" i="15"/>
  <c r="BD11" i="16"/>
  <c r="BD14" i="15"/>
  <c r="O9" i="16"/>
  <c r="BB26" i="15"/>
  <c r="BG16" i="15"/>
  <c r="BB18" i="15"/>
  <c r="BD13" i="16"/>
  <c r="F27" i="16"/>
  <c r="BB17" i="16"/>
  <c r="BF17" i="16"/>
  <c r="N21" i="15"/>
  <c r="BC16" i="15"/>
  <c r="BA12" i="15"/>
  <c r="BB28" i="15"/>
  <c r="BG11" i="15"/>
  <c r="BG15" i="15"/>
  <c r="M21" i="15"/>
  <c r="G9" i="16"/>
  <c r="BC14" i="16"/>
  <c r="W9" i="16"/>
  <c r="H21" i="15"/>
  <c r="BC18" i="15"/>
  <c r="BB11" i="15"/>
  <c r="BG14" i="16"/>
  <c r="S21" i="15"/>
  <c r="O21" i="15"/>
  <c r="BA33" i="15"/>
  <c r="BA32" i="15"/>
  <c r="M9" i="16"/>
  <c r="BC17" i="16"/>
  <c r="BA24" i="16"/>
  <c r="BA22" i="16"/>
  <c r="BA13" i="15"/>
  <c r="BF28" i="15"/>
  <c r="BE14" i="15"/>
  <c r="S9" i="16"/>
  <c r="U9" i="16"/>
  <c r="BE13" i="16"/>
  <c r="L9" i="16"/>
  <c r="T9" i="16"/>
  <c r="I21" i="15"/>
  <c r="C21" i="15"/>
  <c r="BB12" i="16"/>
  <c r="Q10" i="16"/>
  <c r="Q9" i="16" s="1"/>
  <c r="BE13" i="15"/>
  <c r="G21" i="15"/>
  <c r="L21" i="15"/>
  <c r="F21" i="15"/>
  <c r="BA15" i="15"/>
  <c r="BD17" i="16"/>
  <c r="BF14" i="15"/>
  <c r="I9" i="16"/>
  <c r="BB13" i="15"/>
  <c r="BF12" i="15"/>
  <c r="K21" i="15"/>
  <c r="R12" i="16"/>
  <c r="BE12" i="16" s="1"/>
  <c r="BB30" i="15"/>
  <c r="BE16" i="15"/>
  <c r="BD18" i="15"/>
  <c r="BF13" i="16"/>
  <c r="BG12" i="15"/>
  <c r="AF10" i="15"/>
  <c r="AF21" i="15" s="1"/>
  <c r="F14" i="16"/>
  <c r="BB14" i="16" s="1"/>
  <c r="BF11" i="16"/>
  <c r="K9" i="16"/>
  <c r="Y21" i="15"/>
  <c r="X21" i="15"/>
  <c r="BA17" i="16"/>
  <c r="BH27" i="15"/>
  <c r="U21" i="15"/>
  <c r="T21" i="15"/>
  <c r="BE15" i="16"/>
  <c r="BC14" i="15"/>
  <c r="BB13" i="16"/>
  <c r="BF15" i="16"/>
  <c r="BC11" i="16"/>
  <c r="BG11" i="16"/>
  <c r="AB21" i="15"/>
  <c r="J12" i="16"/>
  <c r="BC12" i="16" s="1"/>
  <c r="B9" i="16"/>
  <c r="B8" i="16" s="1"/>
  <c r="B25" i="16" s="1"/>
  <c r="BA18" i="15"/>
  <c r="AF9" i="16"/>
  <c r="AA21" i="15"/>
  <c r="BC13" i="16"/>
  <c r="BB14" i="15"/>
  <c r="BF16" i="15"/>
  <c r="BC12" i="15"/>
  <c r="D21" i="15"/>
  <c r="BF11" i="15"/>
  <c r="S20" i="16"/>
  <c r="AF20" i="16"/>
  <c r="AE23" i="16"/>
  <c r="BH23" i="16" s="1"/>
  <c r="BH31" i="15"/>
  <c r="V20" i="16"/>
  <c r="V23" i="15"/>
  <c r="BF25" i="15"/>
  <c r="D27" i="16"/>
  <c r="BE28" i="15"/>
  <c r="R23" i="15"/>
  <c r="R20" i="16"/>
  <c r="BE25" i="15"/>
  <c r="Y23" i="15"/>
  <c r="Y20" i="16"/>
  <c r="BD27" i="15"/>
  <c r="N21" i="16"/>
  <c r="BD21" i="16" s="1"/>
  <c r="BD29" i="15"/>
  <c r="Z30" i="16"/>
  <c r="BG30" i="16" s="1"/>
  <c r="BG34" i="15"/>
  <c r="BG32" i="15"/>
  <c r="Z22" i="16"/>
  <c r="BG22" i="16" s="1"/>
  <c r="M23" i="15"/>
  <c r="M20" i="16"/>
  <c r="BM18" i="17"/>
  <c r="AB27" i="16"/>
  <c r="J22" i="16"/>
  <c r="BC22" i="16" s="1"/>
  <c r="BC32" i="15"/>
  <c r="BV18" i="17"/>
  <c r="BV21" i="17" s="1"/>
  <c r="BV48" i="17" s="1"/>
  <c r="Q23" i="15"/>
  <c r="D23" i="15"/>
  <c r="D20" i="16"/>
  <c r="R7" i="16"/>
  <c r="BE7" i="16" s="1"/>
  <c r="BE9" i="15"/>
  <c r="R30" i="16"/>
  <c r="BE30" i="16" s="1"/>
  <c r="BE34" i="15"/>
  <c r="R23" i="16"/>
  <c r="BE23" i="16" s="1"/>
  <c r="BE31" i="15"/>
  <c r="BR18" i="17"/>
  <c r="BR21" i="17" s="1"/>
  <c r="BR48" i="17" s="1"/>
  <c r="K44" i="17"/>
  <c r="E20" i="16"/>
  <c r="E23" i="15"/>
  <c r="BE18" i="17"/>
  <c r="X20" i="16"/>
  <c r="X23" i="15"/>
  <c r="BX18" i="17"/>
  <c r="BX21" i="17" s="1"/>
  <c r="BX48" i="17" s="1"/>
  <c r="BB32" i="15"/>
  <c r="H22" i="16"/>
  <c r="BB22" i="16" s="1"/>
  <c r="Y44" i="17"/>
  <c r="BY18" i="17"/>
  <c r="BY21" i="17" s="1"/>
  <c r="BY48" i="17" s="1"/>
  <c r="N24" i="16"/>
  <c r="BD24" i="16" s="1"/>
  <c r="BD33" i="15"/>
  <c r="L27" i="16"/>
  <c r="Z32" i="16"/>
  <c r="BG32" i="16" s="1"/>
  <c r="BG39" i="15"/>
  <c r="Z23" i="15"/>
  <c r="Z20" i="16"/>
  <c r="BG25" i="15"/>
  <c r="AB23" i="15"/>
  <c r="AB20" i="16"/>
  <c r="C23" i="15"/>
  <c r="C20" i="16"/>
  <c r="BC28" i="15"/>
  <c r="AE17" i="16"/>
  <c r="BH28" i="15"/>
  <c r="V21" i="16"/>
  <c r="BF21" i="16" s="1"/>
  <c r="BF29" i="15"/>
  <c r="F30" i="16"/>
  <c r="F23" i="15"/>
  <c r="F20" i="16"/>
  <c r="BB25" i="15"/>
  <c r="U20" i="16"/>
  <c r="U23" i="15"/>
  <c r="BU18" i="17"/>
  <c r="BU21" i="17" s="1"/>
  <c r="BU48" i="17" s="1"/>
  <c r="BT18" i="17"/>
  <c r="BT21" i="17" s="1"/>
  <c r="BT48" i="17" s="1"/>
  <c r="R32" i="16"/>
  <c r="X27" i="16"/>
  <c r="BF27" i="15"/>
  <c r="I27" i="16"/>
  <c r="N7" i="16"/>
  <c r="BD7" i="16" s="1"/>
  <c r="BD9" i="15"/>
  <c r="L20" i="16"/>
  <c r="L23" i="15"/>
  <c r="BG28" i="15"/>
  <c r="Z23" i="16"/>
  <c r="BG23" i="16" s="1"/>
  <c r="BG31" i="15"/>
  <c r="J7" i="16"/>
  <c r="BC7" i="16" s="1"/>
  <c r="BC9" i="15"/>
  <c r="J30" i="16"/>
  <c r="BC25" i="15"/>
  <c r="J20" i="16"/>
  <c r="J23" i="15"/>
  <c r="P20" i="16"/>
  <c r="AE16" i="16"/>
  <c r="V24" i="16"/>
  <c r="F23" i="16"/>
  <c r="BB23" i="16" s="1"/>
  <c r="BB31" i="15"/>
  <c r="BF18" i="17"/>
  <c r="Q20" i="16"/>
  <c r="BE27" i="15"/>
  <c r="H23" i="15"/>
  <c r="BH18" i="17"/>
  <c r="BI18" i="17"/>
  <c r="N18" i="16"/>
  <c r="BD18" i="16" s="1"/>
  <c r="BD20" i="15"/>
  <c r="BD26" i="15"/>
  <c r="N32" i="16"/>
  <c r="BD32" i="16" s="1"/>
  <c r="BD39" i="15"/>
  <c r="Z7" i="16"/>
  <c r="BG7" i="16" s="1"/>
  <c r="BG9" i="15"/>
  <c r="S23" i="15"/>
  <c r="C27" i="16"/>
  <c r="J23" i="16"/>
  <c r="BC23" i="16" s="1"/>
  <c r="BC31" i="15"/>
  <c r="BJ18" i="17"/>
  <c r="AE24" i="16"/>
  <c r="BH24" i="16" s="1"/>
  <c r="BH33" i="15"/>
  <c r="V7" i="16"/>
  <c r="BF7" i="16" s="1"/>
  <c r="BF9" i="15"/>
  <c r="F21" i="16"/>
  <c r="BB21" i="16" s="1"/>
  <c r="BB29" i="15"/>
  <c r="BD18" i="17"/>
  <c r="BE30" i="15"/>
  <c r="AA23" i="15"/>
  <c r="AA20" i="16"/>
  <c r="BC39" i="15"/>
  <c r="K32" i="16"/>
  <c r="BC32" i="16" s="1"/>
  <c r="BK18" i="17"/>
  <c r="I23" i="15"/>
  <c r="N22" i="16"/>
  <c r="BD22" i="16" s="1"/>
  <c r="BD32" i="15"/>
  <c r="N27" i="16"/>
  <c r="BG27" i="15"/>
  <c r="BC27" i="15"/>
  <c r="AF23" i="15"/>
  <c r="BH26" i="15"/>
  <c r="BQ18" i="17"/>
  <c r="BQ21" i="17" s="1"/>
  <c r="BE20" i="15"/>
  <c r="R18" i="16"/>
  <c r="BE18" i="16" s="1"/>
  <c r="O23" i="15"/>
  <c r="O20" i="16"/>
  <c r="BO18" i="17"/>
  <c r="B44" i="17"/>
  <c r="BB19" i="15"/>
  <c r="H27" i="16"/>
  <c r="BD28" i="15"/>
  <c r="W20" i="16"/>
  <c r="W23" i="15"/>
  <c r="BW18" i="17"/>
  <c r="BW21" i="17" s="1"/>
  <c r="BW48" i="17" s="1"/>
  <c r="BL18" i="17"/>
  <c r="BG30" i="15"/>
  <c r="Z24" i="16"/>
  <c r="BG24" i="16" s="1"/>
  <c r="BG33" i="15"/>
  <c r="Z44" i="17"/>
  <c r="BS18" i="17"/>
  <c r="BS21" i="17" s="1"/>
  <c r="BS48" i="17" s="1"/>
  <c r="BC30" i="15"/>
  <c r="J24" i="16"/>
  <c r="BC24" i="16" s="1"/>
  <c r="BC33" i="15"/>
  <c r="P23" i="15"/>
  <c r="BP18" i="17"/>
  <c r="AE22" i="16"/>
  <c r="BH22" i="16" s="1"/>
  <c r="BH32" i="15"/>
  <c r="V18" i="16"/>
  <c r="BF18" i="16" s="1"/>
  <c r="BF20" i="15"/>
  <c r="V22" i="16"/>
  <c r="BF22" i="16" s="1"/>
  <c r="BF32" i="15"/>
  <c r="V27" i="16"/>
  <c r="F7" i="16"/>
  <c r="BB7" i="16" s="1"/>
  <c r="BB9" i="15"/>
  <c r="Q27" i="16"/>
  <c r="T27" i="16"/>
  <c r="T44" i="17"/>
  <c r="BE19" i="15"/>
  <c r="R27" i="16"/>
  <c r="R21" i="16"/>
  <c r="BE21" i="16" s="1"/>
  <c r="BE29" i="15"/>
  <c r="BE26" i="15"/>
  <c r="AA27" i="16"/>
  <c r="K23" i="15"/>
  <c r="K20" i="16"/>
  <c r="BF26" i="15"/>
  <c r="X44" i="17"/>
  <c r="I20" i="16"/>
  <c r="I44" i="17"/>
  <c r="N30" i="16"/>
  <c r="N20" i="16"/>
  <c r="N23" i="15"/>
  <c r="BD25" i="15"/>
  <c r="BD30" i="15"/>
  <c r="AC23" i="15"/>
  <c r="AC20" i="16"/>
  <c r="BF31" i="15"/>
  <c r="W23" i="16"/>
  <c r="BF23" i="16" s="1"/>
  <c r="BG19" i="15"/>
  <c r="Z27" i="16"/>
  <c r="BG26" i="15"/>
  <c r="BC18" i="17"/>
  <c r="J18" i="16"/>
  <c r="BC18" i="16" s="1"/>
  <c r="BC20" i="15"/>
  <c r="BD19" i="15"/>
  <c r="P27" i="16"/>
  <c r="AE21" i="16"/>
  <c r="BH21" i="16" s="1"/>
  <c r="BH29" i="15"/>
  <c r="AE20" i="16"/>
  <c r="AE23" i="15"/>
  <c r="BH25" i="15"/>
  <c r="F18" i="16"/>
  <c r="BB18" i="16" s="1"/>
  <c r="BB20" i="15"/>
  <c r="BB39" i="15"/>
  <c r="F32" i="16"/>
  <c r="BB32" i="16" s="1"/>
  <c r="T23" i="15"/>
  <c r="T20" i="16"/>
  <c r="R22" i="16"/>
  <c r="BE22" i="16" s="1"/>
  <c r="BE32" i="15"/>
  <c r="O27" i="16"/>
  <c r="Y27" i="16"/>
  <c r="BB33" i="15"/>
  <c r="I24" i="16"/>
  <c r="BB24" i="16" s="1"/>
  <c r="N23" i="16"/>
  <c r="BD23" i="16" s="1"/>
  <c r="BD31" i="15"/>
  <c r="BN18" i="17"/>
  <c r="G20" i="16"/>
  <c r="G23" i="15"/>
  <c r="BG18" i="17"/>
  <c r="Z18" i="16"/>
  <c r="BG18" i="16" s="1"/>
  <c r="BG20" i="15"/>
  <c r="Z21" i="16"/>
  <c r="BG21" i="16" s="1"/>
  <c r="BG29" i="15"/>
  <c r="BC19" i="15"/>
  <c r="J27" i="16"/>
  <c r="BC29" i="15"/>
  <c r="J21" i="16"/>
  <c r="BC21" i="16" s="1"/>
  <c r="BC26" i="15"/>
  <c r="B37" i="15"/>
  <c r="B43" i="15" s="1"/>
  <c r="AF27" i="16"/>
  <c r="C9" i="16"/>
  <c r="BA10" i="16"/>
  <c r="BC10" i="16"/>
  <c r="AD9" i="16"/>
  <c r="BG10" i="16"/>
  <c r="Z9" i="16"/>
  <c r="N9" i="16"/>
  <c r="BB10" i="16"/>
  <c r="BF10" i="16"/>
  <c r="Z37" i="15" l="1"/>
  <c r="Z43" i="15" s="1"/>
  <c r="BH20" i="16"/>
  <c r="O37" i="15"/>
  <c r="O43" i="15" s="1"/>
  <c r="AB37" i="15"/>
  <c r="AB43" i="15" s="1"/>
  <c r="BH23" i="15"/>
  <c r="S44" i="17"/>
  <c r="L37" i="15"/>
  <c r="L43" i="15" s="1"/>
  <c r="P37" i="15"/>
  <c r="P43" i="15" s="1"/>
  <c r="N37" i="15"/>
  <c r="N43" i="15" s="1"/>
  <c r="AB44" i="17"/>
  <c r="BC10" i="15"/>
  <c r="BC21" i="15" s="1"/>
  <c r="D37" i="15"/>
  <c r="D43" i="15" s="1"/>
  <c r="BF14" i="16"/>
  <c r="BD10" i="15"/>
  <c r="BD21" i="15" s="1"/>
  <c r="E8" i="16"/>
  <c r="E25" i="16" s="1"/>
  <c r="E5" i="16" s="1"/>
  <c r="J37" i="15"/>
  <c r="J43" i="15" s="1"/>
  <c r="P8" i="16"/>
  <c r="P25" i="16" s="1"/>
  <c r="P5" i="16" s="1"/>
  <c r="AC8" i="16"/>
  <c r="AC25" i="16" s="1"/>
  <c r="AC28" i="16" s="1"/>
  <c r="AC31" i="16" s="1"/>
  <c r="AC33" i="16" s="1"/>
  <c r="H37" i="15"/>
  <c r="H43" i="15" s="1"/>
  <c r="BE10" i="15"/>
  <c r="BE21" i="15" s="1"/>
  <c r="R9" i="16"/>
  <c r="BE9" i="16" s="1"/>
  <c r="C37" i="15"/>
  <c r="C43" i="15" s="1"/>
  <c r="BA23" i="15"/>
  <c r="AB8" i="16"/>
  <c r="AB25" i="16" s="1"/>
  <c r="AB28" i="16" s="1"/>
  <c r="AB31" i="16" s="1"/>
  <c r="AB33" i="16" s="1"/>
  <c r="F9" i="16"/>
  <c r="BB9" i="16" s="1"/>
  <c r="BA20" i="16"/>
  <c r="G8" i="16"/>
  <c r="G25" i="16" s="1"/>
  <c r="G5" i="16" s="1"/>
  <c r="O8" i="16"/>
  <c r="O25" i="16" s="1"/>
  <c r="O5" i="16" s="1"/>
  <c r="M8" i="16"/>
  <c r="M25" i="16" s="1"/>
  <c r="M28" i="16" s="1"/>
  <c r="J9" i="16"/>
  <c r="J8" i="16" s="1"/>
  <c r="D8" i="16"/>
  <c r="D25" i="16" s="1"/>
  <c r="D26" i="16" s="1"/>
  <c r="BB27" i="16"/>
  <c r="Q8" i="16"/>
  <c r="Q25" i="16" s="1"/>
  <c r="Q26" i="16" s="1"/>
  <c r="BC27" i="16"/>
  <c r="BA27" i="16"/>
  <c r="L8" i="16"/>
  <c r="L25" i="16" s="1"/>
  <c r="L5" i="16" s="1"/>
  <c r="H8" i="16"/>
  <c r="H25" i="16" s="1"/>
  <c r="H26" i="16" s="1"/>
  <c r="AA8" i="16"/>
  <c r="AA25" i="16" s="1"/>
  <c r="AA26" i="16" s="1"/>
  <c r="K8" i="16"/>
  <c r="K25" i="16" s="1"/>
  <c r="K26" i="16" s="1"/>
  <c r="K37" i="15"/>
  <c r="K43" i="15" s="1"/>
  <c r="AA37" i="15"/>
  <c r="AA43" i="15" s="1"/>
  <c r="G44" i="17"/>
  <c r="H44" i="17"/>
  <c r="O44" i="17"/>
  <c r="M44" i="17"/>
  <c r="L44" i="17"/>
  <c r="F44" i="17"/>
  <c r="AE44" i="17"/>
  <c r="BF10" i="15"/>
  <c r="BD10" i="16"/>
  <c r="BA10" i="15"/>
  <c r="BA21" i="15" s="1"/>
  <c r="BD23" i="15"/>
  <c r="AF8" i="16"/>
  <c r="AF25" i="16" s="1"/>
  <c r="AF26" i="16" s="1"/>
  <c r="W8" i="16"/>
  <c r="W25" i="16" s="1"/>
  <c r="BB10" i="15"/>
  <c r="BB21" i="15" s="1"/>
  <c r="G37" i="15"/>
  <c r="G43" i="15" s="1"/>
  <c r="F37" i="15"/>
  <c r="F43" i="15" s="1"/>
  <c r="BG27" i="16"/>
  <c r="BE23" i="15"/>
  <c r="AA44" i="17"/>
  <c r="J44" i="17"/>
  <c r="BB20" i="16"/>
  <c r="BF20" i="16"/>
  <c r="BC23" i="15"/>
  <c r="BB23" i="15"/>
  <c r="BC20" i="16"/>
  <c r="BG23" i="15"/>
  <c r="AC44" i="17"/>
  <c r="E44" i="17"/>
  <c r="N44" i="17"/>
  <c r="D44" i="17"/>
  <c r="U44" i="17"/>
  <c r="BG20" i="16"/>
  <c r="R44" i="17"/>
  <c r="I8" i="16"/>
  <c r="I25" i="16" s="1"/>
  <c r="I5" i="16" s="1"/>
  <c r="BD20" i="16"/>
  <c r="AE9" i="16"/>
  <c r="AE8" i="16" s="1"/>
  <c r="AE25" i="16" s="1"/>
  <c r="V44" i="17"/>
  <c r="P44" i="17"/>
  <c r="BF23" i="15"/>
  <c r="Q44" i="17"/>
  <c r="C44" i="17"/>
  <c r="BE27" i="16"/>
  <c r="BD27" i="16"/>
  <c r="W44" i="17"/>
  <c r="BE20" i="16"/>
  <c r="B5" i="16"/>
  <c r="B28" i="16"/>
  <c r="B31" i="16" s="1"/>
  <c r="B33" i="16" s="1"/>
  <c r="B26" i="16"/>
  <c r="C8" i="16"/>
  <c r="BA9" i="16"/>
  <c r="BG9" i="16"/>
  <c r="Z8" i="16"/>
  <c r="Z25" i="16" s="1"/>
  <c r="BD9" i="16"/>
  <c r="N8" i="16"/>
  <c r="AD8" i="16"/>
  <c r="BF9" i="16"/>
  <c r="V8" i="16"/>
  <c r="E26" i="16" l="1"/>
  <c r="E28" i="16"/>
  <c r="E29" i="16" s="1"/>
  <c r="BC9" i="16"/>
  <c r="BC8" i="16" s="1"/>
  <c r="BC25" i="16" s="1"/>
  <c r="BC26" i="16" s="1"/>
  <c r="M5" i="16"/>
  <c r="M26" i="16"/>
  <c r="P26" i="16"/>
  <c r="P28" i="16"/>
  <c r="P29" i="16" s="1"/>
  <c r="AB26" i="16"/>
  <c r="AC26" i="16"/>
  <c r="Q5" i="16"/>
  <c r="O28" i="16"/>
  <c r="O31" i="16" s="1"/>
  <c r="O33" i="16" s="1"/>
  <c r="BA8" i="16"/>
  <c r="BA25" i="16" s="1"/>
  <c r="BA28" i="16" s="1"/>
  <c r="O26" i="16"/>
  <c r="F8" i="16"/>
  <c r="F25" i="16" s="1"/>
  <c r="F5" i="16" s="1"/>
  <c r="Q28" i="16"/>
  <c r="Q29" i="16" s="1"/>
  <c r="L26" i="16"/>
  <c r="D5" i="16"/>
  <c r="AB29" i="16"/>
  <c r="G26" i="16"/>
  <c r="G28" i="16"/>
  <c r="G29" i="16" s="1"/>
  <c r="D28" i="16"/>
  <c r="D31" i="16" s="1"/>
  <c r="D33" i="16" s="1"/>
  <c r="H28" i="16"/>
  <c r="H31" i="16" s="1"/>
  <c r="H33" i="16" s="1"/>
  <c r="AA28" i="16"/>
  <c r="H5" i="16"/>
  <c r="BB8" i="16"/>
  <c r="BB25" i="16" s="1"/>
  <c r="BB26" i="16" s="1"/>
  <c r="BG8" i="16"/>
  <c r="BG25" i="16" s="1"/>
  <c r="BG26" i="16" s="1"/>
  <c r="L28" i="16"/>
  <c r="L29" i="16" s="1"/>
  <c r="B29" i="16"/>
  <c r="AC29" i="16"/>
  <c r="K28" i="16"/>
  <c r="K31" i="16" s="1"/>
  <c r="K33" i="16" s="1"/>
  <c r="K5" i="16"/>
  <c r="AF28" i="16"/>
  <c r="W26" i="16"/>
  <c r="I26" i="16"/>
  <c r="I28" i="16"/>
  <c r="I29" i="16" s="1"/>
  <c r="AE26" i="16"/>
  <c r="BD8" i="16"/>
  <c r="BD25" i="16" s="1"/>
  <c r="BD26" i="16" s="1"/>
  <c r="C25" i="16"/>
  <c r="C5" i="16" s="1"/>
  <c r="AD25" i="16"/>
  <c r="Z28" i="16"/>
  <c r="Z26" i="16"/>
  <c r="J25" i="16"/>
  <c r="J5" i="16" s="1"/>
  <c r="M29" i="16"/>
  <c r="N25" i="16"/>
  <c r="N5" i="16" s="1"/>
  <c r="V25" i="16"/>
  <c r="V5" i="16" s="1"/>
  <c r="P31" i="16" l="1"/>
  <c r="P33" i="16" s="1"/>
  <c r="BA26" i="16"/>
  <c r="O29" i="16"/>
  <c r="BB28" i="16"/>
  <c r="BB29" i="16" s="1"/>
  <c r="G31" i="16"/>
  <c r="G33" i="16" s="1"/>
  <c r="L31" i="16"/>
  <c r="L33" i="16" s="1"/>
  <c r="BD28" i="16"/>
  <c r="BD29" i="16" s="1"/>
  <c r="D29" i="16"/>
  <c r="H29" i="16"/>
  <c r="K29" i="16"/>
  <c r="BG28" i="16"/>
  <c r="BG31" i="16" s="1"/>
  <c r="BG33" i="16" s="1"/>
  <c r="AA31" i="16"/>
  <c r="AA33" i="16" s="1"/>
  <c r="AA29" i="16"/>
  <c r="BC28" i="16"/>
  <c r="BC29" i="16" s="1"/>
  <c r="AF29" i="16"/>
  <c r="C28" i="16"/>
  <c r="C26" i="16"/>
  <c r="BA29" i="16"/>
  <c r="N26" i="16"/>
  <c r="N28" i="16"/>
  <c r="Z31" i="16"/>
  <c r="Z33" i="16" s="1"/>
  <c r="Z29" i="16"/>
  <c r="AD26" i="16"/>
  <c r="F28" i="16"/>
  <c r="F26" i="16"/>
  <c r="J28" i="16"/>
  <c r="J26" i="16"/>
  <c r="V26" i="16"/>
  <c r="V28" i="16"/>
  <c r="BG29" i="16" l="1"/>
  <c r="C31" i="16"/>
  <c r="C33" i="16" s="1"/>
  <c r="C29" i="16"/>
  <c r="J29" i="16"/>
  <c r="J31" i="16"/>
  <c r="J33" i="16" s="1"/>
  <c r="N31" i="16"/>
  <c r="N33" i="16" s="1"/>
  <c r="N29" i="16"/>
  <c r="F29" i="16"/>
  <c r="F31" i="16"/>
  <c r="F33" i="16" s="1"/>
  <c r="V29" i="16"/>
  <c r="BG34" i="4" l="1"/>
  <c r="BA39" i="4"/>
  <c r="AG23" i="3" l="1"/>
  <c r="AG22" i="3"/>
  <c r="AF7" i="3"/>
  <c r="BH12" i="4"/>
  <c r="BH32" i="4"/>
  <c r="BH31" i="4"/>
  <c r="AF23" i="4"/>
  <c r="AG18" i="4"/>
  <c r="AG17" i="4"/>
  <c r="AG16" i="4"/>
  <c r="AG15" i="4"/>
  <c r="AG14" i="4"/>
  <c r="AG13" i="4"/>
  <c r="AG11" i="4"/>
  <c r="AF10" i="4"/>
  <c r="BH11" i="4" l="1"/>
  <c r="AG10" i="4"/>
  <c r="AG13" i="3"/>
  <c r="AG12" i="3"/>
  <c r="AG14" i="3"/>
  <c r="AG15" i="3"/>
  <c r="AG16" i="3"/>
  <c r="AG17" i="3"/>
  <c r="AG10" i="3"/>
  <c r="BH18" i="4"/>
  <c r="BH17" i="4"/>
  <c r="BH13" i="4"/>
  <c r="BH16" i="4"/>
  <c r="BH15" i="4"/>
  <c r="BH14" i="4"/>
  <c r="AG11" i="3"/>
  <c r="AG12" i="16" l="1"/>
  <c r="BH12" i="16" s="1"/>
  <c r="BH13" i="15"/>
  <c r="AG17" i="16"/>
  <c r="BH17" i="16" s="1"/>
  <c r="BH18" i="15"/>
  <c r="AG13" i="16"/>
  <c r="BH13" i="16" s="1"/>
  <c r="BH14" i="15"/>
  <c r="AG16" i="16"/>
  <c r="BH16" i="16" s="1"/>
  <c r="BH17" i="15"/>
  <c r="AG10" i="16"/>
  <c r="BH10" i="15"/>
  <c r="BH11" i="15"/>
  <c r="AG15" i="16"/>
  <c r="BH15" i="16" s="1"/>
  <c r="BH16" i="15"/>
  <c r="AG14" i="16"/>
  <c r="BH14" i="16" s="1"/>
  <c r="BH15" i="15"/>
  <c r="AG9" i="3"/>
  <c r="AG9" i="16" l="1"/>
  <c r="BH9" i="16" s="1"/>
  <c r="BH10" i="16"/>
  <c r="Y36" i="4"/>
  <c r="Y35" i="4"/>
  <c r="AC35" i="4" l="1"/>
  <c r="AB41" i="4"/>
  <c r="AB36" i="4"/>
  <c r="Z35" i="4"/>
  <c r="W35" i="4"/>
  <c r="AC40" i="4"/>
  <c r="AD36" i="4"/>
  <c r="X40" i="4"/>
  <c r="V36" i="4"/>
  <c r="X35" i="4"/>
  <c r="W36" i="4"/>
  <c r="X41" i="4"/>
  <c r="AA36" i="4"/>
  <c r="V35" i="4"/>
  <c r="AC36" i="4"/>
  <c r="AC41" i="4"/>
  <c r="AD41" i="4"/>
  <c r="Z36" i="4"/>
  <c r="W40" i="4"/>
  <c r="W41" i="4"/>
  <c r="AD40" i="4"/>
  <c r="AA35" i="4"/>
  <c r="BF35" i="15" l="1"/>
  <c r="BG36" i="15"/>
  <c r="BG36" i="4"/>
  <c r="Z40" i="4"/>
  <c r="AB35" i="4"/>
  <c r="Y41" i="4"/>
  <c r="AB40" i="4"/>
  <c r="Y40" i="4"/>
  <c r="AE41" i="4"/>
  <c r="AD35" i="4"/>
  <c r="X36" i="4"/>
  <c r="BF35" i="4"/>
  <c r="V34" i="4"/>
  <c r="AE36" i="4"/>
  <c r="Z41" i="4"/>
  <c r="AF41" i="4"/>
  <c r="AG20" i="4"/>
  <c r="AE35" i="4"/>
  <c r="BG35" i="15" l="1"/>
  <c r="BG35" i="4"/>
  <c r="BF36" i="4"/>
  <c r="BF36" i="15"/>
  <c r="AG18" i="16"/>
  <c r="AG8" i="16" s="1"/>
  <c r="AG21" i="4"/>
  <c r="Y39" i="4"/>
  <c r="BF40" i="15"/>
  <c r="BF41" i="4"/>
  <c r="BF41" i="15"/>
  <c r="V30" i="16"/>
  <c r="V37" i="15"/>
  <c r="BF40" i="4"/>
  <c r="BH20" i="4"/>
  <c r="AG18" i="3"/>
  <c r="AA41" i="4"/>
  <c r="AF36" i="4"/>
  <c r="AA40" i="4"/>
  <c r="AE40" i="4"/>
  <c r="BH20" i="15" l="1"/>
  <c r="BG41" i="4"/>
  <c r="BG41" i="15"/>
  <c r="BG40" i="4"/>
  <c r="BG40" i="15"/>
  <c r="Y32" i="16"/>
  <c r="BH18" i="16"/>
  <c r="V43" i="15"/>
  <c r="V38" i="15"/>
  <c r="V31" i="16"/>
  <c r="AF35" i="4"/>
  <c r="BH8" i="16" l="1"/>
  <c r="V33" i="16"/>
  <c r="AF40" i="4"/>
  <c r="BH27" i="4" l="1"/>
  <c r="AG36" i="4"/>
  <c r="BH28" i="4"/>
  <c r="BH36" i="4" l="1"/>
  <c r="BH36" i="15"/>
  <c r="BH29" i="4"/>
  <c r="AG21" i="3"/>
  <c r="AG41" i="4"/>
  <c r="BH41" i="4" l="1"/>
  <c r="BH41" i="15"/>
  <c r="AG40" i="4"/>
  <c r="BH40" i="4" s="1"/>
  <c r="AG30" i="4"/>
  <c r="AG39" i="4" l="1"/>
  <c r="AG32" i="16" s="1"/>
  <c r="BH40" i="15"/>
  <c r="AG27" i="3"/>
  <c r="BH30" i="4"/>
  <c r="AG32" i="3" l="1"/>
  <c r="BH30" i="15"/>
  <c r="AG27" i="16"/>
  <c r="AG35" i="4"/>
  <c r="BH35" i="4" s="1"/>
  <c r="BH34" i="4" s="1"/>
  <c r="AG34" i="4" l="1"/>
  <c r="AG30" i="16" s="1"/>
  <c r="BH35" i="15"/>
  <c r="AG24" i="3"/>
  <c r="AG30" i="3" l="1"/>
  <c r="AG37" i="4"/>
  <c r="AG43" i="4" s="1"/>
  <c r="AG7" i="16"/>
  <c r="BH7" i="16" s="1"/>
  <c r="AG21" i="15"/>
  <c r="AG37" i="15" s="1"/>
  <c r="AG43" i="15" s="1"/>
  <c r="BH9" i="15"/>
  <c r="BH26" i="4"/>
  <c r="AG25" i="16" l="1"/>
  <c r="AG28" i="16" l="1"/>
  <c r="AG26" i="16"/>
  <c r="BH25" i="16"/>
  <c r="BH26" i="16" s="1"/>
  <c r="AG31" i="16" l="1"/>
  <c r="AG29" i="16"/>
  <c r="AG42" i="7" l="1"/>
  <c r="AG33" i="16"/>
  <c r="CG35" i="7"/>
  <c r="CG34" i="17" l="1"/>
  <c r="CG18" i="7"/>
  <c r="CG22" i="7" s="1"/>
  <c r="CG18" i="17" l="1"/>
  <c r="CG21" i="17" s="1"/>
  <c r="CG48" i="17" s="1"/>
  <c r="CG48" i="7" l="1"/>
  <c r="CG50" i="7" s="1"/>
  <c r="AG20" i="7" l="1"/>
  <c r="AG26" i="7" s="1"/>
  <c r="AG44" i="7" s="1"/>
  <c r="AG44" i="17" l="1"/>
  <c r="B20" i="3"/>
  <c r="L11" i="12" l="1"/>
  <c r="M11" i="12"/>
  <c r="N11" i="12"/>
  <c r="O11" i="12"/>
  <c r="P11" i="12"/>
  <c r="AD19" i="12"/>
  <c r="AF34" i="4"/>
  <c r="AF30" i="16" l="1"/>
  <c r="AF31" i="16" s="1"/>
  <c r="AF37" i="15"/>
  <c r="AF27" i="3"/>
  <c r="AF21" i="4"/>
  <c r="AF37" i="4" s="1"/>
  <c r="AF17" i="3"/>
  <c r="CF47" i="7" l="1"/>
  <c r="CE48" i="7"/>
  <c r="CE35" i="7"/>
  <c r="CF29" i="7"/>
  <c r="CF32" i="7"/>
  <c r="CF34" i="7"/>
  <c r="CF21" i="7"/>
  <c r="CE18" i="7"/>
  <c r="CE22" i="7" s="1"/>
  <c r="AF37" i="7"/>
  <c r="AF39" i="7"/>
  <c r="AF40" i="7"/>
  <c r="AF41" i="7"/>
  <c r="AF25" i="7"/>
  <c r="AF16" i="7"/>
  <c r="AF41" i="17" l="1"/>
  <c r="CE50" i="7"/>
  <c r="AF30" i="3"/>
  <c r="AF24" i="3"/>
  <c r="AF23" i="3"/>
  <c r="AF22" i="3"/>
  <c r="AF21" i="3"/>
  <c r="AF20" i="3"/>
  <c r="AF18" i="3"/>
  <c r="AF16" i="3"/>
  <c r="AF15" i="3"/>
  <c r="AF14" i="3"/>
  <c r="AF13" i="3"/>
  <c r="AF12" i="3"/>
  <c r="AF11" i="3"/>
  <c r="AF10" i="3"/>
  <c r="AE12" i="3"/>
  <c r="AE11" i="3"/>
  <c r="AE10" i="3"/>
  <c r="AE7" i="3"/>
  <c r="AE42" i="7"/>
  <c r="AE20" i="7"/>
  <c r="AE26" i="7" s="1"/>
  <c r="AF39" i="4"/>
  <c r="AE23" i="4"/>
  <c r="AE10" i="4"/>
  <c r="AE19" i="4"/>
  <c r="AF32" i="16" l="1"/>
  <c r="AF33" i="16" s="1"/>
  <c r="AF43" i="15"/>
  <c r="AE27" i="3"/>
  <c r="AF9" i="3"/>
  <c r="AF8" i="3" s="1"/>
  <c r="AF25" i="3" s="1"/>
  <c r="AF28" i="3" s="1"/>
  <c r="AF32" i="3"/>
  <c r="AF43" i="4"/>
  <c r="AE21" i="4"/>
  <c r="AE44" i="7"/>
  <c r="AE24" i="3"/>
  <c r="AE27" i="16" l="1"/>
  <c r="AE28" i="16" s="1"/>
  <c r="AE21" i="15"/>
  <c r="AF26" i="3"/>
  <c r="AF31" i="3"/>
  <c r="AF29" i="3"/>
  <c r="AA10" i="4"/>
  <c r="AE29" i="16" l="1"/>
  <c r="AF33" i="3"/>
  <c r="CD48" i="7" l="1"/>
  <c r="CD35" i="7"/>
  <c r="CD18" i="7"/>
  <c r="CD22" i="7" s="1"/>
  <c r="AD42" i="7"/>
  <c r="AD20" i="7"/>
  <c r="AD26" i="7" s="1"/>
  <c r="AD24" i="3"/>
  <c r="BH24" i="3" s="1"/>
  <c r="AD21" i="3"/>
  <c r="AE21" i="3"/>
  <c r="AD20" i="3"/>
  <c r="AE20" i="3"/>
  <c r="AE23" i="3"/>
  <c r="AE22" i="3"/>
  <c r="AE18" i="3"/>
  <c r="AE17" i="3"/>
  <c r="BH17" i="3" s="1"/>
  <c r="AE16" i="3"/>
  <c r="BH16" i="3" s="1"/>
  <c r="AE15" i="3"/>
  <c r="AE14" i="3"/>
  <c r="AE13" i="3"/>
  <c r="AE39" i="4"/>
  <c r="AE32" i="16" s="1"/>
  <c r="AE34" i="4"/>
  <c r="AD23" i="4"/>
  <c r="BH23" i="4" s="1"/>
  <c r="AD10" i="4"/>
  <c r="BH10" i="4" s="1"/>
  <c r="AD44" i="7" l="1"/>
  <c r="CD50" i="7"/>
  <c r="AE30" i="16"/>
  <c r="AE31" i="16" s="1"/>
  <c r="AE33" i="16" s="1"/>
  <c r="AE37" i="15"/>
  <c r="AE43" i="15" s="1"/>
  <c r="BH21" i="3"/>
  <c r="AE30" i="3"/>
  <c r="AE37" i="4"/>
  <c r="AE43" i="4" s="1"/>
  <c r="AE32" i="3"/>
  <c r="AE9" i="3"/>
  <c r="AE8" i="3" s="1"/>
  <c r="AE25" i="3" s="1"/>
  <c r="AD19" i="4"/>
  <c r="BH19" i="4" l="1"/>
  <c r="BH21" i="4" s="1"/>
  <c r="BH37" i="4" s="1"/>
  <c r="AD27" i="3"/>
  <c r="BH27" i="3" s="1"/>
  <c r="AD21" i="4"/>
  <c r="AD23" i="3"/>
  <c r="BH23" i="3" s="1"/>
  <c r="AD27" i="16" l="1"/>
  <c r="AD21" i="15"/>
  <c r="BH19" i="15"/>
  <c r="BH21" i="15" s="1"/>
  <c r="AE26" i="3"/>
  <c r="AE28" i="3"/>
  <c r="AC32" i="3"/>
  <c r="AC30" i="3"/>
  <c r="AC27" i="3"/>
  <c r="AC24" i="3"/>
  <c r="AC23" i="3"/>
  <c r="AC22" i="3"/>
  <c r="AD22" i="3"/>
  <c r="BH22" i="3" s="1"/>
  <c r="AC21" i="3"/>
  <c r="AC20" i="3"/>
  <c r="AC18" i="3"/>
  <c r="AD18" i="3"/>
  <c r="BH18" i="3" s="1"/>
  <c r="AC15" i="3"/>
  <c r="AD15" i="3"/>
  <c r="BH15" i="3" s="1"/>
  <c r="AC14" i="3"/>
  <c r="AD14" i="3"/>
  <c r="BH14" i="3" s="1"/>
  <c r="AC13" i="3"/>
  <c r="AD13" i="3"/>
  <c r="BH13" i="3" s="1"/>
  <c r="AC12" i="3"/>
  <c r="AD12" i="3"/>
  <c r="BH12" i="3" s="1"/>
  <c r="AC11" i="3"/>
  <c r="AD11" i="3"/>
  <c r="BH11" i="3" s="1"/>
  <c r="AC10" i="3"/>
  <c r="AD10" i="3"/>
  <c r="BH10" i="3" s="1"/>
  <c r="AC7" i="3"/>
  <c r="AD7" i="3"/>
  <c r="BH7" i="3" s="1"/>
  <c r="AD39" i="4"/>
  <c r="AD34" i="4"/>
  <c r="AC23" i="4"/>
  <c r="BH39" i="4" l="1"/>
  <c r="BH43" i="4" s="1"/>
  <c r="AD37" i="15"/>
  <c r="AD28" i="16"/>
  <c r="BH27" i="16"/>
  <c r="AD32" i="3"/>
  <c r="BH32" i="3" s="1"/>
  <c r="AD9" i="3"/>
  <c r="BH9" i="3" s="1"/>
  <c r="AD30" i="3"/>
  <c r="BH30" i="3" s="1"/>
  <c r="AD37" i="4"/>
  <c r="AE29" i="3"/>
  <c r="AE31" i="3"/>
  <c r="AE33" i="3" s="1"/>
  <c r="AC9" i="3"/>
  <c r="AC8" i="3" s="1"/>
  <c r="AC25" i="3" s="1"/>
  <c r="AB10" i="4"/>
  <c r="BG9" i="4"/>
  <c r="BG16" i="4"/>
  <c r="BG20" i="4"/>
  <c r="AD43" i="15" l="1"/>
  <c r="AD29" i="16"/>
  <c r="BH28" i="16"/>
  <c r="BH29" i="16" s="1"/>
  <c r="AD30" i="16"/>
  <c r="BH30" i="16" s="1"/>
  <c r="BH34" i="15"/>
  <c r="BH37" i="15" s="1"/>
  <c r="AD32" i="16"/>
  <c r="BH32" i="16" s="1"/>
  <c r="BH39" i="15"/>
  <c r="AD43" i="4"/>
  <c r="AD8" i="3"/>
  <c r="AC26" i="3"/>
  <c r="AC28" i="3"/>
  <c r="AC18" i="4"/>
  <c r="BG18" i="15" s="1"/>
  <c r="AC17" i="4"/>
  <c r="BH43" i="15" l="1"/>
  <c r="AD31" i="16"/>
  <c r="BG17" i="15"/>
  <c r="AD25" i="3"/>
  <c r="AC10" i="4"/>
  <c r="AC21" i="4" s="1"/>
  <c r="BG17" i="4"/>
  <c r="AC31" i="3"/>
  <c r="AC33" i="3" s="1"/>
  <c r="AC29" i="3"/>
  <c r="AD33" i="16" l="1"/>
  <c r="BH33" i="16" s="1"/>
  <c r="BH31" i="16"/>
  <c r="AC21" i="15"/>
  <c r="AC37" i="15" s="1"/>
  <c r="AC43" i="15" s="1"/>
  <c r="BG10" i="15"/>
  <c r="BG21" i="15" s="1"/>
  <c r="BG37" i="15" s="1"/>
  <c r="BG43" i="15" s="1"/>
  <c r="AC37" i="4"/>
  <c r="AC43" i="4" s="1"/>
  <c r="AD26" i="3"/>
  <c r="AD28" i="3"/>
  <c r="CC35" i="7"/>
  <c r="CC48" i="7"/>
  <c r="CB48" i="7"/>
  <c r="CB35" i="7"/>
  <c r="CC18" i="7"/>
  <c r="CC22" i="7" s="1"/>
  <c r="AC42" i="7"/>
  <c r="AC20" i="7"/>
  <c r="AC26" i="7" s="1"/>
  <c r="BG16" i="3"/>
  <c r="AB21" i="3"/>
  <c r="AB20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7" i="3"/>
  <c r="AA17" i="3"/>
  <c r="AA20" i="3"/>
  <c r="Z20" i="3"/>
  <c r="BG33" i="4"/>
  <c r="BG32" i="4"/>
  <c r="BG29" i="4"/>
  <c r="BG23" i="4" s="1"/>
  <c r="BA9" i="4"/>
  <c r="AB23" i="4"/>
  <c r="AA23" i="4"/>
  <c r="AD31" i="3" l="1"/>
  <c r="AD29" i="3"/>
  <c r="AC44" i="7"/>
  <c r="BG15" i="3"/>
  <c r="CC50" i="7"/>
  <c r="BG20" i="3"/>
  <c r="BG11" i="3"/>
  <c r="BG12" i="3"/>
  <c r="BG14" i="3"/>
  <c r="BG13" i="3"/>
  <c r="BG10" i="3"/>
  <c r="Z9" i="3"/>
  <c r="BG17" i="3"/>
  <c r="AD33" i="3" l="1"/>
  <c r="BG19" i="4"/>
  <c r="BG18" i="4"/>
  <c r="BG13" i="4"/>
  <c r="BG12" i="4"/>
  <c r="BG11" i="4"/>
  <c r="BG15" i="4"/>
  <c r="BG14" i="4"/>
  <c r="BF9" i="4"/>
  <c r="BF20" i="4"/>
  <c r="BF18" i="4"/>
  <c r="BF14" i="4"/>
  <c r="BF12" i="4"/>
  <c r="CB18" i="7" l="1"/>
  <c r="CB22" i="7" s="1"/>
  <c r="AB42" i="7"/>
  <c r="AB20" i="7"/>
  <c r="AB26" i="7" s="1"/>
  <c r="CB50" i="7" l="1"/>
  <c r="AB44" i="7"/>
  <c r="AB21" i="4"/>
  <c r="AB37" i="4" s="1"/>
  <c r="AB43" i="4" s="1"/>
  <c r="AB32" i="3"/>
  <c r="AB30" i="3"/>
  <c r="AB27" i="3"/>
  <c r="AB24" i="3"/>
  <c r="AB23" i="3"/>
  <c r="AB22" i="3"/>
  <c r="AB18" i="3"/>
  <c r="AB7" i="3"/>
  <c r="AB9" i="3" l="1"/>
  <c r="BV48" i="7"/>
  <c r="AB8" i="3" l="1"/>
  <c r="AB25" i="3" s="1"/>
  <c r="BQ31" i="7"/>
  <c r="BQ34" i="17" l="1"/>
  <c r="BQ48" i="17" s="1"/>
  <c r="AB28" i="3"/>
  <c r="AB31" i="3" s="1"/>
  <c r="AB33" i="3" s="1"/>
  <c r="AB26" i="3"/>
  <c r="CA18" i="7"/>
  <c r="CA22" i="7" s="1"/>
  <c r="BZ18" i="7"/>
  <c r="BZ22" i="7" s="1"/>
  <c r="BY18" i="7"/>
  <c r="BY22" i="7" s="1"/>
  <c r="BX18" i="7"/>
  <c r="BX22" i="7" s="1"/>
  <c r="BW18" i="7"/>
  <c r="BW22" i="7" s="1"/>
  <c r="BV18" i="7"/>
  <c r="BV22" i="7" s="1"/>
  <c r="BU18" i="7"/>
  <c r="BU22" i="7" s="1"/>
  <c r="BT18" i="7"/>
  <c r="BT22" i="7" s="1"/>
  <c r="BS18" i="7"/>
  <c r="BS22" i="7" s="1"/>
  <c r="BR18" i="7"/>
  <c r="BR22" i="7" s="1"/>
  <c r="BQ18" i="7"/>
  <c r="BQ22" i="7" s="1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CA35" i="7"/>
  <c r="BZ35" i="7"/>
  <c r="BX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CA48" i="7"/>
  <c r="BZ48" i="7"/>
  <c r="BY48" i="7"/>
  <c r="BX48" i="7"/>
  <c r="BW48" i="7"/>
  <c r="BU48" i="7"/>
  <c r="BT48" i="7"/>
  <c r="BS48" i="7"/>
  <c r="BR48" i="7"/>
  <c r="BQ48" i="7"/>
  <c r="BP48" i="7"/>
  <c r="BO48" i="7"/>
  <c r="BN48" i="7"/>
  <c r="BM48" i="7"/>
  <c r="BL48" i="7"/>
  <c r="BK48" i="7"/>
  <c r="BJ48" i="7"/>
  <c r="BI48" i="7"/>
  <c r="BH48" i="7"/>
  <c r="BG48" i="7"/>
  <c r="BF48" i="7"/>
  <c r="BE48" i="7"/>
  <c r="BD48" i="7"/>
  <c r="BC48" i="7"/>
  <c r="BB48" i="7"/>
  <c r="BB35" i="7"/>
  <c r="BB18" i="7"/>
  <c r="AA20" i="7"/>
  <c r="AA26" i="7" s="1"/>
  <c r="Z20" i="7"/>
  <c r="Z26" i="7" s="1"/>
  <c r="X20" i="7"/>
  <c r="X26" i="7" s="1"/>
  <c r="W20" i="7"/>
  <c r="W26" i="7" s="1"/>
  <c r="V20" i="7"/>
  <c r="V26" i="7" s="1"/>
  <c r="U20" i="7"/>
  <c r="U26" i="7" s="1"/>
  <c r="T20" i="7"/>
  <c r="T26" i="7" s="1"/>
  <c r="S20" i="7"/>
  <c r="S26" i="7" s="1"/>
  <c r="R20" i="7"/>
  <c r="R26" i="7" s="1"/>
  <c r="Q20" i="7"/>
  <c r="Q26" i="7" s="1"/>
  <c r="P20" i="7"/>
  <c r="P26" i="7" s="1"/>
  <c r="O20" i="7"/>
  <c r="O26" i="7" s="1"/>
  <c r="N20" i="7"/>
  <c r="N26" i="7" s="1"/>
  <c r="M20" i="7"/>
  <c r="M26" i="7" s="1"/>
  <c r="L20" i="7"/>
  <c r="L26" i="7" s="1"/>
  <c r="K20" i="7"/>
  <c r="K26" i="7" s="1"/>
  <c r="J20" i="7"/>
  <c r="J26" i="7" s="1"/>
  <c r="I20" i="7"/>
  <c r="I26" i="7" s="1"/>
  <c r="H20" i="7"/>
  <c r="H26" i="7" s="1"/>
  <c r="G20" i="7"/>
  <c r="G26" i="7" s="1"/>
  <c r="F20" i="7"/>
  <c r="F26" i="7" s="1"/>
  <c r="E20" i="7"/>
  <c r="E26" i="7" s="1"/>
  <c r="D20" i="7"/>
  <c r="D26" i="7" s="1"/>
  <c r="C20" i="7"/>
  <c r="C26" i="7" s="1"/>
  <c r="B20" i="7"/>
  <c r="B26" i="7" s="1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BD39" i="4"/>
  <c r="BC39" i="4"/>
  <c r="BB39" i="4"/>
  <c r="BD33" i="4"/>
  <c r="BC33" i="4"/>
  <c r="BB33" i="4"/>
  <c r="BA33" i="4"/>
  <c r="BD32" i="4"/>
  <c r="BC32" i="4"/>
  <c r="BB32" i="4"/>
  <c r="BA32" i="4"/>
  <c r="BD31" i="4"/>
  <c r="BC31" i="4"/>
  <c r="BB31" i="4"/>
  <c r="BA31" i="4"/>
  <c r="BD30" i="4"/>
  <c r="BC30" i="4"/>
  <c r="BB30" i="4"/>
  <c r="BA30" i="4"/>
  <c r="BD29" i="4"/>
  <c r="BC29" i="4"/>
  <c r="BB29" i="4"/>
  <c r="BA29" i="4"/>
  <c r="BD28" i="4"/>
  <c r="BC28" i="4"/>
  <c r="BB28" i="4"/>
  <c r="BA28" i="4"/>
  <c r="BD27" i="4"/>
  <c r="BC27" i="4"/>
  <c r="BB27" i="4"/>
  <c r="BA27" i="4"/>
  <c r="BD26" i="4"/>
  <c r="BC26" i="4"/>
  <c r="BB26" i="4"/>
  <c r="BA26" i="4"/>
  <c r="BD25" i="4"/>
  <c r="BC25" i="4"/>
  <c r="BB25" i="4"/>
  <c r="BA25" i="4"/>
  <c r="BD20" i="4"/>
  <c r="BC20" i="4"/>
  <c r="BB20" i="4"/>
  <c r="BA20" i="4"/>
  <c r="BD19" i="4"/>
  <c r="BC19" i="4"/>
  <c r="BB19" i="4"/>
  <c r="BA19" i="4"/>
  <c r="BD18" i="4"/>
  <c r="BC18" i="4"/>
  <c r="BB18" i="4"/>
  <c r="BA18" i="4"/>
  <c r="BD16" i="4"/>
  <c r="BC16" i="4"/>
  <c r="BB16" i="4"/>
  <c r="BA16" i="4"/>
  <c r="BD15" i="4"/>
  <c r="BC15" i="4"/>
  <c r="BB15" i="4"/>
  <c r="BA15" i="4"/>
  <c r="BD14" i="4"/>
  <c r="BC14" i="4"/>
  <c r="BB14" i="4"/>
  <c r="BA14" i="4"/>
  <c r="BD13" i="4"/>
  <c r="BC13" i="4"/>
  <c r="BB13" i="4"/>
  <c r="BA13" i="4"/>
  <c r="BD12" i="4"/>
  <c r="BC12" i="4"/>
  <c r="BB12" i="4"/>
  <c r="BA12" i="4"/>
  <c r="BD11" i="4"/>
  <c r="BC11" i="4"/>
  <c r="BB11" i="4"/>
  <c r="BA11" i="4"/>
  <c r="BD9" i="4"/>
  <c r="BC9" i="4"/>
  <c r="BB9" i="4"/>
  <c r="BE34" i="4"/>
  <c r="BE32" i="4"/>
  <c r="BE31" i="4"/>
  <c r="BE30" i="4"/>
  <c r="BE29" i="4"/>
  <c r="BE28" i="4"/>
  <c r="BE27" i="4"/>
  <c r="BE26" i="4"/>
  <c r="BE25" i="4"/>
  <c r="BE20" i="4"/>
  <c r="BE19" i="4"/>
  <c r="BE18" i="4"/>
  <c r="BE16" i="4"/>
  <c r="BE15" i="4"/>
  <c r="BE14" i="4"/>
  <c r="BE13" i="4"/>
  <c r="BE12" i="4"/>
  <c r="BE11" i="4"/>
  <c r="Z32" i="3"/>
  <c r="Y32" i="3"/>
  <c r="X32" i="3"/>
  <c r="V32" i="3"/>
  <c r="U32" i="3"/>
  <c r="T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Z30" i="3"/>
  <c r="Y30" i="3"/>
  <c r="X30" i="3"/>
  <c r="V30" i="3"/>
  <c r="U30" i="3"/>
  <c r="T30" i="3"/>
  <c r="S30" i="3"/>
  <c r="R30" i="3"/>
  <c r="P30" i="3"/>
  <c r="O30" i="3"/>
  <c r="N30" i="3"/>
  <c r="L30" i="3"/>
  <c r="K30" i="3"/>
  <c r="J30" i="3"/>
  <c r="H30" i="3"/>
  <c r="G30" i="3"/>
  <c r="F30" i="3"/>
  <c r="D30" i="3"/>
  <c r="C30" i="3"/>
  <c r="B30" i="3"/>
  <c r="Z27" i="3"/>
  <c r="Y27" i="3"/>
  <c r="X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W24" i="3"/>
  <c r="V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A30" i="3"/>
  <c r="AA18" i="3"/>
  <c r="AA7" i="3"/>
  <c r="BC50" i="7" l="1"/>
  <c r="BK50" i="7"/>
  <c r="BG30" i="3"/>
  <c r="BB10" i="3"/>
  <c r="BD10" i="3"/>
  <c r="BF10" i="3"/>
  <c r="BA14" i="3"/>
  <c r="BG18" i="3"/>
  <c r="AB29" i="3"/>
  <c r="BS50" i="7"/>
  <c r="BB20" i="3"/>
  <c r="BD20" i="3"/>
  <c r="BG7" i="3"/>
  <c r="BF20" i="3"/>
  <c r="BA24" i="3"/>
  <c r="BA15" i="3"/>
  <c r="BA7" i="3"/>
  <c r="Q9" i="3"/>
  <c r="Q8" i="3" s="1"/>
  <c r="Q25" i="3" s="1"/>
  <c r="Q26" i="3" s="1"/>
  <c r="BA20" i="3"/>
  <c r="BB24" i="3"/>
  <c r="BF15" i="3"/>
  <c r="BA22" i="3"/>
  <c r="BC22" i="3"/>
  <c r="BA32" i="3"/>
  <c r="BB11" i="3"/>
  <c r="I9" i="3"/>
  <c r="I8" i="3" s="1"/>
  <c r="I25" i="3" s="1"/>
  <c r="BA18" i="3"/>
  <c r="BD27" i="3"/>
  <c r="BA10" i="3"/>
  <c r="BC10" i="3"/>
  <c r="BB14" i="3"/>
  <c r="BD14" i="3"/>
  <c r="BC20" i="3"/>
  <c r="BA27" i="3"/>
  <c r="BD15" i="3"/>
  <c r="BF11" i="3"/>
  <c r="BC15" i="3"/>
  <c r="BD21" i="3"/>
  <c r="BF21" i="3"/>
  <c r="BC27" i="3"/>
  <c r="BE27" i="3"/>
  <c r="BD11" i="3"/>
  <c r="BE15" i="3"/>
  <c r="BE7" i="3"/>
  <c r="BF13" i="3"/>
  <c r="BC18" i="3"/>
  <c r="BE18" i="3"/>
  <c r="BF23" i="3"/>
  <c r="BC32" i="3"/>
  <c r="BE20" i="3"/>
  <c r="BD24" i="3"/>
  <c r="BC12" i="3"/>
  <c r="Y9" i="3"/>
  <c r="BB13" i="3"/>
  <c r="BD13" i="3"/>
  <c r="BF14" i="3"/>
  <c r="BB23" i="3"/>
  <c r="BD23" i="3"/>
  <c r="BC14" i="3"/>
  <c r="BD7" i="3"/>
  <c r="BA11" i="3"/>
  <c r="BC11" i="3"/>
  <c r="BE11" i="3"/>
  <c r="BB15" i="3"/>
  <c r="BA21" i="3"/>
  <c r="BC21" i="3"/>
  <c r="BE21" i="3"/>
  <c r="BB27" i="3"/>
  <c r="BA12" i="3"/>
  <c r="BE14" i="3"/>
  <c r="BE12" i="3"/>
  <c r="BB17" i="3"/>
  <c r="BD17" i="3"/>
  <c r="BF17" i="3"/>
  <c r="BE22" i="3"/>
  <c r="BA13" i="3"/>
  <c r="BC13" i="3"/>
  <c r="BE13" i="3"/>
  <c r="BB18" i="3"/>
  <c r="BD18" i="3"/>
  <c r="BC23" i="3"/>
  <c r="BE23" i="3"/>
  <c r="BB32" i="3"/>
  <c r="BD32" i="3"/>
  <c r="BA23" i="3"/>
  <c r="H9" i="3"/>
  <c r="H8" i="3" s="1"/>
  <c r="H25" i="3" s="1"/>
  <c r="P9" i="3"/>
  <c r="P8" i="3" s="1"/>
  <c r="P25" i="3" s="1"/>
  <c r="X9" i="3"/>
  <c r="BB12" i="3"/>
  <c r="BF12" i="3"/>
  <c r="BE17" i="3"/>
  <c r="BF18" i="3"/>
  <c r="BB21" i="3"/>
  <c r="BB22" i="3"/>
  <c r="BD22" i="3"/>
  <c r="BF22" i="3"/>
  <c r="BC24" i="3"/>
  <c r="BE30" i="3"/>
  <c r="W9" i="3"/>
  <c r="W8" i="3" s="1"/>
  <c r="W25" i="3" s="1"/>
  <c r="J9" i="3"/>
  <c r="G9" i="3"/>
  <c r="G8" i="3" s="1"/>
  <c r="G25" i="3" s="1"/>
  <c r="N9" i="3"/>
  <c r="B9" i="3"/>
  <c r="R9" i="3"/>
  <c r="BD12" i="3"/>
  <c r="F9" i="3"/>
  <c r="BF7" i="3"/>
  <c r="D9" i="3"/>
  <c r="D8" i="3" s="1"/>
  <c r="D25" i="3" s="1"/>
  <c r="L9" i="3"/>
  <c r="L8" i="3" s="1"/>
  <c r="L25" i="3" s="1"/>
  <c r="T9" i="3"/>
  <c r="BA17" i="3"/>
  <c r="O9" i="3"/>
  <c r="O8" i="3" s="1"/>
  <c r="O25" i="3" s="1"/>
  <c r="M9" i="3"/>
  <c r="M8" i="3" s="1"/>
  <c r="M25" i="3" s="1"/>
  <c r="U9" i="3"/>
  <c r="C9" i="3"/>
  <c r="C8" i="3" s="1"/>
  <c r="C25" i="3" s="1"/>
  <c r="K9" i="3"/>
  <c r="K8" i="3" s="1"/>
  <c r="K25" i="3" s="1"/>
  <c r="S9" i="3"/>
  <c r="V9" i="3"/>
  <c r="E9" i="3"/>
  <c r="E8" i="3" s="1"/>
  <c r="E25" i="3" s="1"/>
  <c r="BB7" i="3"/>
  <c r="BE10" i="3"/>
  <c r="BC17" i="3"/>
  <c r="BC7" i="3"/>
  <c r="G44" i="7"/>
  <c r="CA50" i="7"/>
  <c r="BE50" i="7"/>
  <c r="BM50" i="7"/>
  <c r="BU50" i="7"/>
  <c r="BX50" i="7"/>
  <c r="BO50" i="7"/>
  <c r="BB50" i="7"/>
  <c r="O44" i="7"/>
  <c r="W44" i="7"/>
  <c r="BG50" i="7"/>
  <c r="BI50" i="7"/>
  <c r="BQ50" i="7"/>
  <c r="BJ50" i="7"/>
  <c r="BR50" i="7"/>
  <c r="BZ50" i="7"/>
  <c r="B44" i="7"/>
  <c r="I44" i="7"/>
  <c r="Q44" i="7"/>
  <c r="V44" i="7"/>
  <c r="BF50" i="7"/>
  <c r="BN50" i="7"/>
  <c r="BV50" i="7"/>
  <c r="D44" i="7"/>
  <c r="L44" i="7"/>
  <c r="T44" i="7"/>
  <c r="BH50" i="7"/>
  <c r="BP50" i="7"/>
  <c r="BD50" i="7"/>
  <c r="BL50" i="7"/>
  <c r="BT50" i="7"/>
  <c r="F44" i="7"/>
  <c r="N44" i="7"/>
  <c r="K44" i="7"/>
  <c r="S44" i="7"/>
  <c r="AA44" i="7"/>
  <c r="C44" i="7"/>
  <c r="E44" i="7"/>
  <c r="M44" i="7"/>
  <c r="U44" i="7"/>
  <c r="H44" i="7"/>
  <c r="P44" i="7"/>
  <c r="X44" i="7"/>
  <c r="J44" i="7"/>
  <c r="R44" i="7"/>
  <c r="Z44" i="7"/>
  <c r="Y33" i="4"/>
  <c r="Y10" i="4"/>
  <c r="Y24" i="3" l="1"/>
  <c r="Y8" i="3" s="1"/>
  <c r="Y25" i="3" s="1"/>
  <c r="I28" i="3"/>
  <c r="I29" i="3" s="1"/>
  <c r="I26" i="3"/>
  <c r="D28" i="3"/>
  <c r="D31" i="3" s="1"/>
  <c r="D33" i="3" s="1"/>
  <c r="D26" i="3"/>
  <c r="Q28" i="3"/>
  <c r="Q29" i="3" s="1"/>
  <c r="W26" i="3"/>
  <c r="K26" i="3"/>
  <c r="K28" i="3"/>
  <c r="K31" i="3" s="1"/>
  <c r="K33" i="3" s="1"/>
  <c r="L26" i="3"/>
  <c r="L28" i="3"/>
  <c r="L31" i="3" s="1"/>
  <c r="L33" i="3" s="1"/>
  <c r="O28" i="3"/>
  <c r="O29" i="3" s="1"/>
  <c r="O26" i="3"/>
  <c r="C28" i="3"/>
  <c r="C31" i="3" s="1"/>
  <c r="C33" i="3" s="1"/>
  <c r="C26" i="3"/>
  <c r="G26" i="3"/>
  <c r="G28" i="3"/>
  <c r="G29" i="3" s="1"/>
  <c r="N8" i="3"/>
  <c r="BD9" i="3"/>
  <c r="BD8" i="3" s="1"/>
  <c r="B8" i="3"/>
  <c r="BA9" i="3"/>
  <c r="BA8" i="3" s="1"/>
  <c r="BA25" i="3" s="1"/>
  <c r="BA26" i="3" s="1"/>
  <c r="F8" i="3"/>
  <c r="BB9" i="3"/>
  <c r="BB8" i="3" s="1"/>
  <c r="BB25" i="3" s="1"/>
  <c r="V8" i="3"/>
  <c r="BF9" i="3"/>
  <c r="BE9" i="3"/>
  <c r="J8" i="3"/>
  <c r="BC9" i="3"/>
  <c r="BC8" i="3" s="1"/>
  <c r="E28" i="3"/>
  <c r="E26" i="3"/>
  <c r="H28" i="3"/>
  <c r="H26" i="3"/>
  <c r="M28" i="3"/>
  <c r="M26" i="3"/>
  <c r="P26" i="3"/>
  <c r="P28" i="3"/>
  <c r="X33" i="4"/>
  <c r="X10" i="4"/>
  <c r="W19" i="4"/>
  <c r="W39" i="4"/>
  <c r="W34" i="4"/>
  <c r="U33" i="4"/>
  <c r="U10" i="4"/>
  <c r="X24" i="3" l="1"/>
  <c r="BF24" i="3" s="1"/>
  <c r="BF8" i="3" s="1"/>
  <c r="BF25" i="3" s="1"/>
  <c r="W30" i="16"/>
  <c r="BF30" i="16" s="1"/>
  <c r="BF34" i="15"/>
  <c r="W32" i="16"/>
  <c r="BF32" i="16" s="1"/>
  <c r="BF39" i="15"/>
  <c r="Y24" i="16"/>
  <c r="Y8" i="16" s="1"/>
  <c r="Y25" i="16" s="1"/>
  <c r="Y37" i="15"/>
  <c r="Y43" i="15" s="1"/>
  <c r="BF19" i="15"/>
  <c r="BF21" i="15" s="1"/>
  <c r="W27" i="16"/>
  <c r="W21" i="15"/>
  <c r="W37" i="15" s="1"/>
  <c r="U24" i="3"/>
  <c r="U8" i="3" s="1"/>
  <c r="U25" i="3" s="1"/>
  <c r="U28" i="3" s="1"/>
  <c r="U29" i="3" s="1"/>
  <c r="W30" i="3"/>
  <c r="BF30" i="3" s="1"/>
  <c r="BF34" i="4"/>
  <c r="W32" i="3"/>
  <c r="BF32" i="3" s="1"/>
  <c r="BF39" i="4"/>
  <c r="W27" i="3"/>
  <c r="BF27" i="3" s="1"/>
  <c r="BF19" i="4"/>
  <c r="D29" i="3"/>
  <c r="Y28" i="3"/>
  <c r="Y26" i="3"/>
  <c r="K29" i="3"/>
  <c r="C29" i="3"/>
  <c r="G31" i="3"/>
  <c r="G33" i="3" s="1"/>
  <c r="F25" i="3"/>
  <c r="L29" i="3"/>
  <c r="O31" i="3"/>
  <c r="O33" i="3" s="1"/>
  <c r="N25" i="3"/>
  <c r="V25" i="3"/>
  <c r="J25" i="3"/>
  <c r="B25" i="3"/>
  <c r="B5" i="3" s="1"/>
  <c r="E29" i="3"/>
  <c r="M29" i="3"/>
  <c r="P31" i="3"/>
  <c r="P33" i="3" s="1"/>
  <c r="P29" i="3"/>
  <c r="H29" i="3"/>
  <c r="H31" i="3"/>
  <c r="H33" i="3" s="1"/>
  <c r="X8" i="3" l="1"/>
  <c r="X25" i="3" s="1"/>
  <c r="X26" i="3" s="1"/>
  <c r="U26" i="3"/>
  <c r="W43" i="15"/>
  <c r="Y28" i="16"/>
  <c r="Y26" i="16"/>
  <c r="BF27" i="16"/>
  <c r="W28" i="16"/>
  <c r="X24" i="16"/>
  <c r="BF33" i="15"/>
  <c r="X37" i="15"/>
  <c r="X43" i="15" s="1"/>
  <c r="U24" i="16"/>
  <c r="U8" i="16" s="1"/>
  <c r="U25" i="16" s="1"/>
  <c r="U37" i="15"/>
  <c r="U43" i="15" s="1"/>
  <c r="W28" i="3"/>
  <c r="W31" i="3" s="1"/>
  <c r="W33" i="3" s="1"/>
  <c r="Y31" i="3"/>
  <c r="Y33" i="3" s="1"/>
  <c r="Y29" i="3"/>
  <c r="U31" i="3"/>
  <c r="U33" i="3" s="1"/>
  <c r="B26" i="3"/>
  <c r="B28" i="3"/>
  <c r="V26" i="3"/>
  <c r="V28" i="3"/>
  <c r="F28" i="3"/>
  <c r="F26" i="3"/>
  <c r="J28" i="3"/>
  <c r="J26" i="3"/>
  <c r="N28" i="3"/>
  <c r="N26" i="3"/>
  <c r="T10" i="4"/>
  <c r="T33" i="4"/>
  <c r="R33" i="4"/>
  <c r="S33" i="4"/>
  <c r="S39" i="4"/>
  <c r="X28" i="3" l="1"/>
  <c r="X29" i="3" s="1"/>
  <c r="BF37" i="15"/>
  <c r="BF43" i="15" s="1"/>
  <c r="W31" i="16"/>
  <c r="W29" i="16"/>
  <c r="X8" i="16"/>
  <c r="X25" i="16" s="1"/>
  <c r="BF24" i="16"/>
  <c r="BF8" i="16" s="1"/>
  <c r="BF25" i="16" s="1"/>
  <c r="S32" i="16"/>
  <c r="BE32" i="16" s="1"/>
  <c r="BE39" i="15"/>
  <c r="Y29" i="16"/>
  <c r="Y31" i="16"/>
  <c r="Y33" i="16" s="1"/>
  <c r="S24" i="3"/>
  <c r="S8" i="3" s="1"/>
  <c r="S25" i="3" s="1"/>
  <c r="S26" i="3" s="1"/>
  <c r="R24" i="16"/>
  <c r="R37" i="15"/>
  <c r="R43" i="15" s="1"/>
  <c r="T24" i="3"/>
  <c r="T8" i="3" s="1"/>
  <c r="T25" i="3" s="1"/>
  <c r="T28" i="3" s="1"/>
  <c r="U5" i="16"/>
  <c r="U28" i="16"/>
  <c r="U26" i="16"/>
  <c r="W29" i="3"/>
  <c r="BE39" i="4"/>
  <c r="S32" i="3"/>
  <c r="BE32" i="3" s="1"/>
  <c r="BE33" i="4"/>
  <c r="R24" i="3"/>
  <c r="J29" i="3"/>
  <c r="J31" i="3"/>
  <c r="J33" i="3" s="1"/>
  <c r="F29" i="3"/>
  <c r="F31" i="3"/>
  <c r="F33" i="3" s="1"/>
  <c r="V29" i="3"/>
  <c r="V31" i="3"/>
  <c r="V33" i="3" s="1"/>
  <c r="B31" i="3"/>
  <c r="B33" i="3" s="1"/>
  <c r="B29" i="3"/>
  <c r="N29" i="3"/>
  <c r="N31" i="3"/>
  <c r="N33" i="3" s="1"/>
  <c r="Q34" i="4"/>
  <c r="M34" i="4"/>
  <c r="E34" i="4"/>
  <c r="I34" i="4"/>
  <c r="X31" i="3" l="1"/>
  <c r="X33" i="3" s="1"/>
  <c r="S28" i="3"/>
  <c r="S29" i="3" s="1"/>
  <c r="Q30" i="16"/>
  <c r="BD34" i="15"/>
  <c r="BD37" i="15" s="1"/>
  <c r="BD43" i="15" s="1"/>
  <c r="Q37" i="15"/>
  <c r="Q43" i="15" s="1"/>
  <c r="E30" i="16"/>
  <c r="BA34" i="15"/>
  <c r="BA37" i="15" s="1"/>
  <c r="BA43" i="15" s="1"/>
  <c r="E37" i="15"/>
  <c r="E43" i="15" s="1"/>
  <c r="BF28" i="16"/>
  <c r="BF29" i="16" s="1"/>
  <c r="BF26" i="16"/>
  <c r="M30" i="16"/>
  <c r="BC34" i="15"/>
  <c r="BC37" i="15" s="1"/>
  <c r="BC43" i="15" s="1"/>
  <c r="M37" i="15"/>
  <c r="M43" i="15" s="1"/>
  <c r="BE33" i="15"/>
  <c r="BE37" i="15" s="1"/>
  <c r="BE43" i="15" s="1"/>
  <c r="I30" i="16"/>
  <c r="I37" i="15"/>
  <c r="I43" i="15" s="1"/>
  <c r="BB34" i="15"/>
  <c r="BB37" i="15" s="1"/>
  <c r="BB43" i="15" s="1"/>
  <c r="X26" i="16"/>
  <c r="X28" i="16"/>
  <c r="W33" i="16"/>
  <c r="T24" i="16"/>
  <c r="T8" i="16" s="1"/>
  <c r="T25" i="16" s="1"/>
  <c r="T37" i="15"/>
  <c r="T43" i="15" s="1"/>
  <c r="T26" i="3"/>
  <c r="R8" i="16"/>
  <c r="R25" i="16" s="1"/>
  <c r="S24" i="16"/>
  <c r="S8" i="16" s="1"/>
  <c r="S37" i="15"/>
  <c r="S43" i="15" s="1"/>
  <c r="U29" i="16"/>
  <c r="U31" i="16"/>
  <c r="U33" i="16" s="1"/>
  <c r="E30" i="3"/>
  <c r="BA34" i="4"/>
  <c r="Q30" i="3"/>
  <c r="BD34" i="4"/>
  <c r="I30" i="3"/>
  <c r="BB34" i="4"/>
  <c r="BC34" i="4"/>
  <c r="M30" i="3"/>
  <c r="T31" i="3"/>
  <c r="T33" i="3" s="1"/>
  <c r="T29" i="3"/>
  <c r="BE24" i="3"/>
  <c r="BE8" i="3" s="1"/>
  <c r="R8" i="3"/>
  <c r="BF30" i="4"/>
  <c r="S10" i="4"/>
  <c r="R10" i="4"/>
  <c r="S31" i="3" l="1"/>
  <c r="S33" i="3" s="1"/>
  <c r="BA30" i="16"/>
  <c r="BA31" i="16" s="1"/>
  <c r="BA33" i="16" s="1"/>
  <c r="E31" i="16"/>
  <c r="E33" i="16" s="1"/>
  <c r="BB30" i="16"/>
  <c r="BB31" i="16" s="1"/>
  <c r="BB33" i="16" s="1"/>
  <c r="I31" i="16"/>
  <c r="I33" i="16" s="1"/>
  <c r="X29" i="16"/>
  <c r="X31" i="16"/>
  <c r="BC30" i="16"/>
  <c r="BC31" i="16" s="1"/>
  <c r="BC33" i="16" s="1"/>
  <c r="M31" i="16"/>
  <c r="M33" i="16" s="1"/>
  <c r="BD30" i="16"/>
  <c r="BD31" i="16" s="1"/>
  <c r="BD33" i="16" s="1"/>
  <c r="Q31" i="16"/>
  <c r="Q33" i="16" s="1"/>
  <c r="S25" i="16"/>
  <c r="S5" i="16" s="1"/>
  <c r="R5" i="16"/>
  <c r="R26" i="16"/>
  <c r="R28" i="16"/>
  <c r="BE24" i="16"/>
  <c r="BE8" i="16" s="1"/>
  <c r="BE25" i="16" s="1"/>
  <c r="T5" i="16"/>
  <c r="T28" i="16"/>
  <c r="T26" i="16"/>
  <c r="BB30" i="3"/>
  <c r="I31" i="3"/>
  <c r="I33" i="3" s="1"/>
  <c r="BC30" i="3"/>
  <c r="M31" i="3"/>
  <c r="M33" i="3" s="1"/>
  <c r="BD30" i="3"/>
  <c r="Q31" i="3"/>
  <c r="Q33" i="3" s="1"/>
  <c r="BA30" i="3"/>
  <c r="E31" i="3"/>
  <c r="E33" i="3" s="1"/>
  <c r="R25" i="3"/>
  <c r="BE10" i="4"/>
  <c r="W10" i="4"/>
  <c r="X33" i="16" l="1"/>
  <c r="BF31" i="16"/>
  <c r="BF33" i="16" s="1"/>
  <c r="T31" i="16"/>
  <c r="T33" i="16" s="1"/>
  <c r="T29" i="16"/>
  <c r="R31" i="16"/>
  <c r="R33" i="16" s="1"/>
  <c r="R29" i="16"/>
  <c r="BE26" i="16"/>
  <c r="BE28" i="16"/>
  <c r="S26" i="16"/>
  <c r="S28" i="16"/>
  <c r="R26" i="3"/>
  <c r="R28" i="3"/>
  <c r="BF16" i="4"/>
  <c r="BF13" i="4"/>
  <c r="S31" i="16" l="1"/>
  <c r="S33" i="16" s="1"/>
  <c r="S29" i="16"/>
  <c r="BE31" i="16"/>
  <c r="BE33" i="16" s="1"/>
  <c r="BE29" i="16"/>
  <c r="R31" i="3"/>
  <c r="R33" i="3" s="1"/>
  <c r="R29" i="3"/>
  <c r="V10" i="4"/>
  <c r="BF10" i="4" s="1"/>
  <c r="AA32" i="3" l="1"/>
  <c r="BG32" i="3" s="1"/>
  <c r="AA27" i="3"/>
  <c r="BG27" i="3" s="1"/>
  <c r="AA22" i="3"/>
  <c r="BG22" i="3" s="1"/>
  <c r="AA23" i="3"/>
  <c r="BG23" i="3" s="1"/>
  <c r="AA21" i="3"/>
  <c r="BG21" i="3" s="1"/>
  <c r="AA9" i="3"/>
  <c r="BG9" i="3" s="1"/>
  <c r="Z10" i="4"/>
  <c r="BG10" i="4" s="1"/>
  <c r="BG21" i="4" l="1"/>
  <c r="BG37" i="4" s="1"/>
  <c r="BG43" i="4" s="1"/>
  <c r="BF11" i="4"/>
  <c r="BF32" i="4"/>
  <c r="BF31" i="4"/>
  <c r="BF29" i="4"/>
  <c r="BF28" i="4"/>
  <c r="BF27" i="4"/>
  <c r="BF26" i="4"/>
  <c r="BF25" i="4"/>
  <c r="Y23" i="4"/>
  <c r="X23" i="4"/>
  <c r="Y21" i="4"/>
  <c r="X21" i="4"/>
  <c r="BF21" i="4" l="1"/>
  <c r="Y37" i="4"/>
  <c r="Y43" i="4" s="1"/>
  <c r="U21" i="4"/>
  <c r="U23" i="4"/>
  <c r="U37" i="4" l="1"/>
  <c r="U43" i="4" s="1"/>
  <c r="BF15" i="4" l="1"/>
  <c r="BE9" i="4"/>
  <c r="Z23" i="4" l="1"/>
  <c r="AA24" i="3"/>
  <c r="AA21" i="4"/>
  <c r="Z24" i="3" l="1"/>
  <c r="BG24" i="3" s="1"/>
  <c r="BG8" i="3" s="1"/>
  <c r="BG25" i="3" s="1"/>
  <c r="BG26" i="3" s="1"/>
  <c r="AA8" i="3"/>
  <c r="AA37" i="4"/>
  <c r="AA43" i="4" s="1"/>
  <c r="BG28" i="3" l="1"/>
  <c r="Z8" i="3"/>
  <c r="AA25" i="3"/>
  <c r="BE21" i="4"/>
  <c r="T23" i="4"/>
  <c r="S23" i="4"/>
  <c r="R23" i="4"/>
  <c r="T21" i="4"/>
  <c r="S21" i="4"/>
  <c r="R21" i="4"/>
  <c r="BE23" i="4" l="1"/>
  <c r="BE37" i="4" s="1"/>
  <c r="BE43" i="4" s="1"/>
  <c r="BG31" i="3"/>
  <c r="BG33" i="3" s="1"/>
  <c r="BG29" i="3"/>
  <c r="Z25" i="3"/>
  <c r="AA26" i="3"/>
  <c r="AA28" i="3"/>
  <c r="T37" i="4"/>
  <c r="T43" i="4" s="1"/>
  <c r="R37" i="4"/>
  <c r="R43" i="4" s="1"/>
  <c r="S37" i="4"/>
  <c r="S43" i="4" s="1"/>
  <c r="Z26" i="3" l="1"/>
  <c r="Z28" i="3"/>
  <c r="AA29" i="3"/>
  <c r="AA31" i="3"/>
  <c r="AA33" i="3" s="1"/>
  <c r="Z21" i="4"/>
  <c r="Z29" i="3" l="1"/>
  <c r="Z31" i="3"/>
  <c r="Z33" i="3" s="1"/>
  <c r="Z37" i="4"/>
  <c r="Z43" i="4" l="1"/>
  <c r="H56" i="13"/>
  <c r="H58" i="13" s="1"/>
  <c r="H60" i="13" s="1"/>
  <c r="H34" i="13"/>
  <c r="H36" i="13" s="1"/>
  <c r="H38" i="13" s="1"/>
  <c r="H22" i="13"/>
  <c r="H24" i="13" s="1"/>
  <c r="H26" i="13" s="1"/>
  <c r="G22" i="13"/>
  <c r="B10" i="4" l="1"/>
  <c r="C10" i="4"/>
  <c r="C21" i="4" s="1"/>
  <c r="D10" i="4"/>
  <c r="D21" i="4" s="1"/>
  <c r="E10" i="4"/>
  <c r="E21" i="4" s="1"/>
  <c r="F10" i="4"/>
  <c r="G10" i="4"/>
  <c r="G21" i="4" s="1"/>
  <c r="H10" i="4"/>
  <c r="H21" i="4" s="1"/>
  <c r="I10" i="4"/>
  <c r="I21" i="4" s="1"/>
  <c r="J10" i="4"/>
  <c r="K10" i="4"/>
  <c r="K21" i="4" s="1"/>
  <c r="L10" i="4"/>
  <c r="L21" i="4" s="1"/>
  <c r="M10" i="4"/>
  <c r="M21" i="4" s="1"/>
  <c r="N10" i="4"/>
  <c r="O10" i="4"/>
  <c r="O21" i="4" s="1"/>
  <c r="P10" i="4"/>
  <c r="P21" i="4" s="1"/>
  <c r="Q10" i="4"/>
  <c r="Q21" i="4" s="1"/>
  <c r="W21" i="4"/>
  <c r="V21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V23" i="4"/>
  <c r="W23" i="4"/>
  <c r="BF33" i="4"/>
  <c r="BF23" i="4" l="1"/>
  <c r="BA23" i="4"/>
  <c r="BC23" i="4"/>
  <c r="N21" i="4"/>
  <c r="N37" i="4" s="1"/>
  <c r="N43" i="4" s="1"/>
  <c r="BD10" i="4"/>
  <c r="BD21" i="4" s="1"/>
  <c r="F21" i="4"/>
  <c r="F37" i="4" s="1"/>
  <c r="F43" i="4" s="1"/>
  <c r="BB10" i="4"/>
  <c r="BB21" i="4" s="1"/>
  <c r="BD23" i="4"/>
  <c r="BB23" i="4"/>
  <c r="J21" i="4"/>
  <c r="J37" i="4" s="1"/>
  <c r="J43" i="4" s="1"/>
  <c r="BC10" i="4"/>
  <c r="BC21" i="4" s="1"/>
  <c r="BC37" i="4" s="1"/>
  <c r="BC43" i="4" s="1"/>
  <c r="B21" i="4"/>
  <c r="B37" i="4" s="1"/>
  <c r="B43" i="4" s="1"/>
  <c r="BA10" i="4"/>
  <c r="BA21" i="4" s="1"/>
  <c r="D37" i="4"/>
  <c r="D43" i="4" s="1"/>
  <c r="C37" i="4"/>
  <c r="C43" i="4" s="1"/>
  <c r="K37" i="4"/>
  <c r="K43" i="4" s="1"/>
  <c r="I37" i="4"/>
  <c r="I43" i="4" s="1"/>
  <c r="E37" i="4"/>
  <c r="E43" i="4" s="1"/>
  <c r="M37" i="4"/>
  <c r="M43" i="4" s="1"/>
  <c r="L37" i="4"/>
  <c r="L43" i="4" s="1"/>
  <c r="Q37" i="4"/>
  <c r="Q43" i="4" s="1"/>
  <c r="V37" i="4"/>
  <c r="V38" i="4" s="1"/>
  <c r="X37" i="4"/>
  <c r="X43" i="4" s="1"/>
  <c r="H37" i="4"/>
  <c r="H43" i="4" s="1"/>
  <c r="P37" i="4"/>
  <c r="P43" i="4" s="1"/>
  <c r="W37" i="4"/>
  <c r="W43" i="4" s="1"/>
  <c r="O37" i="4"/>
  <c r="O43" i="4" s="1"/>
  <c r="G37" i="4"/>
  <c r="G43" i="4" s="1"/>
  <c r="BY35" i="7"/>
  <c r="BY50" i="7" s="1"/>
  <c r="Y20" i="7"/>
  <c r="Y26" i="7" s="1"/>
  <c r="Y44" i="7" s="1"/>
  <c r="BA37" i="4" l="1"/>
  <c r="BA43" i="4" s="1"/>
  <c r="BD37" i="4"/>
  <c r="BD43" i="4" s="1"/>
  <c r="BB37" i="4"/>
  <c r="BB43" i="4" s="1"/>
  <c r="BF37" i="4"/>
  <c r="BF43" i="4" s="1"/>
  <c r="V43" i="4"/>
  <c r="BW35" i="7" l="1"/>
  <c r="BW50" i="7" s="1"/>
  <c r="BF26" i="3" l="1"/>
  <c r="BF28" i="3"/>
  <c r="BF29" i="3" l="1"/>
  <c r="BF31" i="3"/>
  <c r="BF33" i="3" s="1"/>
  <c r="BD25" i="3" l="1"/>
  <c r="BC25" i="3"/>
  <c r="P5" i="3"/>
  <c r="I5" i="3"/>
  <c r="R5" i="3"/>
  <c r="K5" i="3"/>
  <c r="L5" i="3"/>
  <c r="M5" i="3"/>
  <c r="O5" i="3"/>
  <c r="E5" i="3"/>
  <c r="C5" i="3"/>
  <c r="D5" i="3"/>
  <c r="Q5" i="3"/>
  <c r="H5" i="3"/>
  <c r="F5" i="3"/>
  <c r="N5" i="3"/>
  <c r="BC26" i="3" l="1"/>
  <c r="BC28" i="3"/>
  <c r="BA28" i="3"/>
  <c r="BB26" i="3"/>
  <c r="BB28" i="3"/>
  <c r="BD26" i="3"/>
  <c r="BD28" i="3"/>
  <c r="J5" i="3"/>
  <c r="G5" i="3"/>
  <c r="S5" i="3"/>
  <c r="BB31" i="3" l="1"/>
  <c r="BB33" i="3" s="1"/>
  <c r="BB29" i="3"/>
  <c r="BA31" i="3"/>
  <c r="BA33" i="3" s="1"/>
  <c r="BA29" i="3"/>
  <c r="BD31" i="3"/>
  <c r="BD33" i="3" s="1"/>
  <c r="BD29" i="3"/>
  <c r="BC31" i="3"/>
  <c r="BC33" i="3" s="1"/>
  <c r="BC29" i="3"/>
  <c r="V5" i="3"/>
  <c r="G24" i="13" l="1"/>
  <c r="G26" i="13" s="1"/>
  <c r="U5" i="3" l="1"/>
  <c r="BE25" i="3" l="1"/>
  <c r="T5" i="3" l="1"/>
  <c r="BE26" i="3" l="1"/>
  <c r="F22" i="13" l="1"/>
  <c r="E22" i="13"/>
  <c r="E24" i="13" s="1"/>
  <c r="E26" i="13" s="1"/>
  <c r="D22" i="13"/>
  <c r="D24" i="13" s="1"/>
  <c r="D26" i="13" s="1"/>
  <c r="C22" i="13"/>
  <c r="C24" i="13" s="1"/>
  <c r="C26" i="13" s="1"/>
  <c r="BE28" i="3" l="1"/>
  <c r="F24" i="13"/>
  <c r="F26" i="13" s="1"/>
  <c r="BE29" i="3" l="1"/>
  <c r="BE31" i="3"/>
  <c r="BE33" i="3" s="1"/>
  <c r="CF40" i="7" l="1"/>
  <c r="CF46" i="7" l="1"/>
  <c r="CF42" i="7"/>
  <c r="CF41" i="7"/>
  <c r="AF36" i="7"/>
  <c r="AF35" i="7"/>
  <c r="AF34" i="7"/>
  <c r="CF31" i="7"/>
  <c r="CF30" i="7"/>
  <c r="CF26" i="7"/>
  <c r="CF28" i="7"/>
  <c r="CF25" i="7"/>
  <c r="CF17" i="7"/>
  <c r="CF15" i="7"/>
  <c r="CF11" i="7"/>
  <c r="CF10" i="7"/>
  <c r="CF9" i="7"/>
  <c r="CF8" i="7"/>
  <c r="AF19" i="7"/>
  <c r="AF17" i="7"/>
  <c r="AF15" i="7"/>
  <c r="AF14" i="7"/>
  <c r="AF11" i="7"/>
  <c r="AF10" i="7"/>
  <c r="AF9" i="7"/>
  <c r="AF8" i="7"/>
  <c r="CF34" i="17" l="1"/>
  <c r="CF18" i="17"/>
  <c r="CF21" i="17" s="1"/>
  <c r="CF48" i="7"/>
  <c r="AF42" i="7"/>
  <c r="CF35" i="7"/>
  <c r="AF20" i="7"/>
  <c r="AF26" i="7" s="1"/>
  <c r="CF18" i="7"/>
  <c r="CF22" i="7" s="1"/>
  <c r="B12" i="12"/>
  <c r="I12" i="12"/>
  <c r="C12" i="12"/>
  <c r="F12" i="12"/>
  <c r="G12" i="12"/>
  <c r="J12" i="12"/>
  <c r="K12" i="12"/>
  <c r="D12" i="12"/>
  <c r="E12" i="12"/>
  <c r="H12" i="12"/>
  <c r="AG20" i="3"/>
  <c r="AG8" i="3" s="1"/>
  <c r="BH25" i="4"/>
  <c r="CF48" i="17" l="1"/>
  <c r="AF44" i="7"/>
  <c r="AF44" i="17"/>
  <c r="CF50" i="7"/>
  <c r="AG25" i="3"/>
  <c r="BH20" i="3"/>
  <c r="BH25" i="3" l="1"/>
  <c r="BH26" i="3" s="1"/>
  <c r="AG28" i="3"/>
  <c r="BH28" i="3" s="1"/>
  <c r="AG26" i="3"/>
  <c r="BH8" i="3"/>
  <c r="BH29" i="3" l="1"/>
  <c r="BH31" i="3"/>
  <c r="AG29" i="3"/>
  <c r="AG31" i="3"/>
  <c r="AG33" i="3" s="1"/>
  <c r="BH33" i="3" s="1"/>
  <c r="AL18" i="16" l="1"/>
  <c r="BJ18" i="16" s="1"/>
  <c r="AL19" i="16" l="1"/>
  <c r="AL27" i="16" l="1"/>
  <c r="AL24" i="16"/>
  <c r="BJ24" i="16" s="1"/>
  <c r="AL21" i="16"/>
  <c r="AN23" i="15" l="1"/>
  <c r="AN37" i="15" s="1"/>
  <c r="AN20" i="16"/>
  <c r="AN8" i="16" l="1"/>
  <c r="AN25" i="16" s="1"/>
  <c r="AN43" i="15"/>
  <c r="AN26" i="16" l="1"/>
  <c r="AN28" i="16"/>
  <c r="AL30" i="16"/>
  <c r="BJ30" i="16" s="1"/>
  <c r="AN31" i="16" l="1"/>
  <c r="AN29" i="16"/>
  <c r="AN33" i="16" l="1"/>
  <c r="AL20" i="16"/>
  <c r="AL23" i="15"/>
  <c r="AL21" i="15" l="1"/>
  <c r="AL37" i="15" l="1"/>
  <c r="AL8" i="16"/>
  <c r="AL25" i="16" l="1"/>
  <c r="AL26" i="16" l="1"/>
  <c r="AL28" i="16"/>
  <c r="AL29" i="16" l="1"/>
  <c r="AL31" i="16"/>
  <c r="AL32" i="16" l="1"/>
  <c r="BJ32" i="16" s="1"/>
  <c r="AL43" i="15"/>
  <c r="AL33" i="16" l="1"/>
  <c r="BI21" i="4"/>
  <c r="BI37" i="4" s="1"/>
  <c r="BI43" i="4" s="1"/>
  <c r="AK9" i="4"/>
  <c r="AK7" i="3" s="1"/>
  <c r="BI7" i="3" l="1"/>
  <c r="AK25" i="3"/>
  <c r="AK21" i="4"/>
  <c r="AK37" i="4" s="1"/>
  <c r="AK43" i="4" s="1"/>
  <c r="AK28" i="3" l="1"/>
  <c r="BI28" i="3" s="1"/>
  <c r="BI31" i="3" s="1"/>
  <c r="BI25" i="3"/>
  <c r="BI26" i="3" s="1"/>
  <c r="AK26" i="3"/>
  <c r="BI29" i="3" l="1"/>
  <c r="AK29" i="3"/>
  <c r="AK31" i="3"/>
  <c r="AK33" i="3" l="1"/>
  <c r="BI33" i="3" s="1"/>
  <c r="AL44" i="17" l="1"/>
  <c r="AM25" i="16"/>
  <c r="AM28" i="16" l="1"/>
  <c r="AM26" i="16"/>
  <c r="AM29" i="16" l="1"/>
  <c r="AM31" i="16"/>
  <c r="AM33" i="16" l="1"/>
  <c r="AN43" i="4" l="1"/>
  <c r="AO27" i="16"/>
  <c r="BJ27" i="16" l="1"/>
  <c r="AO11" i="15" l="1"/>
  <c r="BJ10" i="15" l="1"/>
  <c r="BJ21" i="15" s="1"/>
  <c r="AO12" i="15"/>
  <c r="AO11" i="16" s="1"/>
  <c r="AO10" i="15" l="1"/>
  <c r="AO21" i="15" s="1"/>
  <c r="AO9" i="16"/>
  <c r="BJ11" i="16"/>
  <c r="BJ9" i="16" l="1"/>
  <c r="AO23" i="15"/>
  <c r="AO37" i="15" s="1"/>
  <c r="AO43" i="15" s="1"/>
  <c r="AO20" i="16"/>
  <c r="AO21" i="16"/>
  <c r="BJ21" i="16" s="1"/>
  <c r="BJ23" i="15"/>
  <c r="BJ37" i="15" s="1"/>
  <c r="BJ43" i="15" s="1"/>
  <c r="AO19" i="16"/>
  <c r="BJ19" i="16" l="1"/>
  <c r="BJ20" i="16"/>
  <c r="AO8" i="16"/>
  <c r="AO25" i="16" l="1"/>
  <c r="BJ8" i="16"/>
  <c r="AO26" i="16" l="1"/>
  <c r="BJ25" i="16"/>
  <c r="BJ26" i="16" s="1"/>
  <c r="BK26" i="16"/>
  <c r="AO28" i="16"/>
  <c r="AO29" i="16" l="1"/>
  <c r="BJ28" i="16"/>
  <c r="BJ29" i="16" s="1"/>
  <c r="AO31" i="16"/>
  <c r="BK29" i="16"/>
  <c r="AO33" i="16" l="1"/>
  <c r="BJ31" i="16"/>
  <c r="BJ33" i="16" l="1"/>
  <c r="AP23" i="4" l="1"/>
  <c r="AP37" i="4" s="1"/>
  <c r="AP43" i="4" s="1"/>
  <c r="AP19" i="3"/>
  <c r="AP8" i="3" l="1"/>
  <c r="AP25" i="3" l="1"/>
  <c r="AP28" i="3" s="1"/>
  <c r="AP26" i="3" l="1"/>
  <c r="AP29" i="3"/>
  <c r="AP31" i="3"/>
  <c r="AP33" i="3" l="1"/>
  <c r="AS24" i="4"/>
  <c r="AQ19" i="3"/>
  <c r="AQ8" i="3" s="1"/>
  <c r="AQ23" i="4"/>
  <c r="AQ37" i="4" s="1"/>
  <c r="AQ43" i="4" s="1"/>
  <c r="AQ25" i="3" l="1"/>
  <c r="AS19" i="3"/>
  <c r="AS8" i="3" s="1"/>
  <c r="AS25" i="3" s="1"/>
  <c r="AS26" i="3" s="1"/>
  <c r="AT23" i="4"/>
  <c r="AT37" i="4" s="1"/>
  <c r="AT43" i="4" s="1"/>
  <c r="AS23" i="4"/>
  <c r="AS37" i="4" s="1"/>
  <c r="AS43" i="4" s="1"/>
  <c r="AQ26" i="3" l="1"/>
  <c r="AQ28" i="3"/>
  <c r="AS28" i="3"/>
  <c r="BK19" i="3"/>
  <c r="BK8" i="3"/>
  <c r="BK25" i="3"/>
  <c r="BK26" i="3" s="1"/>
  <c r="AS31" i="3"/>
  <c r="AS33" i="3" s="1"/>
  <c r="AS29" i="3"/>
  <c r="AQ31" i="3" l="1"/>
  <c r="AQ29" i="3"/>
  <c r="BK28" i="3"/>
  <c r="BK29" i="3" s="1"/>
  <c r="AQ33" i="3"/>
  <c r="BK31" i="3"/>
  <c r="BK33" i="3" l="1"/>
  <c r="AU27" i="12" l="1"/>
  <c r="X28" i="12"/>
  <c r="X27" i="12"/>
  <c r="CN22" i="22" l="1"/>
  <c r="CN19" i="22"/>
  <c r="CN21" i="22"/>
  <c r="CN20" i="22"/>
  <c r="CN23" i="22" l="1"/>
  <c r="CM19" i="22" l="1"/>
  <c r="CM21" i="22"/>
  <c r="CM20" i="22"/>
  <c r="CM22" i="22"/>
  <c r="CM23" i="22" l="1"/>
  <c r="CL21" i="22" l="1"/>
  <c r="CL22" i="22" l="1"/>
  <c r="CL19" i="22"/>
  <c r="CL20" i="22"/>
  <c r="CL23" i="22" l="1"/>
  <c r="CI20" i="22" l="1"/>
  <c r="CK20" i="22" l="1"/>
  <c r="CJ19" i="22"/>
  <c r="CK19" i="22"/>
  <c r="CK23" i="22" s="1"/>
  <c r="CJ22" i="22"/>
  <c r="CK22" i="22"/>
  <c r="CI19" i="22"/>
  <c r="CI23" i="22" s="1"/>
  <c r="CI22" i="22"/>
  <c r="CJ23" i="22" l="1"/>
  <c r="AW44" i="12" l="1"/>
  <c r="AV44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Luiz Iusten Silva</author>
    <author>Pedro Crespo Bousquet Viana</author>
  </authors>
  <commentList>
    <comment ref="L9" authorId="0" shapeId="0" xr:uid="{E09CEAA0-47E2-4AE9-A595-5D68493C62F7}">
      <text>
        <r>
          <rPr>
            <sz val="9"/>
            <color indexed="81"/>
            <rFont val="Tahoma"/>
            <family val="2"/>
          </rPr>
          <t>Brasoil's results were consolidated on March 20th</t>
        </r>
      </text>
    </comment>
    <comment ref="AD9" authorId="1" shapeId="0" xr:uid="{C2C0AAD2-09DD-426B-8FC5-D7D6372A2DCF}">
      <text>
        <r>
          <rPr>
            <sz val="9"/>
            <color indexed="81"/>
            <rFont val="Segoe UI"/>
            <family val="2"/>
          </rPr>
          <t>With the tieback conclusion in July, 2021, production of Polvo Field and Tubarão Martelo Field will be shown as a cluster</t>
        </r>
      </text>
    </comment>
  </commentList>
</comments>
</file>

<file path=xl/sharedStrings.xml><?xml version="1.0" encoding="utf-8"?>
<sst xmlns="http://schemas.openxmlformats.org/spreadsheetml/2006/main" count="2055" uniqueCount="293">
  <si>
    <t>Thousands of USD;  3 months ending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</si>
  <si>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</si>
  <si>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</si>
  <si>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</si>
  <si>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</si>
  <si>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</si>
  <si>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</si>
  <si>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</si>
  <si>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</si>
  <si>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</si>
  <si>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</si>
  <si>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</si>
  <si>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</si>
  <si>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</si>
  <si>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</si>
  <si>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</si>
  <si>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</si>
  <si>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</si>
  <si>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</si>
  <si>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</si>
  <si>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</si>
  <si>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</si>
  <si>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</si>
  <si>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</si>
  <si>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</si>
  <si>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</si>
  <si>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</si>
  <si>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</si>
  <si>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</si>
  <si>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</si>
  <si>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</si>
  <si>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</si>
  <si>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</si>
  <si>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</si>
  <si>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</si>
  <si>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</si>
  <si>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</si>
  <si>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</si>
  <si>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</si>
  <si>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</si>
  <si>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</si>
  <si>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</si>
  <si>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</si>
  <si>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</si>
  <si>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</si>
  <si>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</si>
  <si>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</si>
  <si>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</si>
  <si>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</si>
  <si>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Net Revenues</t>
  </si>
  <si>
    <t>COGS</t>
  </si>
  <si>
    <t>FPSO</t>
  </si>
  <si>
    <t>Logistics</t>
  </si>
  <si>
    <t>Consumables</t>
  </si>
  <si>
    <t>Operational and maintenance</t>
  </si>
  <si>
    <t>Personnel</t>
  </si>
  <si>
    <t>HSE</t>
  </si>
  <si>
    <t>Purchase of oil for resale</t>
  </si>
  <si>
    <t>Other costs</t>
  </si>
  <si>
    <t>D&amp;A</t>
  </si>
  <si>
    <t>Royalties</t>
  </si>
  <si>
    <t>Gross profit</t>
  </si>
  <si>
    <t>Operating income (expenses)</t>
  </si>
  <si>
    <t>Commeracialization expenses</t>
  </si>
  <si>
    <t>Geology and geophysics</t>
  </si>
  <si>
    <t xml:space="preserve">Personnel expenses </t>
  </si>
  <si>
    <t>G&amp;A expenses</t>
  </si>
  <si>
    <t>Third party services</t>
  </si>
  <si>
    <t>Taxes and fees</t>
  </si>
  <si>
    <t>Income from transactions with permanent assets</t>
  </si>
  <si>
    <t>Reversal/(Prov.) for impairment</t>
  </si>
  <si>
    <t>Other</t>
  </si>
  <si>
    <t>Net Financial Results</t>
  </si>
  <si>
    <t>Financial Income</t>
  </si>
  <si>
    <t>Financial Expenses</t>
  </si>
  <si>
    <t xml:space="preserve">Income before tax and social contribution </t>
  </si>
  <si>
    <t>Income tax and Social Contribution</t>
  </si>
  <si>
    <t xml:space="preserve">Current income tax and social contribution </t>
  </si>
  <si>
    <t>Deferred income tax and social contribution</t>
  </si>
  <si>
    <t>Net Income</t>
  </si>
  <si>
    <t>Total Costs and Expenses</t>
  </si>
  <si>
    <t>G&amp;A, G&amp;G and Projects</t>
  </si>
  <si>
    <t>EBITDA</t>
  </si>
  <si>
    <t>EBITDA Margin %</t>
  </si>
  <si>
    <t>Depreciation and Amortization</t>
  </si>
  <si>
    <t>EBIT</t>
  </si>
  <si>
    <t>EBIT Margin %</t>
  </si>
  <si>
    <t>Income before taxes</t>
  </si>
  <si>
    <t>ASSETS</t>
  </si>
  <si>
    <t>LIABILITIES AND SHAREHOLDERS' EQUITY</t>
  </si>
  <si>
    <t>Current assets</t>
  </si>
  <si>
    <t>Current liability</t>
  </si>
  <si>
    <t>Cash and cash equivalents</t>
  </si>
  <si>
    <t>Suppliers</t>
  </si>
  <si>
    <t>Securities</t>
  </si>
  <si>
    <t>Labor obligations</t>
  </si>
  <si>
    <t>Restricted Cash</t>
  </si>
  <si>
    <t>-</t>
  </si>
  <si>
    <t>Taxes and social contributions</t>
  </si>
  <si>
    <t>Accounts receivable</t>
  </si>
  <si>
    <t>Loans and Financing</t>
  </si>
  <si>
    <t xml:space="preserve">Debentures </t>
  </si>
  <si>
    <t>Financial instruments</t>
  </si>
  <si>
    <t>Recoverable Taxes</t>
  </si>
  <si>
    <t>Advances from partners</t>
  </si>
  <si>
    <t>Derivative financial instruments</t>
  </si>
  <si>
    <t>Accounts Payable - Acquisition of Assets</t>
  </si>
  <si>
    <t>Advances to suppliers</t>
  </si>
  <si>
    <t>Contractual Charges (Lease IFRS 16)</t>
  </si>
  <si>
    <t>Advances to partners</t>
  </si>
  <si>
    <t>Other liabilities</t>
  </si>
  <si>
    <t>Prepaid expenses</t>
  </si>
  <si>
    <t>Total Current liability</t>
  </si>
  <si>
    <t>Other receivables</t>
  </si>
  <si>
    <t>Total Current assets</t>
  </si>
  <si>
    <t>Liabilities directly linked to non-current assets classified as held for sale</t>
  </si>
  <si>
    <t>Non-current liability</t>
  </si>
  <si>
    <t>Non-current assets available for sale</t>
  </si>
  <si>
    <t>Debentures</t>
  </si>
  <si>
    <t>Mark-to-market swap</t>
  </si>
  <si>
    <t>Provision for abandonment (ARO)</t>
  </si>
  <si>
    <t>Provision for contingencies</t>
  </si>
  <si>
    <t>Deferred taxes and social contributions</t>
  </si>
  <si>
    <t>Non-current assets</t>
  </si>
  <si>
    <t>Long term assets</t>
  </si>
  <si>
    <t>Total Noncurrent liability</t>
  </si>
  <si>
    <t>Deposits and pledges</t>
  </si>
  <si>
    <t>Minority Shareholders</t>
  </si>
  <si>
    <t>Recoverable taxes</t>
  </si>
  <si>
    <t>Deferred taxes</t>
  </si>
  <si>
    <t>Equity</t>
  </si>
  <si>
    <t>Market-to-market of debenture swaps</t>
  </si>
  <si>
    <t>Realized capital</t>
  </si>
  <si>
    <t>Right-of-use (Lease CPC 06.R2 IFRS)</t>
  </si>
  <si>
    <t>Capital reserves</t>
  </si>
  <si>
    <t>Property, plant and equipment</t>
  </si>
  <si>
    <t>Comprehensive income</t>
  </si>
  <si>
    <t>Intangible assets</t>
  </si>
  <si>
    <t>Profit Reserves</t>
  </si>
  <si>
    <t>Total fixed assets</t>
  </si>
  <si>
    <t>Accumulated translation adjustment</t>
  </si>
  <si>
    <t>Accumulated losses</t>
  </si>
  <si>
    <t>Equity valuation adjustments</t>
  </si>
  <si>
    <t>Total assets</t>
  </si>
  <si>
    <t>Income (Loss) for the Period</t>
  </si>
  <si>
    <t>Total Equity</t>
  </si>
  <si>
    <t>Total liabilities and equity</t>
  </si>
  <si>
    <t>Cash flows from operating activities</t>
  </si>
  <si>
    <t>Income (loss) for the period (before taxes)</t>
  </si>
  <si>
    <t>Depreciation and amortization</t>
  </si>
  <si>
    <t>Share-based compensation</t>
  </si>
  <si>
    <t>Equity Valuation adjustment</t>
  </si>
  <si>
    <t>Loss/Write-off of non-current assets</t>
  </si>
  <si>
    <t>Equity equivalence result</t>
  </si>
  <si>
    <t>Provision for contingencies/losses/P&amp;D</t>
  </si>
  <si>
    <t>Increase in property, plant and equipment</t>
  </si>
  <si>
    <t>Lease agreements</t>
  </si>
  <si>
    <t>Gains from acquisition of E&amp;P assets</t>
  </si>
  <si>
    <t>Provision for impairment</t>
  </si>
  <si>
    <t>Discount on acquisition of Albacora Leste</t>
  </si>
  <si>
    <t>Bargain purchase gain</t>
  </si>
  <si>
    <t>(Increase) decrease in assets</t>
  </si>
  <si>
    <t>Related parties</t>
  </si>
  <si>
    <t>Advance to partners in oil and gas operations</t>
  </si>
  <si>
    <t>Increase (decrease) in liabilities</t>
  </si>
  <si>
    <t>Contingencies</t>
  </si>
  <si>
    <t>(Investment) Redemption in abandonment fund</t>
  </si>
  <si>
    <t>Other obligations</t>
  </si>
  <si>
    <t>Net cash from operating activities</t>
  </si>
  <si>
    <t>Cash flow from investing activities</t>
  </si>
  <si>
    <t>(Investment) Redemption of securities</t>
  </si>
  <si>
    <t xml:space="preserve">(Investment) Restricted cash redemption </t>
  </si>
  <si>
    <t>(Aquisition) of Property, plant and equipment</t>
  </si>
  <si>
    <t>(Acquisition) of intangible assets</t>
  </si>
  <si>
    <t>(Increase) decrease in investments</t>
  </si>
  <si>
    <t>(Acquisition) of oil and gas asset</t>
  </si>
  <si>
    <t>Net cash from investing activities</t>
  </si>
  <si>
    <t>Cash flows from financing activities</t>
  </si>
  <si>
    <t>Loans and financing</t>
  </si>
  <si>
    <t>Payment of principal on loans</t>
  </si>
  <si>
    <t>Interest paid on debentures</t>
  </si>
  <si>
    <t>Interest paid on loans</t>
  </si>
  <si>
    <t>Contractual charges (Lease IFRS 16 - Principal)</t>
  </si>
  <si>
    <t>Contractual charges (Lease IFRS 16 - Interest)</t>
  </si>
  <si>
    <t>Derivative transactions</t>
  </si>
  <si>
    <t>(Purchase) Sale of shares of the Company (held in treasury)</t>
  </si>
  <si>
    <t>(Decrease) Paid-up capital</t>
  </si>
  <si>
    <t>Minority interest</t>
  </si>
  <si>
    <t>Net cash (invested in) from financing activities</t>
  </si>
  <si>
    <t xml:space="preserve">Translation adjustment </t>
  </si>
  <si>
    <t>Net increase (decrease) in cash and cash equivalents</t>
  </si>
  <si>
    <t>Cash and cash equivalents at the beginning of the period</t>
  </si>
  <si>
    <t>Cash and cash equivalents at the end of the period</t>
  </si>
  <si>
    <t>Thousands of BRL;  3 months ending</t>
  </si>
  <si>
    <t>EBITDA R$</t>
  </si>
  <si>
    <t>Financial Instruments</t>
  </si>
  <si>
    <t>Accounts payable</t>
  </si>
  <si>
    <t>Advance for acquisition of investment</t>
  </si>
  <si>
    <t>Mark-to-market of the debentures swaps</t>
  </si>
  <si>
    <t>Accounts payable - earn out Albacora Leste</t>
  </si>
  <si>
    <t>Mark-to-market of debenture swaps</t>
  </si>
  <si>
    <t>Equity valuation adjustment</t>
  </si>
  <si>
    <t>Change of provision for abandonment / Lease agreements</t>
  </si>
  <si>
    <t>Payment of principal on lease agreements</t>
  </si>
  <si>
    <t>Interest paid on lease agreements</t>
  </si>
  <si>
    <t>Distributed Dividends</t>
  </si>
  <si>
    <t>PRIO Asset's Production</t>
  </si>
  <si>
    <t>Production</t>
  </si>
  <si>
    <t>Polvo Field</t>
  </si>
  <si>
    <t>Production (bbl) - Oil</t>
  </si>
  <si>
    <t>Production (bbl/day) - Oil</t>
  </si>
  <si>
    <t>Tubarão Martelo Field (Refers to PRIO's 80% W.I.)</t>
  </si>
  <si>
    <t>Manati Field (Refers to PRIO's 10% W.I.)</t>
  </si>
  <si>
    <t>Production (boe) - Natural Gas</t>
  </si>
  <si>
    <t>Production (boepd) - Natural Gas</t>
  </si>
  <si>
    <t>Production (boe) - Oil &amp; Gas</t>
  </si>
  <si>
    <t>Production (boe/day) - Oil &amp; Gas</t>
  </si>
  <si>
    <t>Albacora Leste Field (Refers to PRIO's 90% W.I.)</t>
  </si>
  <si>
    <t>Peregrino Field (Refers to PRIO's 80% W.I.) - closing of 40% on December 5, 2024 and 40% on November 11, 2025</t>
  </si>
  <si>
    <t>Offtakes (kbbl)</t>
  </si>
  <si>
    <t>n/a</t>
  </si>
  <si>
    <t>TBMT Field</t>
  </si>
  <si>
    <t>Albacora Leste</t>
  </si>
  <si>
    <t>Peregrino</t>
  </si>
  <si>
    <t>Total PRIO</t>
  </si>
  <si>
    <t>Lifting Cost (US$/bbl)</t>
  </si>
  <si>
    <t>PRIO</t>
  </si>
  <si>
    <t>Offtakes and production refers to PRIO's working interest</t>
  </si>
  <si>
    <t>Production (boepd)</t>
  </si>
  <si>
    <t>Polvo</t>
  </si>
  <si>
    <t>Tubarão Martelo (TBMT)</t>
  </si>
  <si>
    <t>Manati</t>
  </si>
  <si>
    <t>Albacora Leste (90%) (total - boepd)</t>
  </si>
  <si>
    <t>Albacora Leste (90%) (oil - bblpd)</t>
  </si>
  <si>
    <t>Albacora Leste (90%) (gas - boepd)</t>
  </si>
  <si>
    <t>Peregrino (80%)</t>
  </si>
  <si>
    <t>Total</t>
  </si>
  <si>
    <t>Offtakes</t>
  </si>
  <si>
    <t>Albacora Leste (90%)</t>
  </si>
  <si>
    <t/>
  </si>
  <si>
    <t>Polvo + TBMT Cluster Reserves (net)</t>
  </si>
  <si>
    <t>Oil (Mbbl)</t>
  </si>
  <si>
    <t>Reserve Category</t>
  </si>
  <si>
    <t>Proved Developed (PD)</t>
  </si>
  <si>
    <t>Proved Undeveloped (PUD)</t>
  </si>
  <si>
    <t>Proved (1P)</t>
  </si>
  <si>
    <t>Probable (2P)</t>
  </si>
  <si>
    <t>Proved + Probable (2P)</t>
  </si>
  <si>
    <t>Possible (3P)</t>
  </si>
  <si>
    <t>Proved + Probable + Possible (3P)</t>
  </si>
  <si>
    <t>Polvo Reserves (net)</t>
  </si>
  <si>
    <t>Tubarão Martelo Reserves (net)</t>
  </si>
  <si>
    <t>Frade + Wahoo Cluster Reserves (net)</t>
  </si>
  <si>
    <t>Frade Reserves (net)</t>
  </si>
  <si>
    <t>Wahoo Reserves (net)</t>
  </si>
  <si>
    <t>Albacora Leste Reserves (net)</t>
  </si>
  <si>
    <t>Peregrino (net)</t>
  </si>
  <si>
    <t>Wahoo Contingent Resources (net)</t>
  </si>
  <si>
    <t>1C</t>
  </si>
  <si>
    <t>2C</t>
  </si>
  <si>
    <t>3C</t>
  </si>
  <si>
    <t>Frade Extension Contingent Resources (net)</t>
  </si>
  <si>
    <t>Peregrino Extension Contingent Resources (net)</t>
  </si>
  <si>
    <t>Albacora Leste Contingent Resources (net)</t>
  </si>
  <si>
    <t>Trimestre</t>
  </si>
  <si>
    <t>Mês</t>
  </si>
  <si>
    <t>Ano</t>
  </si>
  <si>
    <t>Quarter</t>
  </si>
  <si>
    <t>Date</t>
  </si>
  <si>
    <t>USD/BRL</t>
  </si>
  <si>
    <t>Average Fx</t>
  </si>
  <si>
    <t>Closing Fx</t>
  </si>
  <si>
    <t>1Q</t>
  </si>
  <si>
    <t>2Q</t>
  </si>
  <si>
    <t>3Q</t>
  </si>
  <si>
    <t>4Q</t>
  </si>
  <si>
    <t>média</t>
  </si>
  <si>
    <t>closing</t>
  </si>
  <si>
    <t>Inventories</t>
  </si>
  <si>
    <t>1Q26</t>
  </si>
  <si>
    <t>Financial income (loss)</t>
  </si>
  <si>
    <t>Cluster Valente (Frade and Wahoo Fields) - Attributable to PRIO's W.I.</t>
  </si>
  <si>
    <t>Cluster Bravo (Polvo + Tubarão Martelo) - Refers to PRIO's 95% W.I. until 4Q22 and 100% interest as of 1Q23</t>
  </si>
  <si>
    <t>Bravo Cluster (Polvo + TBMT Fields)</t>
  </si>
  <si>
    <t xml:space="preserve">Valente Cluster (Frade and Wahoo Fields) </t>
  </si>
  <si>
    <t>Valente Cluster (total - boepd)</t>
  </si>
  <si>
    <t>Valente Cluster (oil - bblpd)</t>
  </si>
  <si>
    <t>Valente Cluster (gas - boepd)</t>
  </si>
  <si>
    <t>Bravo Cluster (Polvo + TBMT)</t>
  </si>
  <si>
    <t>Valente Cluster (Frade + Wahoo)</t>
  </si>
  <si>
    <t>Effect of exchange rate changes on cash and cash equivalents</t>
  </si>
  <si>
    <t>.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</si>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</sst>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2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#,##0.0_);\(#,##0.0\)"/>
    <numFmt numFmtId="169" formatCode="&quot;$&quot;#,##0_);\(&quot;$&quot;#,##0\)"/>
    <numFmt numFmtId="170" formatCode="&quot;$&quot;#,##0.0_);\(&quot;$&quot;#,##0.0\)"/>
    <numFmt numFmtId="171" formatCode="&quot;$&quot;#,##0.00_);\(&quot;$&quot;#,##0.00\)"/>
    <numFmt numFmtId="172" formatCode="\$#,##0_);&quot;($&quot;#,##0\)"/>
    <numFmt numFmtId="173" formatCode=";;;"/>
    <numFmt numFmtId="174" formatCode="mmmddyyyy"/>
    <numFmt numFmtId="175" formatCode="mmmm\ dd\,\ yyyy"/>
    <numFmt numFmtId="176" formatCode="hh\:mm"/>
    <numFmt numFmtId="177" formatCode="@&quot; ($)&quot;"/>
    <numFmt numFmtId="178" formatCode="@&quot; (%)&quot;"/>
    <numFmt numFmtId="179" formatCode="@&quot; (£)&quot;"/>
    <numFmt numFmtId="180" formatCode="@&quot; (¥)&quot;"/>
    <numFmt numFmtId="181" formatCode="@&quot; (€)&quot;"/>
    <numFmt numFmtId="182" formatCode="@&quot; (x)&quot;"/>
    <numFmt numFmtId="183" formatCode="0.0_)\%;\(0.0\)\%;0.0_)\%;@_)_%"/>
    <numFmt numFmtId="184" formatCode="#,##0.0_)_%;\(#,##0.0\)_%;0.0_)_%;@_)_%"/>
    <numFmt numFmtId="185" formatCode="#,##0.0_x;\(#,##0.0\)_x;0.0_x;@_x"/>
    <numFmt numFmtId="186" formatCode="#,##0.0_x_x;\(#,##0.0\)_x_x;0.0_x_x;@_x_x"/>
    <numFmt numFmtId="187" formatCode="#,##0.0_x_x_x;\(#,##0.0\)_x_x_x;0.0_x_x_x;@_x_x_x"/>
    <numFmt numFmtId="188" formatCode="#,##0.0_x_x_x_x;\(#,##0.0\)_x_x_x_x;0.0_x_x_x_x;@_x_x_x_x"/>
    <numFmt numFmtId="189" formatCode="#,##0.00_x;\(#,##0.00\)_x;0.00_x;@_x"/>
    <numFmt numFmtId="190" formatCode="#,##0.00_x_x;\(#,##0.00\)_x_x;0_x_x;@_x_x"/>
    <numFmt numFmtId="191" formatCode="#,##0.00_x_x_x;\(#,##0.00\)_x_x_x;0.00_x_x_x;@_x_x_x"/>
    <numFmt numFmtId="192" formatCode="#,##0.00_x_x_x_x;\(#,##0.00\)_x_x_x_x;0.00_x_x_x_x;@_x_x_x_x"/>
    <numFmt numFmtId="193" formatCode="#,##0_x;\(#,##0\)_x;0_x;@_x"/>
    <numFmt numFmtId="194" formatCode="#,##0_x_x;\(#,##0\)_x_x;0_x_x;@_x_x"/>
    <numFmt numFmtId="195" formatCode="#,##0_x_x_x;\(#,##0\)_x_x_x;0_x_x_x;@_x_x_x"/>
    <numFmt numFmtId="196" formatCode="#,##0_x_x_x_x;\(#,##0\)_x_x_x_x;0_x_x_x_x;@_x_x_x_x"/>
    <numFmt numFmtId="197" formatCode="0.000000"/>
    <numFmt numFmtId="198" formatCode="0.0000000"/>
    <numFmt numFmtId="199" formatCode="#,##0.0_);\(#,##0.0\);#,##0.0_);@_)"/>
    <numFmt numFmtId="200" formatCode="&quot;£&quot;_(#,##0.00_);&quot;£&quot;\(#,##0.00\);&quot;£&quot;_(0.00_);@_)"/>
    <numFmt numFmtId="201" formatCode="&quot;£&quot;_(#,##0.00_);&quot;£&quot;\(#,##0.00\)"/>
    <numFmt numFmtId="202" formatCode="&quot;L.&quot;_(#,##0.00_);&quot;L.&quot;\(#,##0.00\)"/>
    <numFmt numFmtId="203" formatCode="&quot;$&quot;_(#,##0.00_);&quot;$&quot;\(#,##0.00\)"/>
    <numFmt numFmtId="204" formatCode="&quot;$&quot;_(#,##0.00_);&quot;$&quot;\(#,##0.00\);&quot;$&quot;_(0.00_);@_)"/>
    <numFmt numFmtId="205" formatCode="#,##0.00_);\(#,##0.00\);0.00_);@_)"/>
    <numFmt numFmtId="206" formatCode="#,##0.00000_);\(#,##0.00000\)"/>
    <numFmt numFmtId="207" formatCode="0.0"/>
    <numFmt numFmtId="208" formatCode="\€_(#,##0.00_);\€\(#,##0.00\);\€_(0.00_);@_)"/>
    <numFmt numFmtId="209" formatCode="#,##0.0_)\x;\(#,##0.0\)\x;0.0_)\x;@_)_x"/>
    <numFmt numFmtId="210" formatCode="#,##0.0_)\x;\(#,##0.0\)\x"/>
    <numFmt numFmtId="211" formatCode="#,##0_)\x;\(#,##0\)\x;0_)\x;@_)_x"/>
    <numFmt numFmtId="212" formatCode="#,##0.0_)_x;\(#,##0.0\)_x;0.0_)_x;@_)_x"/>
    <numFmt numFmtId="213" formatCode="#,##0.0_)_x;\(#,##0.0\)_x"/>
    <numFmt numFmtId="214" formatCode="#,##0_)_x;\(#,##0\)_x;0_)_x;@_)_x"/>
    <numFmt numFmtId="215" formatCode="0.0_)\%;\(0.0\)\%"/>
    <numFmt numFmtId="216" formatCode="#,##0.0_)_%;\(#,##0.0\)_%"/>
    <numFmt numFmtId="217" formatCode="\£\ #,##0_);[Red]\(\£\ #,##0\)"/>
    <numFmt numFmtId="218" formatCode="_(\£* #,##0_);_(\£* \(#,##0\);_(\£* &quot;-&quot;_);_(@_)"/>
    <numFmt numFmtId="219" formatCode="_(\£* #,##0.0_);_(\£* \(#,##0.0\);_(\£* &quot;-&quot;_);_(@_)"/>
    <numFmt numFmtId="220" formatCode="_(\£* #,##0.00_);_(\£* \(#,##0.00\);_(\£* &quot;-&quot;_);_(@_)"/>
    <numFmt numFmtId="221" formatCode="_(* #,##0\p_);_(* \(#,##0\p\);_(* &quot;-&quot;\ \p_);_(@_)"/>
    <numFmt numFmtId="222" formatCode="_(* #,##0.00\p_);_(* \(#,##0.00\p\);_(* &quot;-&quot;\ \p_);_(@_)"/>
    <numFmt numFmtId="223" formatCode="\£#,##0.00"/>
    <numFmt numFmtId="224" formatCode="\¥\ #,##0_);[Red]\(\¥\ #,##0\)"/>
    <numFmt numFmtId="225" formatCode="#,##0.0;\(#,##0.0\);\-"/>
    <numFmt numFmtId="226" formatCode="#,##0.0&quot; F&quot;;\(#,##0.0&quot; F&quot;\);\-"/>
    <numFmt numFmtId="227" formatCode="0.0%;\(0.0%\);\-"/>
    <numFmt numFmtId="228" formatCode="\ "/>
    <numFmt numFmtId="229" formatCode="_-* #,##0\ &quot;руб&quot;_-;\-* #,##0\ &quot;руб&quot;_-;_-* &quot;-&quot;\ &quot;руб&quot;_-;_-@_-"/>
    <numFmt numFmtId="230" formatCode="0.00\x"/>
    <numFmt numFmtId="231" formatCode="0.0\x"/>
    <numFmt numFmtId="232" formatCode="0.0\ \x;\ \(0.0\ \x\)"/>
    <numFmt numFmtId="233" formatCode="_(&quot;$&quot;* #,##0.00_);_(&quot;$&quot;* \(#,##0.00\);_(&quot;$&quot;* &quot;-&quot;??_);_(@_)"/>
    <numFmt numFmtId="234" formatCode="_(* #,##0_);_(* \(#,##0\);_(* &quot;-&quot;??_);_(@_)"/>
    <numFmt numFmtId="235" formatCode="#,##0;[Red]\(#,##0\)"/>
    <numFmt numFmtId="236" formatCode="0.0000000000"/>
    <numFmt numFmtId="237" formatCode="#,##0;\(#,##0\);&quot;-&quot;"/>
    <numFmt numFmtId="238" formatCode="#\T\1\9"/>
    <numFmt numFmtId="239" formatCode="#\T\1\8"/>
    <numFmt numFmtId="240" formatCode="0_ ;\-0\ "/>
    <numFmt numFmtId="241" formatCode="[$-416]mmm\-yy;@"/>
    <numFmt numFmtId="242" formatCode="_-* #,##0.0_-;\-* #,##0.0_-;_-* &quot;-&quot;??_-;_-@_-"/>
    <numFmt numFmtId="243" formatCode="#,##0.0"/>
    <numFmt numFmtId="244" formatCode="_(* #,##0_);_(* \(#,##0\);_(* \-??_);_(@_)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indexed="11"/>
      <name val="Monaco"/>
    </font>
    <font>
      <sz val="10"/>
      <name val="GillSans"/>
      <family val="2"/>
    </font>
    <font>
      <sz val="10"/>
      <name val="New York"/>
    </font>
    <font>
      <sz val="10"/>
      <name val="Times New Roman"/>
      <family val="1"/>
    </font>
    <font>
      <sz val="10"/>
      <name val="Baskerville MT"/>
    </font>
    <font>
      <sz val="10"/>
      <name val="Century Schoolbook"/>
      <family val="1"/>
    </font>
    <font>
      <sz val="10"/>
      <color indexed="8"/>
      <name val="MS Sans Serif"/>
      <family val="2"/>
    </font>
    <font>
      <sz val="11"/>
      <name val="MS P????"/>
      <family val="3"/>
    </font>
    <font>
      <sz val="10"/>
      <name val="Geneva"/>
      <family val="2"/>
    </font>
    <font>
      <sz val="12"/>
      <name val="???"/>
      <family val="1"/>
      <charset val="129"/>
    </font>
    <font>
      <sz val="10"/>
      <name val="MS Sans Serif"/>
      <family val="2"/>
    </font>
    <font>
      <sz val="10"/>
      <name val="Helv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MT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Helv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rgb="FF00355F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sz val="10"/>
      <color indexed="18"/>
      <name val="Times New Roman"/>
      <family val="1"/>
    </font>
    <font>
      <sz val="10"/>
      <color indexed="12"/>
      <name val="Times New Roman"/>
      <family val="1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sz val="11"/>
      <name val="Times New Roman"/>
      <family val="1"/>
    </font>
    <font>
      <sz val="10"/>
      <name val="Palatino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1C2C63"/>
      <name val="Calibri"/>
      <family val="2"/>
      <scheme val="minor"/>
    </font>
    <font>
      <b/>
      <sz val="12"/>
      <color rgb="FF1C2C63"/>
      <name val="Calibri"/>
      <family val="2"/>
      <scheme val="minor"/>
    </font>
    <font>
      <sz val="10"/>
      <name val="Calibri"/>
      <family val="2"/>
    </font>
    <font>
      <b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2060"/>
      <name val="Calibri"/>
      <family val="2"/>
      <scheme val="minor"/>
    </font>
    <font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sz val="10"/>
      <color rgb="FF034946"/>
      <name val="Calibri"/>
      <family val="2"/>
      <scheme val="minor"/>
    </font>
    <font>
      <b/>
      <sz val="10"/>
      <color rgb="FF034946"/>
      <name val="Calibri"/>
      <family val="2"/>
      <scheme val="minor"/>
    </font>
    <font>
      <sz val="11"/>
      <color rgb="FF034946"/>
      <name val="Calibri"/>
      <family val="2"/>
      <scheme val="minor"/>
    </font>
    <font>
      <b/>
      <sz val="12"/>
      <color rgb="FF034946"/>
      <name val="Calibri"/>
      <family val="2"/>
      <scheme val="minor"/>
    </font>
    <font>
      <b/>
      <sz val="14"/>
      <color rgb="FF034946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31F20"/>
      <name val="Malgun Gothic"/>
      <family val="2"/>
    </font>
    <font>
      <sz val="9"/>
      <color indexed="81"/>
      <name val="Segoe UI"/>
      <family val="2"/>
    </font>
    <font>
      <b/>
      <sz val="11"/>
      <color rgb="FF034946"/>
      <name val="Calibri"/>
      <family val="2"/>
      <scheme val="minor"/>
    </font>
    <font>
      <b/>
      <sz val="11"/>
      <color rgb="FF007E75"/>
      <name val="Calibri"/>
      <family val="2"/>
      <scheme val="minor"/>
    </font>
    <font>
      <b/>
      <sz val="12"/>
      <color rgb="FF00AB9E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353B"/>
      <name val="Calibri"/>
      <family val="2"/>
      <scheme val="minor"/>
    </font>
    <font>
      <b/>
      <sz val="16"/>
      <color rgb="FF00AB9E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353B"/>
      <name val="Calibri"/>
      <family val="2"/>
      <scheme val="minor"/>
    </font>
    <font>
      <b/>
      <sz val="12"/>
      <name val="Montserrat"/>
      <family val="3"/>
    </font>
    <font>
      <b/>
      <i/>
      <sz val="12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sz val="12"/>
      <color theme="1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i/>
      <sz val="11"/>
      <color theme="0"/>
      <name val="Calibri"/>
      <family val="2"/>
      <scheme val="minor"/>
    </font>
    <font>
      <b/>
      <sz val="11"/>
      <color rgb="FF006466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Montserrat"/>
    </font>
    <font>
      <b/>
      <i/>
      <sz val="11"/>
      <name val="Montserrat"/>
    </font>
    <font>
      <sz val="11"/>
      <name val="Montserrat"/>
    </font>
    <font>
      <b/>
      <sz val="12"/>
      <color theme="1"/>
      <name val="Montserrat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7"/>
      <color rgb="FF000000"/>
      <name val="Prio"/>
      <family val="3"/>
    </font>
    <font>
      <b/>
      <sz val="11"/>
      <color rgb="FFFF0000"/>
      <name val="Calibri"/>
      <family val="2"/>
      <scheme val="minor"/>
    </font>
    <font>
      <i/>
      <sz val="11"/>
      <color rgb="FF03494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Montserrat"/>
    </font>
    <font>
      <sz val="12"/>
      <color theme="1"/>
      <name val="Montserrat"/>
      <family val="3"/>
      <charset val="1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AB9E"/>
        <bgColor indexed="64"/>
      </patternFill>
    </fill>
    <fill>
      <patternFill patternType="solid">
        <fgColor rgb="FF00766E"/>
        <bgColor indexed="64"/>
      </patternFill>
    </fill>
    <fill>
      <patternFill patternType="solid">
        <fgColor rgb="FF004843"/>
        <bgColor indexed="64"/>
      </patternFill>
    </fill>
    <fill>
      <patternFill patternType="solid">
        <fgColor rgb="FF006466"/>
        <bgColor indexed="64"/>
      </patternFill>
    </fill>
    <fill>
      <patternFill patternType="solid">
        <fgColor rgb="FF007F86"/>
        <bgColor indexed="64"/>
      </patternFill>
    </fill>
    <fill>
      <patternFill patternType="solid">
        <fgColor rgb="FF007E7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rgb="FF00355F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AB9E"/>
      </bottom>
      <diagonal/>
    </border>
    <border>
      <left/>
      <right/>
      <top style="medium">
        <color rgb="FF00AB9E"/>
      </top>
      <bottom style="medium">
        <color rgb="FF00AB9E"/>
      </bottom>
      <diagonal/>
    </border>
    <border>
      <left style="medium">
        <color rgb="FF00AB9E"/>
      </left>
      <right/>
      <top style="medium">
        <color rgb="FF00AB9E"/>
      </top>
      <bottom style="medium">
        <color rgb="FF00AB9E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rgb="FF006466"/>
      </bottom>
      <diagonal/>
    </border>
    <border>
      <left/>
      <right/>
      <top style="thin">
        <color indexed="64"/>
      </top>
      <bottom/>
      <diagonal/>
    </border>
  </borders>
  <cellStyleXfs count="1686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4" applyNumberFormat="0" applyAlignment="0" applyProtection="0"/>
    <xf numFmtId="0" fontId="8" fillId="7" borderId="5" applyNumberFormat="0" applyAlignment="0" applyProtection="0"/>
    <xf numFmtId="0" fontId="9" fillId="7" borderId="4" applyNumberFormat="0" applyAlignment="0" applyProtection="0"/>
    <xf numFmtId="0" fontId="10" fillId="0" borderId="6" applyNumberFormat="0" applyFill="0" applyAlignment="0" applyProtection="0"/>
    <xf numFmtId="0" fontId="11" fillId="8" borderId="7" applyNumberFormat="0" applyAlignment="0" applyProtection="0"/>
    <xf numFmtId="0" fontId="12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7" fillId="34" borderId="0"/>
    <xf numFmtId="0" fontId="18" fillId="34" borderId="10">
      <alignment horizontal="right"/>
    </xf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3" fontId="23" fillId="0" borderId="0" applyFont="0" applyFill="0" applyBorder="0" applyAlignment="0" applyProtection="0"/>
    <xf numFmtId="0" fontId="24" fillId="0" borderId="0"/>
    <xf numFmtId="169" fontId="25" fillId="0" borderId="0" applyFont="0" applyFill="0" applyBorder="0" applyProtection="0">
      <alignment horizontal="right"/>
    </xf>
    <xf numFmtId="170" fontId="26" fillId="0" borderId="0">
      <alignment horizontal="right"/>
    </xf>
    <xf numFmtId="171" fontId="25" fillId="0" borderId="0" applyFont="0" applyFill="0" applyBorder="0" applyProtection="0">
      <alignment horizontal="right"/>
    </xf>
    <xf numFmtId="171" fontId="26" fillId="0" borderId="0">
      <alignment horizontal="right"/>
    </xf>
    <xf numFmtId="172" fontId="22" fillId="0" borderId="0" applyFill="0" applyBorder="0" applyProtection="0">
      <alignment horizontal="right"/>
    </xf>
    <xf numFmtId="0" fontId="27" fillId="0" borderId="0">
      <alignment horizontal="right"/>
    </xf>
    <xf numFmtId="0" fontId="27" fillId="35" borderId="0"/>
    <xf numFmtId="0" fontId="28" fillId="35" borderId="0"/>
    <xf numFmtId="0" fontId="28" fillId="35" borderId="0"/>
    <xf numFmtId="0" fontId="28" fillId="35" borderId="0"/>
    <xf numFmtId="0" fontId="28" fillId="35" borderId="0">
      <alignment horizontal="right"/>
    </xf>
    <xf numFmtId="0" fontId="22" fillId="0" borderId="0"/>
    <xf numFmtId="9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22" fillId="0" borderId="0" applyFill="0" applyBorder="0" applyAlignment="0" applyProtection="0"/>
    <xf numFmtId="0" fontId="29" fillId="0" borderId="0" applyNumberFormat="0" applyFont="0" applyFill="0" applyBorder="0" applyAlignment="0" applyProtection="0"/>
    <xf numFmtId="173" fontId="26" fillId="0" borderId="0" applyFont="0" applyFill="0" applyBorder="0" applyAlignment="0"/>
    <xf numFmtId="174" fontId="22" fillId="0" borderId="0" applyFont="0" applyFill="0" applyBorder="0" applyAlignment="0" applyProtection="0"/>
    <xf numFmtId="0" fontId="22" fillId="0" borderId="0"/>
    <xf numFmtId="40" fontId="30" fillId="0" borderId="0" applyFont="0" applyFill="0" applyBorder="0" applyAlignment="0" applyProtection="0"/>
    <xf numFmtId="175" fontId="22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22" fillId="0" borderId="0"/>
    <xf numFmtId="177" fontId="22" fillId="0" borderId="0" applyFont="0" applyFill="0" applyBorder="0" applyProtection="0">
      <alignment wrapText="1"/>
    </xf>
    <xf numFmtId="178" fontId="22" fillId="0" borderId="0" applyFont="0" applyFill="0" applyBorder="0" applyProtection="0">
      <alignment horizontal="left" wrapText="1"/>
    </xf>
    <xf numFmtId="179" fontId="22" fillId="0" borderId="0" applyFont="0" applyFill="0" applyBorder="0" applyProtection="0">
      <alignment wrapText="1"/>
    </xf>
    <xf numFmtId="180" fontId="22" fillId="0" borderId="0" applyFont="0" applyFill="0" applyBorder="0" applyProtection="0">
      <alignment wrapText="1"/>
    </xf>
    <xf numFmtId="181" fontId="22" fillId="0" borderId="0" applyFont="0" applyFill="0" applyBorder="0" applyProtection="0">
      <alignment wrapText="1"/>
    </xf>
    <xf numFmtId="182" fontId="22" fillId="0" borderId="0" applyFont="0" applyFill="0" applyBorder="0" applyProtection="0">
      <alignment wrapText="1"/>
    </xf>
    <xf numFmtId="0" fontId="34" fillId="0" borderId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5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22" fillId="0" borderId="0"/>
    <xf numFmtId="0" fontId="22" fillId="36" borderId="0"/>
    <xf numFmtId="185" fontId="22" fillId="0" borderId="0" applyFont="0" applyFill="0" applyBorder="0" applyProtection="0">
      <alignment horizontal="right"/>
    </xf>
    <xf numFmtId="186" fontId="22" fillId="0" borderId="0" applyFont="0" applyFill="0" applyBorder="0" applyProtection="0">
      <alignment horizontal="right"/>
    </xf>
    <xf numFmtId="187" fontId="22" fillId="0" borderId="0" applyFont="0" applyFill="0" applyBorder="0" applyProtection="0">
      <alignment horizontal="right"/>
    </xf>
    <xf numFmtId="188" fontId="22" fillId="0" borderId="0" applyFont="0" applyFill="0" applyBorder="0" applyProtection="0">
      <alignment horizontal="right"/>
    </xf>
    <xf numFmtId="189" fontId="22" fillId="0" borderId="0" applyFont="0" applyFill="0" applyBorder="0" applyProtection="0">
      <alignment horizontal="right"/>
    </xf>
    <xf numFmtId="190" fontId="22" fillId="0" borderId="0" applyFont="0" applyFill="0" applyBorder="0" applyProtection="0">
      <alignment horizontal="right"/>
    </xf>
    <xf numFmtId="191" fontId="22" fillId="0" borderId="0" applyFont="0" applyFill="0" applyBorder="0" applyProtection="0">
      <alignment horizontal="right"/>
    </xf>
    <xf numFmtId="192" fontId="22" fillId="0" borderId="0" applyFont="0" applyFill="0" applyBorder="0" applyProtection="0">
      <alignment horizontal="right"/>
    </xf>
    <xf numFmtId="193" fontId="22" fillId="0" borderId="0" applyFont="0" applyFill="0" applyBorder="0" applyProtection="0">
      <alignment horizontal="right"/>
    </xf>
    <xf numFmtId="194" fontId="22" fillId="0" borderId="0" applyFont="0" applyFill="0" applyBorder="0" applyProtection="0">
      <alignment horizontal="right"/>
    </xf>
    <xf numFmtId="195" fontId="22" fillId="0" borderId="0" applyFont="0" applyFill="0" applyBorder="0" applyProtection="0">
      <alignment horizontal="right"/>
    </xf>
    <xf numFmtId="196" fontId="22" fillId="0" borderId="0" applyFont="0" applyFill="0" applyBorder="0" applyProtection="0">
      <alignment horizontal="right"/>
    </xf>
    <xf numFmtId="0" fontId="3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6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6" fillId="0" borderId="0"/>
    <xf numFmtId="0" fontId="38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22" fillId="36" borderId="0"/>
    <xf numFmtId="0" fontId="22" fillId="36" borderId="0"/>
    <xf numFmtId="0" fontId="22" fillId="36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36" fillId="0" borderId="0"/>
    <xf numFmtId="0" fontId="35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9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18" fillId="37" borderId="11">
      <alignment horizontal="center" vertical="center"/>
    </xf>
    <xf numFmtId="0" fontId="18" fillId="37" borderId="12">
      <alignment horizontal="center"/>
    </xf>
    <xf numFmtId="0" fontId="22" fillId="36" borderId="0"/>
    <xf numFmtId="0" fontId="29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22" fillId="36" borderId="0"/>
    <xf numFmtId="0" fontId="22" fillId="36" borderId="0"/>
    <xf numFmtId="0" fontId="34" fillId="0" borderId="0"/>
    <xf numFmtId="0" fontId="34" fillId="0" borderId="0"/>
    <xf numFmtId="0" fontId="37" fillId="0" borderId="0" applyFont="0" applyFill="0" applyBorder="0" applyAlignment="0" applyProtection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0" fontId="38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22" fillId="0" borderId="0"/>
    <xf numFmtId="0" fontId="22" fillId="36" borderId="0"/>
    <xf numFmtId="0" fontId="22" fillId="36" borderId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1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4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41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39" fillId="0" borderId="0">
      <alignment horizontal="left" wrapText="1"/>
    </xf>
    <xf numFmtId="0" fontId="42" fillId="0" borderId="0">
      <alignment vertical="center"/>
    </xf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0" fontId="34" fillId="0" borderId="0"/>
    <xf numFmtId="0" fontId="36" fillId="0" borderId="0"/>
    <xf numFmtId="0" fontId="35" fillId="0" borderId="0"/>
    <xf numFmtId="0" fontId="34" fillId="0" borderId="0"/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0" fontId="22" fillId="36" borderId="0"/>
    <xf numFmtId="0" fontId="22" fillId="0" borderId="0">
      <alignment horizontal="left" wrapText="1"/>
    </xf>
    <xf numFmtId="0" fontId="36" fillId="0" borderId="0"/>
    <xf numFmtId="0" fontId="35" fillId="0" borderId="0"/>
    <xf numFmtId="0" fontId="22" fillId="0" borderId="0"/>
    <xf numFmtId="0" fontId="35" fillId="0" borderId="0"/>
    <xf numFmtId="0" fontId="43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4" fillId="0" borderId="0"/>
    <xf numFmtId="0" fontId="36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5" fillId="0" borderId="0"/>
    <xf numFmtId="0" fontId="38" fillId="0" borderId="0"/>
    <xf numFmtId="0" fontId="18" fillId="37" borderId="13" applyBorder="0">
      <alignment horizont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" fillId="0" borderId="0"/>
    <xf numFmtId="0" fontId="22" fillId="36" borderId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22" fillId="36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9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0" fontId="40" fillId="0" borderId="0" applyFont="0" applyFill="0" applyBorder="0" applyAlignment="0" applyProtection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8" fillId="0" borderId="0"/>
    <xf numFmtId="0" fontId="38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43" fillId="0" borderId="0"/>
    <xf numFmtId="0" fontId="16" fillId="0" borderId="0">
      <alignment vertical="top"/>
    </xf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197" fontId="22" fillId="0" borderId="0">
      <alignment horizontal="left" wrapText="1"/>
    </xf>
    <xf numFmtId="0" fontId="35" fillId="0" borderId="0"/>
    <xf numFmtId="215" fontId="22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5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6" fillId="0" borderId="0"/>
    <xf numFmtId="0" fontId="35" fillId="0" borderId="0"/>
    <xf numFmtId="0" fontId="34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9" fillId="0" borderId="0">
      <alignment horizontal="left" wrapText="1"/>
    </xf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/>
    <xf numFmtId="0" fontId="22" fillId="36" borderId="0"/>
    <xf numFmtId="197" fontId="22" fillId="0" borderId="0">
      <alignment horizontal="left" wrapText="1"/>
    </xf>
    <xf numFmtId="0" fontId="34" fillId="0" borderId="0"/>
    <xf numFmtId="0" fontId="34" fillId="0" borderId="0"/>
    <xf numFmtId="0" fontId="38" fillId="0" borderId="0"/>
    <xf numFmtId="0" fontId="22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22" fillId="36" borderId="0"/>
    <xf numFmtId="0" fontId="43" fillId="0" borderId="0"/>
    <xf numFmtId="0" fontId="43" fillId="0" borderId="0"/>
    <xf numFmtId="0" fontId="43" fillId="0" borderId="0"/>
    <xf numFmtId="0" fontId="45" fillId="0" borderId="0" applyNumberFormat="0" applyFill="0" applyBorder="0" applyProtection="0">
      <alignment vertical="top"/>
    </xf>
    <xf numFmtId="0" fontId="46" fillId="0" borderId="0" applyNumberFormat="0" applyFill="0" applyBorder="0" applyProtection="0">
      <alignment vertical="top"/>
    </xf>
    <xf numFmtId="0" fontId="46" fillId="0" borderId="0" applyNumberFormat="0" applyFill="0" applyBorder="0" applyAlignment="0" applyProtection="0">
      <alignment vertical="top"/>
    </xf>
    <xf numFmtId="0" fontId="36" fillId="0" borderId="0"/>
    <xf numFmtId="0" fontId="35" fillId="0" borderId="0"/>
    <xf numFmtId="0" fontId="22" fillId="0" borderId="0"/>
    <xf numFmtId="0" fontId="22" fillId="36" borderId="0"/>
    <xf numFmtId="0" fontId="47" fillId="0" borderId="14" applyNumberFormat="0" applyFill="0" applyAlignment="0" applyProtection="0"/>
    <xf numFmtId="0" fontId="34" fillId="0" borderId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8" fillId="0" borderId="0" applyNumberFormat="0" applyFill="0" applyBorder="0" applyProtection="0">
      <alignment horizontal="left"/>
    </xf>
    <xf numFmtId="0" fontId="50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8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5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42" fillId="0" borderId="0">
      <alignment vertical="center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 applyFont="0" applyFill="0" applyBorder="0" applyAlignment="0" applyProtection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5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2" fillId="0" borderId="0"/>
    <xf numFmtId="0" fontId="53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217" fontId="54" fillId="0" borderId="0" applyFont="0" applyFill="0" applyBorder="0" applyAlignment="0" applyProtection="0"/>
    <xf numFmtId="218" fontId="55" fillId="0" borderId="0" applyFont="0" applyFill="0" applyBorder="0" applyAlignment="0" applyProtection="0"/>
    <xf numFmtId="219" fontId="55" fillId="0" borderId="0" applyFont="0" applyFill="0" applyBorder="0" applyAlignment="0" applyProtection="0"/>
    <xf numFmtId="220" fontId="55" fillId="0" borderId="0" applyFont="0" applyFill="0" applyBorder="0" applyAlignment="0" applyProtection="0"/>
    <xf numFmtId="221" fontId="55" fillId="0" borderId="0" applyFont="0" applyFill="0" applyBorder="0" applyAlignment="0" applyProtection="0"/>
    <xf numFmtId="222" fontId="55" fillId="0" borderId="0" applyFont="0" applyFill="0" applyBorder="0" applyAlignment="0" applyProtection="0"/>
    <xf numFmtId="223" fontId="56" fillId="0" borderId="0" applyFont="0" applyFill="0" applyBorder="0" applyAlignment="0" applyProtection="0"/>
    <xf numFmtId="224" fontId="54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37" fillId="0" borderId="0"/>
    <xf numFmtId="0" fontId="57" fillId="0" borderId="0"/>
    <xf numFmtId="3" fontId="25" fillId="0" borderId="0" applyFont="0" applyFill="0" applyBorder="0" applyAlignment="0" applyProtection="0">
      <alignment wrapText="1"/>
    </xf>
    <xf numFmtId="9" fontId="25" fillId="0" borderId="0" applyFont="0" applyFill="0" applyBorder="0" applyAlignment="0" applyProtection="0">
      <alignment wrapText="1"/>
    </xf>
    <xf numFmtId="225" fontId="58" fillId="0" borderId="0">
      <alignment horizontal="center"/>
    </xf>
    <xf numFmtId="226" fontId="58" fillId="0" borderId="0">
      <alignment horizontal="center"/>
    </xf>
    <xf numFmtId="0" fontId="54" fillId="0" borderId="0"/>
    <xf numFmtId="227" fontId="58" fillId="0" borderId="0">
      <alignment horizontal="center"/>
    </xf>
    <xf numFmtId="228" fontId="54" fillId="0" borderId="0">
      <alignment horizontal="center"/>
    </xf>
    <xf numFmtId="229" fontId="35" fillId="0" borderId="0">
      <alignment horizontal="center"/>
    </xf>
    <xf numFmtId="230" fontId="58" fillId="0" borderId="0">
      <alignment horizontal="center"/>
    </xf>
    <xf numFmtId="231" fontId="58" fillId="0" borderId="0">
      <alignment horizontal="center"/>
    </xf>
    <xf numFmtId="207" fontId="25" fillId="0" borderId="0" applyFont="0" applyFill="0" applyBorder="0" applyAlignment="0" applyProtection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7" fillId="39" borderId="0" applyNumberFormat="0" applyBorder="0" applyProtection="0">
      <alignment horizont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/>
  </cellStyleXfs>
  <cellXfs count="371">
    <xf numFmtId="0" fontId="0" fillId="0" borderId="0" xfId="0"/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0" fillId="2" borderId="0" xfId="0" applyFont="1" applyFill="1"/>
    <xf numFmtId="0" fontId="61" fillId="2" borderId="0" xfId="0" applyFont="1" applyFill="1"/>
    <xf numFmtId="0" fontId="61" fillId="0" borderId="0" xfId="0" applyFont="1"/>
    <xf numFmtId="166" fontId="61" fillId="2" borderId="0" xfId="0" applyNumberFormat="1" applyFont="1" applyFill="1"/>
    <xf numFmtId="0" fontId="63" fillId="0" borderId="0" xfId="0" applyFont="1"/>
    <xf numFmtId="0" fontId="63" fillId="0" borderId="0" xfId="0" applyFont="1" applyAlignment="1">
      <alignment vertical="center"/>
    </xf>
    <xf numFmtId="166" fontId="63" fillId="2" borderId="0" xfId="1" applyNumberFormat="1" applyFont="1" applyFill="1"/>
    <xf numFmtId="0" fontId="63" fillId="2" borderId="0" xfId="0" applyFont="1" applyFill="1"/>
    <xf numFmtId="0" fontId="63" fillId="2" borderId="0" xfId="0" applyFont="1" applyFill="1" applyAlignment="1">
      <alignment vertical="center"/>
    </xf>
    <xf numFmtId="166" fontId="63" fillId="2" borderId="0" xfId="1" applyNumberFormat="1" applyFont="1" applyFill="1" applyAlignment="1">
      <alignment horizontal="center" vertical="center"/>
    </xf>
    <xf numFmtId="166" fontId="63" fillId="2" borderId="0" xfId="0" applyNumberFormat="1" applyFont="1" applyFill="1" applyAlignment="1">
      <alignment horizontal="center" vertical="center"/>
    </xf>
    <xf numFmtId="166" fontId="63" fillId="2" borderId="0" xfId="0" applyNumberFormat="1" applyFont="1" applyFill="1"/>
    <xf numFmtId="166" fontId="63" fillId="2" borderId="0" xfId="1" applyNumberFormat="1" applyFont="1" applyFill="1" applyAlignment="1">
      <alignment vertical="center"/>
    </xf>
    <xf numFmtId="0" fontId="64" fillId="0" borderId="0" xfId="0" applyFont="1"/>
    <xf numFmtId="0" fontId="65" fillId="0" borderId="0" xfId="0" applyFont="1" applyAlignment="1">
      <alignment vertical="center"/>
    </xf>
    <xf numFmtId="168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left" vertical="center"/>
    </xf>
    <xf numFmtId="168" fontId="66" fillId="0" borderId="0" xfId="0" applyNumberFormat="1" applyFont="1" applyAlignment="1">
      <alignment horizontal="right" vertical="center"/>
    </xf>
    <xf numFmtId="0" fontId="66" fillId="2" borderId="0" xfId="0" applyFont="1" applyFill="1" applyAlignment="1">
      <alignment horizontal="left" vertical="center"/>
    </xf>
    <xf numFmtId="0" fontId="65" fillId="0" borderId="0" xfId="0" applyFont="1"/>
    <xf numFmtId="0" fontId="65" fillId="2" borderId="0" xfId="0" applyFont="1" applyFill="1"/>
    <xf numFmtId="234" fontId="65" fillId="0" borderId="0" xfId="0" applyNumberFormat="1" applyFont="1"/>
    <xf numFmtId="235" fontId="65" fillId="0" borderId="0" xfId="0" applyNumberFormat="1" applyFont="1" applyAlignment="1">
      <alignment vertical="center"/>
    </xf>
    <xf numFmtId="0" fontId="65" fillId="2" borderId="0" xfId="0" applyFont="1" applyFill="1" applyAlignment="1">
      <alignment vertical="center"/>
    </xf>
    <xf numFmtId="164" fontId="65" fillId="0" borderId="0" xfId="0" applyNumberFormat="1" applyFont="1"/>
    <xf numFmtId="166" fontId="65" fillId="0" borderId="0" xfId="0" applyNumberFormat="1" applyFont="1"/>
    <xf numFmtId="166" fontId="65" fillId="2" borderId="0" xfId="0" applyNumberFormat="1" applyFont="1" applyFill="1"/>
    <xf numFmtId="234" fontId="65" fillId="2" borderId="0" xfId="0" applyNumberFormat="1" applyFont="1" applyFill="1"/>
    <xf numFmtId="0" fontId="69" fillId="0" borderId="0" xfId="0" applyFont="1"/>
    <xf numFmtId="0" fontId="62" fillId="2" borderId="20" xfId="0" applyFont="1" applyFill="1" applyBorder="1" applyAlignment="1">
      <alignment horizontal="left" vertical="center"/>
    </xf>
    <xf numFmtId="0" fontId="62" fillId="2" borderId="20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62" fillId="2" borderId="20" xfId="0" applyFont="1" applyFill="1" applyBorder="1" applyAlignment="1">
      <alignment horizontal="center"/>
    </xf>
    <xf numFmtId="0" fontId="62" fillId="2" borderId="0" xfId="0" applyFont="1" applyFill="1" applyAlignment="1">
      <alignment horizontal="left" vertical="center"/>
    </xf>
    <xf numFmtId="0" fontId="62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/>
    </xf>
    <xf numFmtId="0" fontId="70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right" vertical="center"/>
    </xf>
    <xf numFmtId="234" fontId="70" fillId="2" borderId="0" xfId="0" applyNumberFormat="1" applyFont="1" applyFill="1" applyAlignment="1">
      <alignment horizontal="right" vertical="center"/>
    </xf>
    <xf numFmtId="166" fontId="70" fillId="2" borderId="0" xfId="1" applyNumberFormat="1" applyFont="1" applyFill="1" applyAlignment="1">
      <alignment horizontal="center" vertical="center"/>
    </xf>
    <xf numFmtId="166" fontId="70" fillId="2" borderId="0" xfId="0" applyNumberFormat="1" applyFont="1" applyFill="1" applyAlignment="1">
      <alignment horizontal="center" vertical="center"/>
    </xf>
    <xf numFmtId="166" fontId="70" fillId="2" borderId="0" xfId="0" applyNumberFormat="1" applyFont="1" applyFill="1"/>
    <xf numFmtId="166" fontId="70" fillId="2" borderId="0" xfId="1" applyNumberFormat="1" applyFont="1" applyFill="1" applyAlignment="1">
      <alignment vertical="center"/>
    </xf>
    <xf numFmtId="0" fontId="69" fillId="2" borderId="0" xfId="0" applyFont="1" applyFill="1"/>
    <xf numFmtId="0" fontId="70" fillId="2" borderId="0" xfId="0" applyFont="1" applyFill="1" applyAlignment="1">
      <alignment vertical="center"/>
    </xf>
    <xf numFmtId="23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69" fillId="0" borderId="0" xfId="0" applyFont="1" applyAlignment="1">
      <alignment horizontal="right" vertical="center"/>
    </xf>
    <xf numFmtId="0" fontId="70" fillId="2" borderId="0" xfId="0" applyFont="1" applyFill="1" applyAlignment="1">
      <alignment horizontal="left" vertical="center"/>
    </xf>
    <xf numFmtId="0" fontId="70" fillId="39" borderId="0" xfId="16863" applyFont="1" applyAlignment="1">
      <alignment horizontal="right"/>
    </xf>
    <xf numFmtId="16" fontId="70" fillId="0" borderId="0" xfId="0" applyNumberFormat="1" applyFont="1" applyAlignment="1">
      <alignment vertical="center"/>
    </xf>
    <xf numFmtId="168" fontId="70" fillId="0" borderId="0" xfId="0" quotePrefix="1" applyNumberFormat="1" applyFont="1" applyAlignment="1">
      <alignment horizontal="right" vertical="center"/>
    </xf>
    <xf numFmtId="3" fontId="69" fillId="0" borderId="0" xfId="0" applyNumberFormat="1" applyFont="1" applyAlignment="1">
      <alignment horizontal="left" vertical="center" indent="3"/>
    </xf>
    <xf numFmtId="164" fontId="69" fillId="0" borderId="0" xfId="1" applyNumberFormat="1" applyFont="1" applyAlignment="1">
      <alignment horizontal="right" vertical="center"/>
    </xf>
    <xf numFmtId="164" fontId="69" fillId="2" borderId="0" xfId="1" applyNumberFormat="1" applyFont="1" applyFill="1" applyAlignment="1">
      <alignment horizontal="right" vertical="center"/>
    </xf>
    <xf numFmtId="166" fontId="69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 vertical="center"/>
    </xf>
    <xf numFmtId="3" fontId="69" fillId="2" borderId="0" xfId="0" applyNumberFormat="1" applyFont="1" applyFill="1" applyAlignment="1">
      <alignment horizontal="left" vertical="center" indent="3"/>
    </xf>
    <xf numFmtId="166" fontId="69" fillId="0" borderId="0" xfId="1" applyNumberFormat="1" applyFont="1" applyAlignment="1">
      <alignment vertical="center"/>
    </xf>
    <xf numFmtId="166" fontId="69" fillId="2" borderId="0" xfId="1" applyNumberFormat="1" applyFont="1" applyFill="1" applyAlignment="1">
      <alignment vertical="center"/>
    </xf>
    <xf numFmtId="0" fontId="70" fillId="0" borderId="0" xfId="0" applyFont="1" applyAlignment="1">
      <alignment vertical="center"/>
    </xf>
    <xf numFmtId="166" fontId="70" fillId="0" borderId="0" xfId="1" applyNumberFormat="1" applyFont="1" applyAlignment="1">
      <alignment vertical="center"/>
    </xf>
    <xf numFmtId="234" fontId="70" fillId="0" borderId="0" xfId="0" applyNumberFormat="1" applyFont="1" applyAlignment="1">
      <alignment vertical="center"/>
    </xf>
    <xf numFmtId="234" fontId="70" fillId="0" borderId="0" xfId="0" applyNumberFormat="1" applyFont="1" applyAlignment="1">
      <alignment horizontal="right" vertical="center"/>
    </xf>
    <xf numFmtId="3" fontId="69" fillId="2" borderId="0" xfId="0" applyNumberFormat="1" applyFont="1" applyFill="1" applyAlignment="1">
      <alignment vertical="center"/>
    </xf>
    <xf numFmtId="234" fontId="69" fillId="0" borderId="0" xfId="0" applyNumberFormat="1" applyFont="1" applyAlignment="1">
      <alignment horizontal="right" vertical="center"/>
    </xf>
    <xf numFmtId="0" fontId="71" fillId="0" borderId="0" xfId="0" applyFont="1"/>
    <xf numFmtId="0" fontId="75" fillId="0" borderId="0" xfId="0" applyFont="1"/>
    <xf numFmtId="3" fontId="73" fillId="0" borderId="0" xfId="0" applyNumberFormat="1" applyFont="1" applyAlignment="1">
      <alignment horizontal="center"/>
    </xf>
    <xf numFmtId="234" fontId="60" fillId="0" borderId="0" xfId="0" applyNumberFormat="1" applyFont="1"/>
    <xf numFmtId="234" fontId="63" fillId="0" borderId="0" xfId="0" applyNumberFormat="1" applyFont="1"/>
    <xf numFmtId="234" fontId="60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left" vertical="center" indent="1"/>
    </xf>
    <xf numFmtId="3" fontId="76" fillId="0" borderId="0" xfId="0" applyNumberFormat="1" applyFont="1" applyAlignment="1">
      <alignment horizontal="center" vertical="center"/>
    </xf>
    <xf numFmtId="0" fontId="78" fillId="0" borderId="0" xfId="0" applyFont="1"/>
    <xf numFmtId="0" fontId="80" fillId="0" borderId="0" xfId="0" applyFont="1"/>
    <xf numFmtId="0" fontId="77" fillId="0" borderId="0" xfId="0" applyFont="1" applyAlignment="1">
      <alignment horizontal="left" indent="1"/>
    </xf>
    <xf numFmtId="3" fontId="77" fillId="0" borderId="0" xfId="0" applyNumberFormat="1" applyFont="1" applyAlignment="1">
      <alignment horizontal="center"/>
    </xf>
    <xf numFmtId="0" fontId="76" fillId="0" borderId="0" xfId="0" applyFont="1"/>
    <xf numFmtId="3" fontId="78" fillId="0" borderId="0" xfId="0" applyNumberFormat="1" applyFont="1"/>
    <xf numFmtId="165" fontId="69" fillId="2" borderId="0" xfId="0" applyNumberFormat="1" applyFont="1" applyFill="1" applyAlignment="1">
      <alignment horizontal="right" vertical="center"/>
    </xf>
    <xf numFmtId="234" fontId="63" fillId="2" borderId="0" xfId="0" applyNumberFormat="1" applyFont="1" applyFill="1" applyAlignment="1">
      <alignment horizontal="center" vertical="center"/>
    </xf>
    <xf numFmtId="234" fontId="61" fillId="0" borderId="0" xfId="0" applyNumberFormat="1" applyFont="1"/>
    <xf numFmtId="0" fontId="78" fillId="0" borderId="0" xfId="0" quotePrefix="1" applyFont="1"/>
    <xf numFmtId="0" fontId="76" fillId="0" borderId="0" xfId="0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3" fontId="77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center" vertical="center"/>
    </xf>
    <xf numFmtId="234" fontId="69" fillId="0" borderId="0" xfId="0" applyNumberFormat="1" applyFont="1" applyAlignment="1">
      <alignment horizontal="center" vertical="center"/>
    </xf>
    <xf numFmtId="0" fontId="61" fillId="2" borderId="0" xfId="0" applyFont="1" applyFill="1" applyAlignment="1">
      <alignment horizontal="center"/>
    </xf>
    <xf numFmtId="166" fontId="70" fillId="0" borderId="0" xfId="1" applyNumberFormat="1" applyFont="1" applyFill="1" applyAlignment="1">
      <alignment vertical="center"/>
    </xf>
    <xf numFmtId="234" fontId="82" fillId="2" borderId="0" xfId="0" applyNumberFormat="1" applyFont="1" applyFill="1" applyAlignment="1">
      <alignment horizontal="center" vertical="center"/>
    </xf>
    <xf numFmtId="234" fontId="61" fillId="2" borderId="0" xfId="0" applyNumberFormat="1" applyFont="1" applyFill="1"/>
    <xf numFmtId="166" fontId="63" fillId="2" borderId="0" xfId="1" applyNumberFormat="1" applyFont="1" applyFill="1" applyBorder="1"/>
    <xf numFmtId="234" fontId="63" fillId="2" borderId="0" xfId="0" applyNumberFormat="1" applyFont="1" applyFill="1"/>
    <xf numFmtId="1" fontId="60" fillId="0" borderId="0" xfId="0" applyNumberFormat="1" applyFont="1"/>
    <xf numFmtId="166" fontId="70" fillId="2" borderId="0" xfId="1" applyNumberFormat="1" applyFont="1" applyFill="1" applyBorder="1" applyAlignment="1">
      <alignment horizontal="right" vertical="center"/>
    </xf>
    <xf numFmtId="166" fontId="70" fillId="0" borderId="0" xfId="1" applyNumberFormat="1" applyFont="1" applyBorder="1" applyAlignment="1">
      <alignment vertical="center"/>
    </xf>
    <xf numFmtId="166" fontId="69" fillId="2" borderId="0" xfId="1" applyNumberFormat="1" applyFont="1" applyFill="1"/>
    <xf numFmtId="166" fontId="70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/>
    </xf>
    <xf numFmtId="166" fontId="70" fillId="0" borderId="0" xfId="1" applyNumberFormat="1" applyFont="1" applyBorder="1" applyAlignment="1">
      <alignment horizontal="right" vertical="center"/>
    </xf>
    <xf numFmtId="166" fontId="69" fillId="2" borderId="0" xfId="1" applyNumberFormat="1" applyFont="1" applyFill="1" applyBorder="1" applyAlignment="1">
      <alignment horizontal="right" vertical="center"/>
    </xf>
    <xf numFmtId="164" fontId="69" fillId="0" borderId="0" xfId="1" applyNumberFormat="1" applyFont="1" applyFill="1" applyAlignment="1">
      <alignment horizontal="right" vertical="center"/>
    </xf>
    <xf numFmtId="166" fontId="69" fillId="0" borderId="0" xfId="1" applyNumberFormat="1" applyFont="1" applyFill="1" applyAlignment="1">
      <alignment vertical="center"/>
    </xf>
    <xf numFmtId="166" fontId="69" fillId="0" borderId="0" xfId="1" applyNumberFormat="1" applyFont="1" applyFill="1" applyAlignment="1">
      <alignment horizontal="right" vertical="center"/>
    </xf>
    <xf numFmtId="0" fontId="79" fillId="0" borderId="0" xfId="0" applyFont="1"/>
    <xf numFmtId="0" fontId="72" fillId="0" borderId="0" xfId="0" quotePrefix="1" applyFont="1"/>
    <xf numFmtId="0" fontId="78" fillId="0" borderId="0" xfId="46" applyFont="1"/>
    <xf numFmtId="0" fontId="84" fillId="0" borderId="0" xfId="46" applyFont="1"/>
    <xf numFmtId="0" fontId="75" fillId="0" borderId="0" xfId="46" applyFont="1"/>
    <xf numFmtId="0" fontId="78" fillId="0" borderId="0" xfId="46" applyFont="1" applyAlignment="1">
      <alignment horizontal="center"/>
    </xf>
    <xf numFmtId="0" fontId="78" fillId="40" borderId="0" xfId="46" applyFont="1" applyFill="1" applyAlignment="1">
      <alignment horizontal="left" vertical="center" wrapText="1" indent="1"/>
    </xf>
    <xf numFmtId="3" fontId="78" fillId="40" borderId="0" xfId="47" applyNumberFormat="1" applyFont="1" applyFill="1" applyAlignment="1">
      <alignment horizontal="center"/>
    </xf>
    <xf numFmtId="3" fontId="78" fillId="40" borderId="0" xfId="46" applyNumberFormat="1" applyFont="1" applyFill="1" applyAlignment="1">
      <alignment horizontal="center"/>
    </xf>
    <xf numFmtId="0" fontId="11" fillId="41" borderId="0" xfId="46" applyFont="1" applyFill="1"/>
    <xf numFmtId="0" fontId="11" fillId="41" borderId="0" xfId="46" applyFont="1" applyFill="1" applyAlignment="1">
      <alignment horizontal="center"/>
    </xf>
    <xf numFmtId="0" fontId="85" fillId="0" borderId="0" xfId="46" applyFont="1"/>
    <xf numFmtId="166" fontId="70" fillId="0" borderId="0" xfId="0" applyNumberFormat="1" applyFont="1" applyAlignment="1">
      <alignment vertical="center"/>
    </xf>
    <xf numFmtId="0" fontId="62" fillId="42" borderId="0" xfId="0" applyFont="1" applyFill="1" applyAlignment="1">
      <alignment vertical="center"/>
    </xf>
    <xf numFmtId="234" fontId="62" fillId="42" borderId="0" xfId="0" applyNumberFormat="1" applyFont="1" applyFill="1" applyAlignment="1">
      <alignment horizontal="right" vertical="center"/>
    </xf>
    <xf numFmtId="0" fontId="62" fillId="0" borderId="0" xfId="0" applyFont="1" applyAlignment="1">
      <alignment vertical="center"/>
    </xf>
    <xf numFmtId="234" fontId="70" fillId="2" borderId="0" xfId="0" applyNumberFormat="1" applyFont="1" applyFill="1" applyAlignment="1">
      <alignment vertical="center"/>
    </xf>
    <xf numFmtId="234" fontId="70" fillId="2" borderId="21" xfId="0" applyNumberFormat="1" applyFont="1" applyFill="1" applyBorder="1" applyAlignment="1">
      <alignment horizontal="right" vertical="center"/>
    </xf>
    <xf numFmtId="234" fontId="69" fillId="2" borderId="21" xfId="0" applyNumberFormat="1" applyFont="1" applyFill="1" applyBorder="1" applyAlignment="1">
      <alignment horizontal="right" vertical="center"/>
    </xf>
    <xf numFmtId="0" fontId="63" fillId="0" borderId="22" xfId="0" applyFont="1" applyBorder="1" applyAlignment="1">
      <alignment vertical="center"/>
    </xf>
    <xf numFmtId="234" fontId="70" fillId="2" borderId="22" xfId="0" applyNumberFormat="1" applyFont="1" applyFill="1" applyBorder="1" applyAlignment="1">
      <alignment horizontal="right" vertical="center"/>
    </xf>
    <xf numFmtId="234" fontId="70" fillId="0" borderId="21" xfId="0" applyNumberFormat="1" applyFont="1" applyBorder="1" applyAlignment="1">
      <alignment horizontal="right" vertical="center"/>
    </xf>
    <xf numFmtId="0" fontId="62" fillId="41" borderId="0" xfId="0" applyFont="1" applyFill="1" applyAlignment="1">
      <alignment vertical="center"/>
    </xf>
    <xf numFmtId="234" fontId="62" fillId="41" borderId="0" xfId="0" applyNumberFormat="1" applyFont="1" applyFill="1" applyAlignment="1">
      <alignment horizontal="right" vertical="center"/>
    </xf>
    <xf numFmtId="166" fontId="62" fillId="0" borderId="0" xfId="0" applyNumberFormat="1" applyFont="1" applyAlignment="1">
      <alignment vertical="center"/>
    </xf>
    <xf numFmtId="0" fontId="64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4"/>
    </xf>
    <xf numFmtId="0" fontId="64" fillId="0" borderId="0" xfId="0" applyFont="1" applyAlignment="1">
      <alignment horizontal="right"/>
    </xf>
    <xf numFmtId="166" fontId="87" fillId="0" borderId="0" xfId="0" applyNumberFormat="1" applyFont="1" applyAlignment="1">
      <alignment horizontal="right" vertical="center"/>
    </xf>
    <xf numFmtId="0" fontId="63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3"/>
    </xf>
    <xf numFmtId="0" fontId="63" fillId="2" borderId="0" xfId="0" applyFont="1" applyFill="1" applyAlignment="1">
      <alignment horizontal="left" vertical="center" indent="2"/>
    </xf>
    <xf numFmtId="167" fontId="69" fillId="2" borderId="21" xfId="2" applyNumberFormat="1" applyFont="1" applyFill="1" applyBorder="1" applyAlignment="1">
      <alignment horizontal="right" vertical="center"/>
    </xf>
    <xf numFmtId="0" fontId="63" fillId="0" borderId="23" xfId="0" applyFont="1" applyBorder="1" applyAlignment="1">
      <alignment vertical="center"/>
    </xf>
    <xf numFmtId="0" fontId="63" fillId="2" borderId="21" xfId="0" applyFont="1" applyFill="1" applyBorder="1" applyAlignment="1">
      <alignment vertical="center"/>
    </xf>
    <xf numFmtId="0" fontId="87" fillId="42" borderId="0" xfId="0" applyFont="1" applyFill="1" applyAlignment="1">
      <alignment horizontal="left" vertical="center" indent="1"/>
    </xf>
    <xf numFmtId="167" fontId="87" fillId="42" borderId="0" xfId="2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234" fontId="64" fillId="0" borderId="0" xfId="0" applyNumberFormat="1" applyFont="1"/>
    <xf numFmtId="0" fontId="88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88" fillId="39" borderId="0" xfId="16863" applyFont="1" applyBorder="1" applyAlignment="1">
      <alignment horizontal="center" vertical="center"/>
    </xf>
    <xf numFmtId="0" fontId="68" fillId="39" borderId="0" xfId="16863" applyFont="1" applyBorder="1" applyAlignment="1">
      <alignment horizontal="center" vertical="center"/>
    </xf>
    <xf numFmtId="0" fontId="70" fillId="0" borderId="21" xfId="0" applyFont="1" applyBorder="1" applyAlignment="1">
      <alignment vertical="center"/>
    </xf>
    <xf numFmtId="0" fontId="70" fillId="39" borderId="21" xfId="16863" applyFont="1" applyBorder="1" applyAlignment="1">
      <alignment horizontal="center" vertical="center"/>
    </xf>
    <xf numFmtId="0" fontId="70" fillId="0" borderId="21" xfId="16863" applyFont="1" applyFill="1" applyBorder="1" applyAlignment="1">
      <alignment horizontal="center" vertical="center"/>
    </xf>
    <xf numFmtId="3" fontId="69" fillId="0" borderId="21" xfId="0" applyNumberFormat="1" applyFont="1" applyBorder="1" applyAlignment="1">
      <alignment horizontal="left" vertical="center" indent="3"/>
    </xf>
    <xf numFmtId="166" fontId="69" fillId="0" borderId="21" xfId="1" applyNumberFormat="1" applyFont="1" applyBorder="1" applyAlignment="1">
      <alignment vertical="center"/>
    </xf>
    <xf numFmtId="166" fontId="69" fillId="2" borderId="21" xfId="1" applyNumberFormat="1" applyFont="1" applyFill="1" applyBorder="1" applyAlignment="1">
      <alignment vertical="center"/>
    </xf>
    <xf numFmtId="166" fontId="69" fillId="0" borderId="21" xfId="1" applyNumberFormat="1" applyFont="1" applyFill="1" applyBorder="1" applyAlignment="1">
      <alignment vertical="center"/>
    </xf>
    <xf numFmtId="164" fontId="70" fillId="0" borderId="21" xfId="0" applyNumberFormat="1" applyFont="1" applyBorder="1" applyAlignment="1">
      <alignment horizontal="right" vertical="center"/>
    </xf>
    <xf numFmtId="164" fontId="70" fillId="2" borderId="21" xfId="0" applyNumberFormat="1" applyFont="1" applyFill="1" applyBorder="1" applyAlignment="1">
      <alignment horizontal="right" vertical="center"/>
    </xf>
    <xf numFmtId="0" fontId="70" fillId="2" borderId="21" xfId="16863" applyFont="1" applyFill="1" applyBorder="1" applyAlignment="1">
      <alignment horizontal="center" vertical="center"/>
    </xf>
    <xf numFmtId="166" fontId="69" fillId="2" borderId="21" xfId="1" applyNumberFormat="1" applyFont="1" applyFill="1" applyBorder="1" applyAlignment="1">
      <alignment horizontal="right" vertical="center"/>
    </xf>
    <xf numFmtId="237" fontId="70" fillId="0" borderId="21" xfId="0" applyNumberFormat="1" applyFont="1" applyBorder="1" applyAlignment="1">
      <alignment horizontal="right" vertical="center" wrapText="1"/>
    </xf>
    <xf numFmtId="0" fontId="70" fillId="2" borderId="21" xfId="0" applyFont="1" applyFill="1" applyBorder="1" applyAlignment="1">
      <alignment vertical="center"/>
    </xf>
    <xf numFmtId="166" fontId="70" fillId="2" borderId="21" xfId="1" applyNumberFormat="1" applyFont="1" applyFill="1" applyBorder="1" applyAlignment="1">
      <alignment horizontal="right" vertical="center"/>
    </xf>
    <xf numFmtId="0" fontId="89" fillId="0" borderId="0" xfId="0" applyFont="1" applyAlignment="1">
      <alignment horizontal="left" vertical="center"/>
    </xf>
    <xf numFmtId="164" fontId="69" fillId="0" borderId="21" xfId="1" applyNumberFormat="1" applyFont="1" applyBorder="1" applyAlignment="1">
      <alignment horizontal="right" vertical="center"/>
    </xf>
    <xf numFmtId="164" fontId="69" fillId="2" borderId="21" xfId="1" applyNumberFormat="1" applyFont="1" applyFill="1" applyBorder="1" applyAlignment="1">
      <alignment horizontal="right" vertical="center"/>
    </xf>
    <xf numFmtId="164" fontId="69" fillId="0" borderId="21" xfId="1" applyNumberFormat="1" applyFont="1" applyFill="1" applyBorder="1" applyAlignment="1">
      <alignment horizontal="right" vertical="center"/>
    </xf>
    <xf numFmtId="0" fontId="69" fillId="2" borderId="21" xfId="0" applyFont="1" applyFill="1" applyBorder="1"/>
    <xf numFmtId="0" fontId="69" fillId="0" borderId="21" xfId="0" applyFont="1" applyBorder="1"/>
    <xf numFmtId="0" fontId="70" fillId="0" borderId="22" xfId="0" applyFont="1" applyBorder="1" applyAlignment="1">
      <alignment vertical="center"/>
    </xf>
    <xf numFmtId="234" fontId="70" fillId="0" borderId="22" xfId="0" applyNumberFormat="1" applyFont="1" applyBorder="1" applyAlignment="1">
      <alignment vertical="center"/>
    </xf>
    <xf numFmtId="166" fontId="69" fillId="0" borderId="21" xfId="1" applyNumberFormat="1" applyFont="1" applyBorder="1" applyAlignment="1">
      <alignment horizontal="right" vertical="center"/>
    </xf>
    <xf numFmtId="166" fontId="69" fillId="2" borderId="21" xfId="1" applyNumberFormat="1" applyFont="1" applyFill="1" applyBorder="1"/>
    <xf numFmtId="166" fontId="70" fillId="0" borderId="22" xfId="1" applyNumberFormat="1" applyFont="1" applyBorder="1" applyAlignment="1">
      <alignment horizontal="right" vertical="center"/>
    </xf>
    <xf numFmtId="0" fontId="62" fillId="43" borderId="21" xfId="0" applyFont="1" applyFill="1" applyBorder="1" applyAlignment="1">
      <alignment vertical="center"/>
    </xf>
    <xf numFmtId="234" fontId="62" fillId="43" borderId="21" xfId="0" applyNumberFormat="1" applyFont="1" applyFill="1" applyBorder="1" applyAlignment="1">
      <alignment horizontal="right" vertical="center"/>
    </xf>
    <xf numFmtId="166" fontId="62" fillId="43" borderId="21" xfId="1" applyNumberFormat="1" applyFont="1" applyFill="1" applyBorder="1" applyAlignment="1">
      <alignment horizontal="center" vertical="center"/>
    </xf>
    <xf numFmtId="166" fontId="62" fillId="43" borderId="21" xfId="1" applyNumberFormat="1" applyFont="1" applyFill="1" applyBorder="1" applyAlignment="1">
      <alignment vertical="center"/>
    </xf>
    <xf numFmtId="234" fontId="71" fillId="0" borderId="0" xfId="0" applyNumberFormat="1" applyFont="1"/>
    <xf numFmtId="234" fontId="62" fillId="0" borderId="0" xfId="0" applyNumberFormat="1" applyFont="1" applyAlignment="1">
      <alignment horizontal="right" vertical="center"/>
    </xf>
    <xf numFmtId="0" fontId="68" fillId="39" borderId="24" xfId="16863" applyFont="1" applyBorder="1" applyAlignment="1">
      <alignment horizontal="center" vertical="center"/>
    </xf>
    <xf numFmtId="0" fontId="62" fillId="43" borderId="0" xfId="0" applyFont="1" applyFill="1" applyAlignment="1">
      <alignment vertical="center"/>
    </xf>
    <xf numFmtId="234" fontId="62" fillId="43" borderId="0" xfId="0" applyNumberFormat="1" applyFont="1" applyFill="1" applyAlignment="1">
      <alignment horizontal="right" vertical="center"/>
    </xf>
    <xf numFmtId="0" fontId="70" fillId="39" borderId="24" xfId="16863" applyFont="1" applyBorder="1" applyAlignment="1">
      <alignment horizontal="center" vertical="center"/>
    </xf>
    <xf numFmtId="0" fontId="70" fillId="39" borderId="0" xfId="16863" applyFont="1" applyBorder="1" applyAlignment="1">
      <alignment horizontal="center" vertical="center"/>
    </xf>
    <xf numFmtId="234" fontId="69" fillId="0" borderId="0" xfId="0" applyNumberFormat="1" applyFont="1"/>
    <xf numFmtId="234" fontId="69" fillId="2" borderId="0" xfId="0" applyNumberFormat="1" applyFont="1" applyFill="1"/>
    <xf numFmtId="0" fontId="63" fillId="0" borderId="0" xfId="0" applyFont="1" applyAlignment="1">
      <alignment horizontal="left" vertical="center" indent="2"/>
    </xf>
    <xf numFmtId="0" fontId="64" fillId="0" borderId="0" xfId="0" applyFont="1" applyAlignment="1">
      <alignment horizontal="left" vertical="center" indent="2"/>
    </xf>
    <xf numFmtId="0" fontId="87" fillId="0" borderId="0" xfId="0" applyFont="1"/>
    <xf numFmtId="14" fontId="88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left" vertical="center" indent="1"/>
    </xf>
    <xf numFmtId="3" fontId="91" fillId="0" borderId="0" xfId="0" applyNumberFormat="1" applyFont="1" applyAlignment="1">
      <alignment horizontal="center" vertical="center"/>
    </xf>
    <xf numFmtId="0" fontId="88" fillId="40" borderId="0" xfId="0" applyFont="1" applyFill="1" applyAlignment="1">
      <alignment horizontal="left" vertical="center"/>
    </xf>
    <xf numFmtId="3" fontId="88" fillId="40" borderId="0" xfId="0" applyNumberFormat="1" applyFont="1" applyFill="1" applyAlignment="1">
      <alignment horizontal="center" vertical="center"/>
    </xf>
    <xf numFmtId="0" fontId="88" fillId="0" borderId="0" xfId="0" applyFont="1" applyAlignment="1">
      <alignment horizontal="left" vertical="center"/>
    </xf>
    <xf numFmtId="3" fontId="88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left" vertical="center" indent="6"/>
    </xf>
    <xf numFmtId="238" fontId="92" fillId="0" borderId="0" xfId="0" quotePrefix="1" applyNumberFormat="1" applyFont="1" applyAlignment="1">
      <alignment horizontal="center" vertical="center"/>
    </xf>
    <xf numFmtId="239" fontId="93" fillId="0" borderId="21" xfId="0" quotePrefix="1" applyNumberFormat="1" applyFont="1" applyBorder="1" applyAlignment="1">
      <alignment horizontal="left" vertical="center"/>
    </xf>
    <xf numFmtId="240" fontId="92" fillId="0" borderId="21" xfId="1" quotePrefix="1" applyNumberFormat="1" applyFont="1" applyBorder="1" applyAlignment="1">
      <alignment horizontal="center" vertical="center"/>
    </xf>
    <xf numFmtId="239" fontId="93" fillId="0" borderId="0" xfId="0" quotePrefix="1" applyNumberFormat="1" applyFont="1" applyAlignment="1">
      <alignment horizontal="left" vertical="center"/>
    </xf>
    <xf numFmtId="234" fontId="94" fillId="0" borderId="0" xfId="16865" applyNumberFormat="1" applyFont="1" applyBorder="1"/>
    <xf numFmtId="239" fontId="92" fillId="0" borderId="0" xfId="0" quotePrefix="1" applyNumberFormat="1" applyFont="1" applyAlignment="1">
      <alignment horizontal="left" vertical="center"/>
    </xf>
    <xf numFmtId="234" fontId="95" fillId="0" borderId="0" xfId="16865" applyNumberFormat="1" applyFont="1" applyBorder="1"/>
    <xf numFmtId="0" fontId="95" fillId="0" borderId="0" xfId="0" applyFont="1"/>
    <xf numFmtId="0" fontId="96" fillId="0" borderId="21" xfId="0" applyFont="1" applyBorder="1"/>
    <xf numFmtId="234" fontId="94" fillId="0" borderId="0" xfId="16865" applyNumberFormat="1" applyFont="1"/>
    <xf numFmtId="0" fontId="95" fillId="0" borderId="21" xfId="0" applyFont="1" applyBorder="1"/>
    <xf numFmtId="239" fontId="92" fillId="0" borderId="21" xfId="0" quotePrefix="1" applyNumberFormat="1" applyFont="1" applyBorder="1" applyAlignment="1">
      <alignment horizontal="left" vertical="center"/>
    </xf>
    <xf numFmtId="241" fontId="92" fillId="0" borderId="21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91" fillId="39" borderId="0" xfId="16863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4" fontId="0" fillId="0" borderId="0" xfId="0" applyNumberFormat="1"/>
    <xf numFmtId="0" fontId="87" fillId="2" borderId="0" xfId="0" applyFont="1" applyFill="1" applyAlignment="1">
      <alignment horizontal="center"/>
    </xf>
    <xf numFmtId="3" fontId="69" fillId="0" borderId="0" xfId="0" applyNumberFormat="1" applyFont="1"/>
    <xf numFmtId="0" fontId="70" fillId="0" borderId="0" xfId="16863" applyFont="1" applyFill="1" applyBorder="1" applyAlignment="1">
      <alignment horizontal="center" vertical="center"/>
    </xf>
    <xf numFmtId="166" fontId="70" fillId="0" borderId="22" xfId="1" applyNumberFormat="1" applyFont="1" applyFill="1" applyBorder="1" applyAlignment="1">
      <alignment horizontal="right" vertical="center"/>
    </xf>
    <xf numFmtId="236" fontId="1" fillId="0" borderId="0" xfId="0" applyNumberFormat="1" applyFont="1"/>
    <xf numFmtId="0" fontId="1" fillId="0" borderId="0" xfId="0" applyFont="1"/>
    <xf numFmtId="0" fontId="100" fillId="0" borderId="25" xfId="0" applyFont="1" applyBorder="1" applyAlignment="1">
      <alignment horizontal="right"/>
    </xf>
    <xf numFmtId="0" fontId="1" fillId="2" borderId="0" xfId="0" applyFont="1" applyFill="1"/>
    <xf numFmtId="0" fontId="15" fillId="0" borderId="0" xfId="46" applyFont="1"/>
    <xf numFmtId="0" fontId="15" fillId="0" borderId="0" xfId="46" applyFont="1" applyAlignment="1">
      <alignment horizontal="center"/>
    </xf>
    <xf numFmtId="0" fontId="101" fillId="0" borderId="0" xfId="46" applyFont="1"/>
    <xf numFmtId="0" fontId="60" fillId="0" borderId="0" xfId="16866" applyFont="1"/>
    <xf numFmtId="43" fontId="60" fillId="0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60" fillId="0" borderId="0" xfId="1" applyNumberFormat="1" applyFont="1" applyFill="1" applyAlignment="1">
      <alignment horizontal="right"/>
    </xf>
    <xf numFmtId="166" fontId="60" fillId="0" borderId="0" xfId="1" applyNumberFormat="1" applyFont="1" applyFill="1" applyBorder="1" applyAlignment="1">
      <alignment horizontal="right"/>
    </xf>
    <xf numFmtId="10" fontId="1" fillId="0" borderId="0" xfId="0" applyNumberFormat="1" applyFont="1"/>
    <xf numFmtId="166" fontId="60" fillId="0" borderId="0" xfId="1" applyNumberFormat="1" applyFont="1" applyFill="1" applyAlignment="1">
      <alignment horizontal="center"/>
    </xf>
    <xf numFmtId="242" fontId="60" fillId="0" borderId="0" xfId="1" applyNumberFormat="1" applyFont="1" applyFill="1" applyAlignment="1">
      <alignment horizontal="right"/>
    </xf>
    <xf numFmtId="242" fontId="60" fillId="2" borderId="0" xfId="1" applyNumberFormat="1" applyFont="1" applyFill="1" applyAlignment="1">
      <alignment horizontal="right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26" xfId="0" applyBorder="1" applyAlignment="1">
      <alignment vertical="center"/>
    </xf>
    <xf numFmtId="3" fontId="0" fillId="0" borderId="26" xfId="0" applyNumberFormat="1" applyBorder="1" applyAlignment="1">
      <alignment vertical="center"/>
    </xf>
    <xf numFmtId="241" fontId="0" fillId="0" borderId="0" xfId="0" applyNumberFormat="1" applyAlignment="1">
      <alignment vertical="center"/>
    </xf>
    <xf numFmtId="241" fontId="97" fillId="0" borderId="0" xfId="0" applyNumberFormat="1" applyFont="1" applyAlignment="1">
      <alignment vertical="center"/>
    </xf>
    <xf numFmtId="0" fontId="99" fillId="45" borderId="0" xfId="0" applyFont="1" applyFill="1" applyAlignment="1">
      <alignment horizontal="left" vertical="center"/>
    </xf>
    <xf numFmtId="241" fontId="11" fillId="45" borderId="0" xfId="0" applyNumberFormat="1" applyFont="1" applyFill="1" applyAlignment="1">
      <alignment vertical="center"/>
    </xf>
    <xf numFmtId="0" fontId="15" fillId="0" borderId="0" xfId="0" applyFont="1" applyAlignment="1">
      <alignment horizontal="center"/>
    </xf>
    <xf numFmtId="0" fontId="88" fillId="0" borderId="0" xfId="0" applyFont="1" applyAlignment="1">
      <alignment horizontal="center" vertical="center"/>
    </xf>
    <xf numFmtId="0" fontId="97" fillId="0" borderId="0" xfId="0" applyFont="1"/>
    <xf numFmtId="238" fontId="102" fillId="0" borderId="0" xfId="0" quotePrefix="1" applyNumberFormat="1" applyFont="1" applyAlignment="1">
      <alignment horizontal="center" vertical="center"/>
    </xf>
    <xf numFmtId="239" fontId="103" fillId="0" borderId="21" xfId="0" quotePrefix="1" applyNumberFormat="1" applyFont="1" applyBorder="1" applyAlignment="1">
      <alignment horizontal="left" vertical="center"/>
    </xf>
    <xf numFmtId="241" fontId="102" fillId="0" borderId="21" xfId="1" quotePrefix="1" applyNumberFormat="1" applyFont="1" applyBorder="1" applyAlignment="1">
      <alignment horizontal="center" vertical="center"/>
    </xf>
    <xf numFmtId="240" fontId="102" fillId="0" borderId="21" xfId="1" quotePrefix="1" applyNumberFormat="1" applyFont="1" applyBorder="1" applyAlignment="1">
      <alignment horizontal="center" vertical="center"/>
    </xf>
    <xf numFmtId="239" fontId="103" fillId="0" borderId="0" xfId="0" quotePrefix="1" applyNumberFormat="1" applyFont="1" applyAlignment="1">
      <alignment horizontal="left" vertical="center"/>
    </xf>
    <xf numFmtId="234" fontId="98" fillId="0" borderId="0" xfId="16865" applyNumberFormat="1" applyFont="1" applyBorder="1"/>
    <xf numFmtId="239" fontId="102" fillId="0" borderId="0" xfId="0" quotePrefix="1" applyNumberFormat="1" applyFont="1" applyAlignment="1">
      <alignment horizontal="left" vertical="center"/>
    </xf>
    <xf numFmtId="234" fontId="98" fillId="0" borderId="0" xfId="16865" applyNumberFormat="1" applyFont="1"/>
    <xf numFmtId="234" fontId="97" fillId="0" borderId="0" xfId="16865" applyNumberFormat="1" applyFont="1" applyBorder="1"/>
    <xf numFmtId="234" fontId="97" fillId="0" borderId="0" xfId="16865" applyNumberFormat="1" applyFont="1"/>
    <xf numFmtId="0" fontId="97" fillId="0" borderId="21" xfId="0" applyFont="1" applyBorder="1"/>
    <xf numFmtId="234" fontId="97" fillId="0" borderId="21" xfId="16865" applyNumberFormat="1" applyFont="1" applyBorder="1"/>
    <xf numFmtId="239" fontId="102" fillId="0" borderId="21" xfId="0" quotePrefix="1" applyNumberFormat="1" applyFont="1" applyBorder="1" applyAlignment="1">
      <alignment horizontal="left" vertical="center"/>
    </xf>
    <xf numFmtId="234" fontId="98" fillId="0" borderId="22" xfId="16865" applyNumberFormat="1" applyFont="1" applyBorder="1"/>
    <xf numFmtId="3" fontId="104" fillId="0" borderId="0" xfId="0" applyNumberFormat="1" applyFont="1" applyAlignment="1">
      <alignment horizontal="center"/>
    </xf>
    <xf numFmtId="234" fontId="97" fillId="0" borderId="0" xfId="0" applyNumberFormat="1" applyFont="1"/>
    <xf numFmtId="0" fontId="104" fillId="0" borderId="0" xfId="0" applyFont="1"/>
    <xf numFmtId="2" fontId="0" fillId="0" borderId="0" xfId="0" applyNumberFormat="1"/>
    <xf numFmtId="0" fontId="69" fillId="0" borderId="0" xfId="0" applyFont="1" applyAlignment="1">
      <alignment horizontal="right"/>
    </xf>
    <xf numFmtId="234" fontId="95" fillId="0" borderId="0" xfId="16865" applyNumberFormat="1" applyFont="1"/>
    <xf numFmtId="234" fontId="95" fillId="0" borderId="21" xfId="16865" applyNumberFormat="1" applyFont="1" applyBorder="1"/>
    <xf numFmtId="234" fontId="105" fillId="0" borderId="0" xfId="16865" applyNumberFormat="1" applyFont="1"/>
    <xf numFmtId="234" fontId="105" fillId="0" borderId="22" xfId="16865" applyNumberFormat="1" applyFont="1" applyBorder="1"/>
    <xf numFmtId="234" fontId="94" fillId="0" borderId="22" xfId="16865" applyNumberFormat="1" applyFont="1" applyBorder="1"/>
    <xf numFmtId="234" fontId="95" fillId="0" borderId="0" xfId="16865" applyNumberFormat="1" applyFont="1" applyFill="1"/>
    <xf numFmtId="234" fontId="95" fillId="0" borderId="21" xfId="16865" applyNumberFormat="1" applyFont="1" applyFill="1" applyBorder="1"/>
    <xf numFmtId="43" fontId="97" fillId="0" borderId="0" xfId="0" applyNumberFormat="1" applyFont="1"/>
    <xf numFmtId="239" fontId="69" fillId="0" borderId="0" xfId="0" applyNumberFormat="1" applyFont="1"/>
    <xf numFmtId="3" fontId="75" fillId="0" borderId="0" xfId="46" applyNumberFormat="1" applyFont="1"/>
    <xf numFmtId="234" fontId="95" fillId="0" borderId="21" xfId="16865" applyNumberFormat="1" applyFont="1" applyBorder="1" applyAlignment="1">
      <alignment horizontal="center"/>
    </xf>
    <xf numFmtId="3" fontId="1" fillId="0" borderId="0" xfId="0" applyNumberFormat="1" applyFont="1"/>
    <xf numFmtId="166" fontId="1" fillId="0" borderId="0" xfId="0" applyNumberFormat="1" applyFont="1"/>
    <xf numFmtId="242" fontId="60" fillId="0" borderId="0" xfId="1" applyNumberFormat="1" applyFont="1" applyFill="1" applyBorder="1" applyAlignment="1">
      <alignment horizontal="right"/>
    </xf>
    <xf numFmtId="0" fontId="61" fillId="0" borderId="0" xfId="16866" applyFont="1" applyAlignment="1">
      <alignment horizontal="left"/>
    </xf>
    <xf numFmtId="166" fontId="61" fillId="0" borderId="0" xfId="1" applyNumberFormat="1" applyFont="1" applyFill="1" applyAlignment="1">
      <alignment horizontal="right"/>
    </xf>
    <xf numFmtId="166" fontId="14" fillId="0" borderId="0" xfId="0" applyNumberFormat="1" applyFont="1"/>
    <xf numFmtId="3" fontId="14" fillId="0" borderId="0" xfId="0" applyNumberFormat="1" applyFont="1"/>
    <xf numFmtId="0" fontId="14" fillId="0" borderId="0" xfId="0" applyFont="1"/>
    <xf numFmtId="14" fontId="106" fillId="0" borderId="0" xfId="0" applyNumberFormat="1" applyFont="1" applyAlignment="1">
      <alignment horizontal="center" vertical="center"/>
    </xf>
    <xf numFmtId="3" fontId="107" fillId="0" borderId="0" xfId="0" applyNumberFormat="1" applyFont="1" applyAlignment="1">
      <alignment horizontal="center" vertical="center"/>
    </xf>
    <xf numFmtId="3" fontId="106" fillId="40" borderId="0" xfId="0" applyNumberFormat="1" applyFont="1" applyFill="1" applyAlignment="1">
      <alignment horizontal="center" vertical="center"/>
    </xf>
    <xf numFmtId="0" fontId="108" fillId="0" borderId="0" xfId="0" applyFont="1" applyAlignment="1">
      <alignment horizontal="right" vertical="center" wrapText="1"/>
    </xf>
    <xf numFmtId="234" fontId="69" fillId="0" borderId="21" xfId="0" applyNumberFormat="1" applyFont="1" applyBorder="1" applyAlignment="1">
      <alignment horizontal="right" vertical="center"/>
    </xf>
    <xf numFmtId="234" fontId="64" fillId="0" borderId="0" xfId="0" applyNumberFormat="1" applyFont="1" applyAlignment="1">
      <alignment horizontal="right" vertical="center"/>
    </xf>
    <xf numFmtId="0" fontId="11" fillId="44" borderId="0" xfId="0" applyFont="1" applyFill="1" applyAlignment="1">
      <alignment vertical="center"/>
    </xf>
    <xf numFmtId="0" fontId="11" fillId="44" borderId="0" xfId="0" applyFont="1" applyFill="1"/>
    <xf numFmtId="0" fontId="12" fillId="2" borderId="0" xfId="0" applyFont="1" applyFill="1"/>
    <xf numFmtId="0" fontId="106" fillId="2" borderId="0" xfId="0" applyFont="1" applyFill="1" applyAlignment="1">
      <alignment horizontal="center" vertical="center"/>
    </xf>
    <xf numFmtId="0" fontId="107" fillId="0" borderId="0" xfId="0" applyFont="1" applyAlignment="1">
      <alignment vertical="center"/>
    </xf>
    <xf numFmtId="234" fontId="106" fillId="2" borderId="0" xfId="0" applyNumberFormat="1" applyFont="1" applyFill="1" applyAlignment="1">
      <alignment horizontal="center" vertical="center"/>
    </xf>
    <xf numFmtId="0" fontId="109" fillId="0" borderId="0" xfId="0" applyFont="1"/>
    <xf numFmtId="234" fontId="107" fillId="0" borderId="0" xfId="0" applyNumberFormat="1" applyFont="1" applyAlignment="1">
      <alignment horizontal="right" vertical="center"/>
    </xf>
    <xf numFmtId="0" fontId="106" fillId="0" borderId="0" xfId="0" applyFont="1"/>
    <xf numFmtId="0" fontId="107" fillId="0" borderId="0" xfId="0" applyFont="1" applyAlignment="1">
      <alignment horizontal="right"/>
    </xf>
    <xf numFmtId="0" fontId="109" fillId="2" borderId="0" xfId="0" applyFont="1" applyFill="1"/>
    <xf numFmtId="1" fontId="12" fillId="2" borderId="0" xfId="0" applyNumberFormat="1" applyFont="1" applyFill="1"/>
    <xf numFmtId="0" fontId="12" fillId="0" borderId="0" xfId="0" applyFont="1"/>
    <xf numFmtId="0" fontId="107" fillId="0" borderId="0" xfId="0" applyFont="1"/>
    <xf numFmtId="0" fontId="106" fillId="0" borderId="0" xfId="0" applyFont="1" applyAlignment="1">
      <alignment vertical="center"/>
    </xf>
    <xf numFmtId="166" fontId="69" fillId="0" borderId="21" xfId="1" applyNumberFormat="1" applyFont="1" applyFill="1" applyBorder="1" applyAlignment="1">
      <alignment horizontal="right" vertical="center"/>
    </xf>
    <xf numFmtId="166" fontId="70" fillId="0" borderId="0" xfId="1" applyNumberFormat="1" applyFont="1" applyFill="1" applyBorder="1" applyAlignment="1">
      <alignment vertical="center"/>
    </xf>
    <xf numFmtId="166" fontId="69" fillId="0" borderId="0" xfId="1" applyNumberFormat="1" applyFont="1" applyFill="1"/>
    <xf numFmtId="166" fontId="70" fillId="0" borderId="21" xfId="1" applyNumberFormat="1" applyFont="1" applyFill="1" applyBorder="1" applyAlignment="1">
      <alignment horizontal="right" vertical="center"/>
    </xf>
    <xf numFmtId="234" fontId="94" fillId="0" borderId="0" xfId="16865" applyNumberFormat="1" applyFont="1" applyFill="1"/>
    <xf numFmtId="234" fontId="105" fillId="0" borderId="0" xfId="16865" applyNumberFormat="1" applyFont="1" applyFill="1"/>
    <xf numFmtId="234" fontId="105" fillId="0" borderId="22" xfId="16865" applyNumberFormat="1" applyFont="1" applyFill="1" applyBorder="1"/>
    <xf numFmtId="234" fontId="94" fillId="0" borderId="22" xfId="16865" applyNumberFormat="1" applyFont="1" applyFill="1" applyBorder="1"/>
    <xf numFmtId="166" fontId="70" fillId="0" borderId="0" xfId="0" applyNumberFormat="1" applyFont="1"/>
    <xf numFmtId="234" fontId="71" fillId="0" borderId="0" xfId="0" applyNumberFormat="1" applyFont="1" applyAlignment="1">
      <alignment horizontal="right"/>
    </xf>
    <xf numFmtId="243" fontId="70" fillId="0" borderId="0" xfId="0" applyNumberFormat="1" applyFont="1" applyAlignment="1">
      <alignment horizontal="center" vertical="center"/>
    </xf>
    <xf numFmtId="3" fontId="65" fillId="0" borderId="0" xfId="0" applyNumberFormat="1" applyFont="1"/>
    <xf numFmtId="0" fontId="64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/>
    </xf>
    <xf numFmtId="0" fontId="69" fillId="0" borderId="0" xfId="0" applyFont="1" applyAlignment="1">
      <alignment horizontal="center" vertical="center"/>
    </xf>
    <xf numFmtId="166" fontId="70" fillId="0" borderId="0" xfId="1" applyNumberFormat="1" applyFont="1" applyFill="1" applyBorder="1" applyAlignment="1">
      <alignment horizontal="right" vertical="center"/>
    </xf>
    <xf numFmtId="166" fontId="69" fillId="0" borderId="21" xfId="1" applyNumberFormat="1" applyFont="1" applyFill="1" applyBorder="1"/>
    <xf numFmtId="166" fontId="70" fillId="0" borderId="22" xfId="1" applyNumberFormat="1" applyFont="1" applyFill="1" applyBorder="1" applyAlignment="1">
      <alignment horizontal="left" vertical="center"/>
    </xf>
    <xf numFmtId="166" fontId="70" fillId="0" borderId="0" xfId="1" applyNumberFormat="1" applyFont="1" applyFill="1" applyAlignment="1">
      <alignment horizontal="right" vertical="center"/>
    </xf>
    <xf numFmtId="234" fontId="97" fillId="0" borderId="0" xfId="16865" applyNumberFormat="1" applyFont="1" applyFill="1"/>
    <xf numFmtId="43" fontId="69" fillId="0" borderId="0" xfId="0" applyNumberFormat="1" applyFont="1" applyAlignment="1">
      <alignment horizontal="center" vertical="center"/>
    </xf>
    <xf numFmtId="166" fontId="69" fillId="0" borderId="0" xfId="1" applyNumberFormat="1" applyFont="1" applyFill="1" applyBorder="1" applyAlignment="1">
      <alignment horizontal="right" vertical="center"/>
    </xf>
    <xf numFmtId="234" fontId="98" fillId="0" borderId="0" xfId="16865" applyNumberFormat="1" applyFont="1" applyFill="1"/>
    <xf numFmtId="234" fontId="97" fillId="0" borderId="21" xfId="16865" applyNumberFormat="1" applyFont="1" applyFill="1" applyBorder="1"/>
    <xf numFmtId="234" fontId="97" fillId="0" borderId="0" xfId="16865" applyNumberFormat="1" applyFont="1" applyFill="1" applyBorder="1"/>
    <xf numFmtId="234" fontId="98" fillId="0" borderId="22" xfId="16865" applyNumberFormat="1" applyFont="1" applyFill="1" applyBorder="1"/>
    <xf numFmtId="234" fontId="95" fillId="0" borderId="0" xfId="16865" applyNumberFormat="1" applyFont="1" applyFill="1" applyBorder="1"/>
    <xf numFmtId="241" fontId="92" fillId="0" borderId="21" xfId="1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0" fillId="40" borderId="0" xfId="46" applyFont="1" applyFill="1" applyAlignment="1">
      <alignment horizontal="left" vertical="center" wrapText="1" indent="2"/>
    </xf>
    <xf numFmtId="3" fontId="110" fillId="40" borderId="0" xfId="47" applyNumberFormat="1" applyFont="1" applyFill="1" applyAlignment="1">
      <alignment horizontal="center"/>
    </xf>
    <xf numFmtId="0" fontId="111" fillId="0" borderId="0" xfId="0" applyFont="1"/>
    <xf numFmtId="0" fontId="112" fillId="0" borderId="0" xfId="46" applyFont="1"/>
    <xf numFmtId="3" fontId="111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0" fontId="111" fillId="0" borderId="0" xfId="0" applyFont="1" applyAlignment="1">
      <alignment horizontal="left" vertical="center" indent="2"/>
    </xf>
    <xf numFmtId="3" fontId="111" fillId="0" borderId="0" xfId="0" applyNumberFormat="1" applyFont="1" applyAlignment="1">
      <alignment horizontal="center" vertical="center"/>
    </xf>
    <xf numFmtId="0" fontId="111" fillId="0" borderId="0" xfId="0" applyFont="1" applyAlignment="1">
      <alignment horizontal="left" vertical="center" indent="1"/>
    </xf>
    <xf numFmtId="3" fontId="110" fillId="0" borderId="0" xfId="47" applyNumberFormat="1" applyFont="1" applyAlignment="1">
      <alignment horizontal="center"/>
    </xf>
    <xf numFmtId="241" fontId="102" fillId="0" borderId="21" xfId="1" quotePrefix="1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/>
    </xf>
    <xf numFmtId="244" fontId="114" fillId="0" borderId="0" xfId="637" applyNumberFormat="1" applyFont="1"/>
    <xf numFmtId="244" fontId="114" fillId="0" borderId="21" xfId="637" applyNumberFormat="1" applyFont="1" applyBorder="1"/>
    <xf numFmtId="234" fontId="69" fillId="0" borderId="0" xfId="0" applyNumberFormat="1" applyFont="1" applyAlignment="1">
      <alignment horizontal="center"/>
    </xf>
    <xf numFmtId="166" fontId="70" fillId="2" borderId="0" xfId="0" applyNumberFormat="1" applyFont="1" applyFill="1" applyAlignment="1">
      <alignment horizontal="center"/>
    </xf>
    <xf numFmtId="234" fontId="70" fillId="0" borderId="0" xfId="0" applyNumberFormat="1" applyFont="1" applyAlignment="1">
      <alignment horizontal="center" vertical="center"/>
    </xf>
    <xf numFmtId="234" fontId="63" fillId="2" borderId="0" xfId="0" applyNumberFormat="1" applyFont="1" applyFill="1" applyAlignment="1">
      <alignment horizontal="center"/>
    </xf>
    <xf numFmtId="0" fontId="65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5" fillId="0" borderId="0" xfId="46" applyFont="1" applyAlignment="1">
      <alignment horizontal="center"/>
    </xf>
    <xf numFmtId="0" fontId="97" fillId="0" borderId="0" xfId="0" applyFont="1" applyAlignment="1">
      <alignment horizontal="center" vertical="center"/>
    </xf>
    <xf numFmtId="0" fontId="90" fillId="46" borderId="0" xfId="0" applyFont="1" applyFill="1" applyAlignment="1">
      <alignment horizontal="center"/>
    </xf>
    <xf numFmtId="0" fontId="86" fillId="0" borderId="0" xfId="0" applyFont="1" applyAlignment="1">
      <alignment horizontal="center"/>
    </xf>
    <xf numFmtId="0" fontId="90" fillId="41" borderId="0" xfId="0" applyFont="1" applyFill="1" applyAlignment="1">
      <alignment horizontal="center"/>
    </xf>
    <xf numFmtId="0" fontId="80" fillId="0" borderId="0" xfId="0" quotePrefix="1" applyFont="1" applyAlignment="1">
      <alignment horizontal="center"/>
    </xf>
  </cellXfs>
  <cellStyles count="16867">
    <cellStyle name="_x0013_" xfId="49" xr:uid="{00000000-0005-0000-0000-000000000000}"/>
    <cellStyle name="#,##0" xfId="50" xr:uid="{00000000-0005-0000-0000-000001000000}"/>
    <cellStyle name="$" xfId="51" xr:uid="{00000000-0005-0000-0000-000002000000}"/>
    <cellStyle name="$0" xfId="52" xr:uid="{00000000-0005-0000-0000-000003000000}"/>
    <cellStyle name="$0.0;($0.0)" xfId="53" xr:uid="{00000000-0005-0000-0000-000004000000}"/>
    <cellStyle name="$0.00" xfId="54" xr:uid="{00000000-0005-0000-0000-000005000000}"/>
    <cellStyle name="$0.00;($0.00)" xfId="55" xr:uid="{00000000-0005-0000-0000-000006000000}"/>
    <cellStyle name="$0_Cost Summary for Rod_05052009rev1" xfId="56" xr:uid="{00000000-0005-0000-0000-000007000000}"/>
    <cellStyle name="$m" xfId="57" xr:uid="{00000000-0005-0000-0000-000008000000}"/>
    <cellStyle name="$q" xfId="58" xr:uid="{00000000-0005-0000-0000-000009000000}"/>
    <cellStyle name="$q*" xfId="59" xr:uid="{00000000-0005-0000-0000-00000A000000}"/>
    <cellStyle name="$q_AVP" xfId="60" xr:uid="{00000000-0005-0000-0000-00000B000000}"/>
    <cellStyle name="$qA" xfId="61" xr:uid="{00000000-0005-0000-0000-00000C000000}"/>
    <cellStyle name="$qRange" xfId="62" xr:uid="{00000000-0005-0000-0000-00000D000000}"/>
    <cellStyle name="%" xfId="63" xr:uid="{00000000-0005-0000-0000-00000E000000}"/>
    <cellStyle name="% 0" xfId="64" xr:uid="{00000000-0005-0000-0000-00000F000000}"/>
    <cellStyle name="% 0.00" xfId="65" xr:uid="{00000000-0005-0000-0000-000010000000}"/>
    <cellStyle name="% 0_Cost Summary for Rod_05052009rev1" xfId="66" xr:uid="{00000000-0005-0000-0000-000011000000}"/>
    <cellStyle name="******************************************" xfId="67" xr:uid="{00000000-0005-0000-0000-000012000000}"/>
    <cellStyle name=";;;" xfId="68" xr:uid="{00000000-0005-0000-0000-000013000000}"/>
    <cellStyle name="?? [0]_??" xfId="69" xr:uid="{00000000-0005-0000-0000-000014000000}"/>
    <cellStyle name="?_x001d_?'&amp;Oy—&amp;Hy_x000b__x0008_?_x0005_v_x0006__x000f__x0001__x0001_" xfId="70" xr:uid="{00000000-0005-0000-0000-000015000000}"/>
    <cellStyle name="???? [0.00]_Book1" xfId="71" xr:uid="{00000000-0005-0000-0000-000016000000}"/>
    <cellStyle name="????[0]_Book1" xfId="72" xr:uid="{00000000-0005-0000-0000-000017000000}"/>
    <cellStyle name="????_Book1" xfId="73" xr:uid="{00000000-0005-0000-0000-000018000000}"/>
    <cellStyle name="???[0]_DN40071-METL " xfId="74" xr:uid="{00000000-0005-0000-0000-000019000000}"/>
    <cellStyle name="???_DN40071-METL " xfId="75" xr:uid="{00000000-0005-0000-0000-00001A000000}"/>
    <cellStyle name="??[0]_Book1" xfId="76" xr:uid="{00000000-0005-0000-0000-00001B000000}"/>
    <cellStyle name="??_?.????" xfId="77" xr:uid="{00000000-0005-0000-0000-00001C000000}"/>
    <cellStyle name="?`_x0001_LÚõ" xfId="78" xr:uid="{00000000-0005-0000-0000-00001D000000}"/>
    <cellStyle name="?`_x0001_LÚõ 2" xfId="79" xr:uid="{00000000-0005-0000-0000-00001E000000}"/>
    <cellStyle name="?Q\?1@" xfId="80" xr:uid="{00000000-0005-0000-0000-00001F000000}"/>
    <cellStyle name="_ heading$" xfId="81" xr:uid="{00000000-0005-0000-0000-000020000000}"/>
    <cellStyle name="_ heading%" xfId="82" xr:uid="{00000000-0005-0000-0000-000021000000}"/>
    <cellStyle name="_ heading£" xfId="83" xr:uid="{00000000-0005-0000-0000-000022000000}"/>
    <cellStyle name="_ heading¥" xfId="84" xr:uid="{00000000-0005-0000-0000-000023000000}"/>
    <cellStyle name="_ heading€" xfId="85" xr:uid="{00000000-0005-0000-0000-000024000000}"/>
    <cellStyle name="_ headingx" xfId="86" xr:uid="{00000000-0005-0000-0000-000025000000}"/>
    <cellStyle name="_!!!!!! Total_HQ_2005_ver2" xfId="87" xr:uid="{00000000-0005-0000-0000-000026000000}"/>
    <cellStyle name="_%(SignOnly)" xfId="88" xr:uid="{00000000-0005-0000-0000-000027000000}"/>
    <cellStyle name="_%(SignOnly) 2" xfId="89" xr:uid="{00000000-0005-0000-0000-000028000000}"/>
    <cellStyle name="_%(SignOnly) 3" xfId="90" xr:uid="{00000000-0005-0000-0000-000029000000}"/>
    <cellStyle name="_%(SignSpaceOnly)" xfId="91" xr:uid="{00000000-0005-0000-0000-00002A000000}"/>
    <cellStyle name="_%(SignSpaceOnly) 2" xfId="92" xr:uid="{00000000-0005-0000-0000-00002B000000}"/>
    <cellStyle name="_%(SignSpaceOnly) 3" xfId="93" xr:uid="{00000000-0005-0000-0000-00002C000000}"/>
    <cellStyle name="____Исполнение Бюджета НВ филиала май к отправке" xfId="94" xr:uid="{00000000-0005-0000-0000-00002D000000}"/>
    <cellStyle name="____Отчёт НВ филиала апрель2003" xfId="95" xr:uid="{00000000-0005-0000-0000-00002E000000}"/>
    <cellStyle name="____Отчёт НВ филиала июнь 2003" xfId="96" xr:uid="{00000000-0005-0000-0000-00002F000000}"/>
    <cellStyle name="_~1310411" xfId="97" xr:uid="{00000000-0005-0000-0000-000030000000}"/>
    <cellStyle name="_~1737010" xfId="98" xr:uid="{00000000-0005-0000-0000-000031000000}"/>
    <cellStyle name="_~2119947" xfId="99" xr:uid="{00000000-0005-0000-0000-000032000000}"/>
    <cellStyle name="_~2170998" xfId="100" xr:uid="{00000000-0005-0000-0000-000033000000}"/>
    <cellStyle name="_~2170998_~5055318" xfId="101" xr:uid="{00000000-0005-0000-0000-000034000000}"/>
    <cellStyle name="_~2170998_~5055318_debt reconciliation_10 11" xfId="102" xr:uid="{00000000-0005-0000-0000-000035000000}"/>
    <cellStyle name="_~2170998_~5055318_EMTN accruals" xfId="103" xr:uid="{00000000-0005-0000-0000-000036000000}"/>
    <cellStyle name="_~2170998_~5055318_report_LTD" xfId="104" xr:uid="{00000000-0005-0000-0000-000037000000}"/>
    <cellStyle name="_~2170998_~5055318_schedule" xfId="105" xr:uid="{00000000-0005-0000-0000-000038000000}"/>
    <cellStyle name="_~2279557" xfId="106" xr:uid="{00000000-0005-0000-0000-000039000000}"/>
    <cellStyle name="_~3791010" xfId="107" xr:uid="{00000000-0005-0000-0000-00003A000000}"/>
    <cellStyle name="_~3791010_040822 Profit_Tax_(portal)" xfId="108" xr:uid="{00000000-0005-0000-0000-00003B000000}"/>
    <cellStyle name="_~3791010_040822 Profit_Tax_(portal)_debt reconciliation_10 11" xfId="109" xr:uid="{00000000-0005-0000-0000-00003C000000}"/>
    <cellStyle name="_~3791010_040822 Profit_Tax_(portal)_EMTN accruals" xfId="110" xr:uid="{00000000-0005-0000-0000-00003D000000}"/>
    <cellStyle name="_~3791010_040822 Profit_Tax_(portal)_report_LTD" xfId="111" xr:uid="{00000000-0005-0000-0000-00003E000000}"/>
    <cellStyle name="_~3791010_040822 Profit_Tax_(portal)_schedule" xfId="112" xr:uid="{00000000-0005-0000-0000-00003F000000}"/>
    <cellStyle name="_~3791010_040928 Profit_Tax_3Ax1Ax4" xfId="113" xr:uid="{00000000-0005-0000-0000-000040000000}"/>
    <cellStyle name="_~3791010_040928 Profit_Tax_3Ax1Ax4_debt reconciliation_10 11" xfId="114" xr:uid="{00000000-0005-0000-0000-000041000000}"/>
    <cellStyle name="_~3791010_040928 Profit_Tax_3Ax1Ax4_EMTN accruals" xfId="115" xr:uid="{00000000-0005-0000-0000-000042000000}"/>
    <cellStyle name="_~3791010_040928 Profit_Tax_3Ax1Ax4_report_LTD" xfId="116" xr:uid="{00000000-0005-0000-0000-000043000000}"/>
    <cellStyle name="_~3791010_040928 Profit_Tax_3Ax1Ax4_schedule" xfId="117" xr:uid="{00000000-0005-0000-0000-000044000000}"/>
    <cellStyle name="_~3791010_Tax Input 5yr plan" xfId="118" xr:uid="{00000000-0005-0000-0000-000045000000}"/>
    <cellStyle name="_~3791010_Книга2" xfId="119" xr:uid="{00000000-0005-0000-0000-000046000000}"/>
    <cellStyle name="_~3791010_Налог_на_прибыль" xfId="120" xr:uid="{00000000-0005-0000-0000-000047000000}"/>
    <cellStyle name="_~3791010_Налог_на_прибыль_debt reconciliation_10 11" xfId="121" xr:uid="{00000000-0005-0000-0000-000048000000}"/>
    <cellStyle name="_~3791010_Налог_на_прибыль_EMTN accruals" xfId="122" xr:uid="{00000000-0005-0000-0000-000049000000}"/>
    <cellStyle name="_~3791010_Налог_на_прибыль_report_LTD" xfId="123" xr:uid="{00000000-0005-0000-0000-00004A000000}"/>
    <cellStyle name="_~3791010_Налог_на_прибыль_schedule" xfId="124" xr:uid="{00000000-0005-0000-0000-00004B000000}"/>
    <cellStyle name="_~4601453" xfId="125" xr:uid="{00000000-0005-0000-0000-00004C000000}"/>
    <cellStyle name="_~4807408" xfId="126" xr:uid="{00000000-0005-0000-0000-00004D000000}"/>
    <cellStyle name="_~5055318" xfId="127" xr:uid="{00000000-0005-0000-0000-00004E000000}"/>
    <cellStyle name="_~5858712" xfId="128" xr:uid="{00000000-0005-0000-0000-00004F000000}"/>
    <cellStyle name="_~5868472" xfId="129" xr:uid="{00000000-0005-0000-0000-000050000000}"/>
    <cellStyle name="_~6069322" xfId="130" xr:uid="{00000000-0005-0000-0000-000051000000}"/>
    <cellStyle name="_~6460973" xfId="131" xr:uid="{00000000-0005-0000-0000-000052000000}"/>
    <cellStyle name="_~7731488" xfId="132" xr:uid="{00000000-0005-0000-0000-000053000000}"/>
    <cellStyle name="_~7874056" xfId="133" xr:uid="{00000000-0005-0000-0000-000054000000}"/>
    <cellStyle name="_~7887783" xfId="134" xr:uid="{00000000-0005-0000-0000-000055000000}"/>
    <cellStyle name="_~8084077" xfId="135" xr:uid="{00000000-0005-0000-0000-000056000000}"/>
    <cellStyle name="_~9716315" xfId="136" xr:uid="{00000000-0005-0000-0000-000057000000}"/>
    <cellStyle name="_~temp~705547512a" xfId="137" xr:uid="{00000000-0005-0000-0000-000058000000}"/>
    <cellStyle name="_~temp~705547512a_1" xfId="138" xr:uid="{00000000-0005-0000-0000-000059000000}"/>
    <cellStyle name="_0.0[1space]" xfId="139" xr:uid="{00000000-0005-0000-0000-00005A000000}"/>
    <cellStyle name="_0.0[2space]" xfId="140" xr:uid="{00000000-0005-0000-0000-00005B000000}"/>
    <cellStyle name="_0.0[3space]" xfId="141" xr:uid="{00000000-0005-0000-0000-00005C000000}"/>
    <cellStyle name="_0.0[4space]" xfId="142" xr:uid="{00000000-0005-0000-0000-00005D000000}"/>
    <cellStyle name="_0.00[1space]" xfId="143" xr:uid="{00000000-0005-0000-0000-00005E000000}"/>
    <cellStyle name="_0.00[2space]" xfId="144" xr:uid="{00000000-0005-0000-0000-00005F000000}"/>
    <cellStyle name="_0.00[3space]" xfId="145" xr:uid="{00000000-0005-0000-0000-000060000000}"/>
    <cellStyle name="_0.00[4space]" xfId="146" xr:uid="{00000000-0005-0000-0000-000061000000}"/>
    <cellStyle name="_0[1space]" xfId="147" xr:uid="{00000000-0005-0000-0000-000062000000}"/>
    <cellStyle name="_0[2space]" xfId="148" xr:uid="{00000000-0005-0000-0000-000063000000}"/>
    <cellStyle name="_0[3space]" xfId="149" xr:uid="{00000000-0005-0000-0000-000064000000}"/>
    <cellStyle name="_0[4space]" xfId="150" xr:uid="{00000000-0005-0000-0000-000065000000}"/>
    <cellStyle name="_010104 (GAAP)" xfId="151" xr:uid="{00000000-0005-0000-0000-000066000000}"/>
    <cellStyle name="_040822 Profit_Tax_(portal)" xfId="152" xr:uid="{00000000-0005-0000-0000-000067000000}"/>
    <cellStyle name="_040928 Profit_Tax_3Ax1Ax4" xfId="153" xr:uid="{00000000-0005-0000-0000-000068000000}"/>
    <cellStyle name="_10 Sept BoD Slides" xfId="154" xr:uid="{00000000-0005-0000-0000-000069000000}"/>
    <cellStyle name="_1Y business plan 3 version 301104 (2)" xfId="155" xr:uid="{00000000-0005-0000-0000-00006A000000}"/>
    <cellStyle name="_2 slides for David 2" xfId="156" xr:uid="{00000000-0005-0000-0000-00006B000000}"/>
    <cellStyle name="_2002 actual" xfId="157" xr:uid="{00000000-0005-0000-0000-00006C000000}"/>
    <cellStyle name="_2002 actual_~5055318" xfId="158" xr:uid="{00000000-0005-0000-0000-00006D000000}"/>
    <cellStyle name="_2003_2004_Technology_Budget_Addit_items" xfId="159" xr:uid="{00000000-0005-0000-0000-00006E000000}"/>
    <cellStyle name="_2003_2004_Technology_Budget_Addit_items_~5055318" xfId="160" xr:uid="{00000000-0005-0000-0000-00006F000000}"/>
    <cellStyle name="_2003_2004_Technology_Budget_Addit_items_~5055318_debt reconciliation_10 11" xfId="161" xr:uid="{00000000-0005-0000-0000-000070000000}"/>
    <cellStyle name="_2003_2004_Technology_Budget_Addit_items_~5055318_EMTN accruals" xfId="162" xr:uid="{00000000-0005-0000-0000-000071000000}"/>
    <cellStyle name="_2003_2004_Technology_Budget_Addit_items_~5055318_report_LTD" xfId="163" xr:uid="{00000000-0005-0000-0000-000072000000}"/>
    <cellStyle name="_2003_2004_Technology_Budget_Addit_items_~5055318_schedule" xfId="164" xr:uid="{00000000-0005-0000-0000-000073000000}"/>
    <cellStyle name="_2004 Downtime Events 11-14-03" xfId="165" xr:uid="{00000000-0005-0000-0000-000074000000}"/>
    <cellStyle name="_2004 Downtime Events 11-14-03 2" xfId="166" xr:uid="{00000000-0005-0000-0000-000075000000}"/>
    <cellStyle name="_2004 Downtime Events 11-14-03 2 2" xfId="167" xr:uid="{00000000-0005-0000-0000-000076000000}"/>
    <cellStyle name="_2004 Downtime Events 11-14-03 3" xfId="168" xr:uid="{00000000-0005-0000-0000-000077000000}"/>
    <cellStyle name="_2005 Downstream 5YP Template Linked Sep GFO 26.10.2004" xfId="169" xr:uid="{00000000-0005-0000-0000-000078000000}"/>
    <cellStyle name="_2005_план_CAPEX_Svod_BU" xfId="170" xr:uid="{00000000-0005-0000-0000-000079000000}"/>
    <cellStyle name="_2005_план_FINPLAN_Svod_BU" xfId="171" xr:uid="{00000000-0005-0000-0000-00007A000000}"/>
    <cellStyle name="_2005_план_GAS_Svod_BU" xfId="172" xr:uid="{00000000-0005-0000-0000-00007B000000}"/>
    <cellStyle name="_2005_план_SMETA_Svod_BU" xfId="173" xr:uid="{00000000-0005-0000-0000-00007C000000}"/>
    <cellStyle name="_2005_план_Svod_(5,3)_итоговый_корр_11.11.04" xfId="174" xr:uid="{00000000-0005-0000-0000-00007D000000}"/>
    <cellStyle name="_2005_план_Svod_(5,3)_итоговый_корр_12.11" xfId="175" xr:uid="{00000000-0005-0000-0000-00007E000000}"/>
    <cellStyle name="_2005_план_TEP1_Svod_BU" xfId="176" xr:uid="{00000000-0005-0000-0000-00007F000000}"/>
    <cellStyle name="_2005_план_TEP2_Svod_BU" xfId="177" xr:uid="{00000000-0005-0000-0000-000080000000}"/>
    <cellStyle name="_2005Budget_differences" xfId="178" xr:uid="{00000000-0005-0000-0000-000081000000}"/>
    <cellStyle name="_2005Budget_differences_vs._ver3" xfId="179" xr:uid="{00000000-0005-0000-0000-000082000000}"/>
    <cellStyle name="_2010 PC - VP Operations V8" xfId="180" xr:uid="{00000000-0005-0000-0000-000083000000}"/>
    <cellStyle name="_2511 OpSCom Tables Dual vC" xfId="181" xr:uid="{00000000-0005-0000-0000-000084000000}"/>
    <cellStyle name="_2511 OpSCom Tables ENG Dual vC" xfId="182" xr:uid="{00000000-0005-0000-0000-000085000000}"/>
    <cellStyle name="_5 year plan 011004" xfId="183" xr:uid="{00000000-0005-0000-0000-000086000000}"/>
    <cellStyle name="_5 year plan 090904 NRH new capex Steve data St comments" xfId="184" xr:uid="{00000000-0005-0000-0000-000087000000}"/>
    <cellStyle name="_5 year plan 2003-2009" xfId="185" xr:uid="{00000000-0005-0000-0000-000088000000}"/>
    <cellStyle name="_5 year plan 2003-2009_~0266644" xfId="186" xr:uid="{00000000-0005-0000-0000-000089000000}"/>
    <cellStyle name="_5 year plan 2003-2009_~1870955" xfId="187" xr:uid="{00000000-0005-0000-0000-00008A000000}"/>
    <cellStyle name="_5 year plan 2003-2009_~4298733" xfId="188" xr:uid="{00000000-0005-0000-0000-00008B000000}"/>
    <cellStyle name="_5 year plan 2003-2009_~4601453" xfId="189" xr:uid="{00000000-0005-0000-0000-00008C000000}"/>
    <cellStyle name="_5 year plan 2003-2009_~4807408" xfId="190" xr:uid="{00000000-0005-0000-0000-00008D000000}"/>
    <cellStyle name="_5 year plan 2003-2009_~5868472" xfId="191" xr:uid="{00000000-0005-0000-0000-00008E000000}"/>
    <cellStyle name="_5 year plan 2003-2009_~6069322" xfId="192" xr:uid="{00000000-0005-0000-0000-00008F000000}"/>
    <cellStyle name="_5 year plan 2003-2009_~6685267" xfId="193" xr:uid="{00000000-0005-0000-0000-000090000000}"/>
    <cellStyle name="_5 year plan 2003-2009_~6755673" xfId="194" xr:uid="{00000000-0005-0000-0000-000091000000}"/>
    <cellStyle name="_5 year plan 2003-2009_~7731488" xfId="195" xr:uid="{00000000-0005-0000-0000-000092000000}"/>
    <cellStyle name="_5 year plan 2003-2009_~9407028" xfId="196" xr:uid="{00000000-0005-0000-0000-000093000000}"/>
    <cellStyle name="_5 year plan 2003-2009_~9578249" xfId="197" xr:uid="{00000000-0005-0000-0000-000094000000}"/>
    <cellStyle name="_5 year plan 2003-2009_~9716315" xfId="198" xr:uid="{00000000-0005-0000-0000-000095000000}"/>
    <cellStyle name="_5 year plan 2003-2009_040822 Profit_Tax_(portal)" xfId="199" xr:uid="{00000000-0005-0000-0000-000096000000}"/>
    <cellStyle name="_5 year plan 2003-2009_040928 Profit_Tax_3Ax1Ax4" xfId="200" xr:uid="{00000000-0005-0000-0000-000097000000}"/>
    <cellStyle name="_5 year plan 2003-2009_1Y business plan 3 version 301104 (2)" xfId="201" xr:uid="{00000000-0005-0000-0000-000098000000}"/>
    <cellStyle name="_5 year plan 2003-2009_5 year plan 011004" xfId="202" xr:uid="{00000000-0005-0000-0000-000099000000}"/>
    <cellStyle name="_5 year plan 2003-2009_5 year plan CorpFin" xfId="203" xr:uid="{00000000-0005-0000-0000-00009A000000}"/>
    <cellStyle name="_5 year plan 2003-2009_5 year plan CorpFin_second model" xfId="204" xr:uid="{00000000-0005-0000-0000-00009B000000}"/>
    <cellStyle name="_5 year plan 2003-2009_5yearConsolidationModel_3c34.8c as of 09.11.04" xfId="205" xr:uid="{00000000-0005-0000-0000-00009C000000}"/>
    <cellStyle name="_5 year plan 2003-2009_BP 2005  231104" xfId="206" xr:uid="{00000000-0005-0000-0000-00009D000000}"/>
    <cellStyle name="_5 year plan 2003-2009_Case 1 (10C)" xfId="207" xr:uid="{00000000-0005-0000-0000-00009E000000}"/>
    <cellStyle name="_5 year plan 2003-2009_Case 3 (8N)" xfId="208" xr:uid="{00000000-0005-0000-0000-00009F000000}"/>
    <cellStyle name="_5 year plan 2003-2009_Case 4 (8C-2)" xfId="209" xr:uid="{00000000-0005-0000-0000-0000A0000000}"/>
    <cellStyle name="_5 year plan 2003-2009_Case 5 (10C-2)" xfId="210" xr:uid="{00000000-0005-0000-0000-0000A1000000}"/>
    <cellStyle name="_5 year plan 2003-2009_Case with lower inflation" xfId="211" xr:uid="{00000000-0005-0000-0000-0000A2000000}"/>
    <cellStyle name="_5 year plan 2003-2009_Corporate Finance" xfId="212" xr:uid="{00000000-0005-0000-0000-0000A3000000}"/>
    <cellStyle name="_5 year plan 2003-2009_FebGFO CashFinance 03 03 2005e" xfId="213" xr:uid="{00000000-0005-0000-0000-0000A4000000}"/>
    <cellStyle name="_5 year plan 2003-2009_feedback for CorpFin 5YP" xfId="214" xr:uid="{00000000-0005-0000-0000-0000A5000000}"/>
    <cellStyle name="_5 year plan 2003-2009_Finance 5YP 10.11.2004" xfId="215" xr:uid="{00000000-0005-0000-0000-0000A6000000}"/>
    <cellStyle name="_5 year plan 2003-2009_Finance GFO Zero_3" xfId="216" xr:uid="{00000000-0005-0000-0000-0000A7000000}"/>
    <cellStyle name="_5 year plan 2003-2009_Finance GFO Zero_5" xfId="217" xr:uid="{00000000-0005-0000-0000-0000A8000000}"/>
    <cellStyle name="_5 year plan 2003-2009_Finance_Mach15" xfId="218" xr:uid="{00000000-0005-0000-0000-0000A9000000}"/>
    <cellStyle name="_5 year plan 2003-2009_GFO calc plus finplan 110305" xfId="219" xr:uid="{00000000-0005-0000-0000-0000AA000000}"/>
    <cellStyle name="_5 year plan 2003-2009_October BP" xfId="220" xr:uid="{00000000-0005-0000-0000-0000AB000000}"/>
    <cellStyle name="_5 year plan 2003-2009_October BP на 5 лет adjustments" xfId="221" xr:uid="{00000000-0005-0000-0000-0000AC000000}"/>
    <cellStyle name="_5 year plan 2003-2009_Sensitivities for RA" xfId="222" xr:uid="{00000000-0005-0000-0000-0000AD000000}"/>
    <cellStyle name="_5 year plan 2003-2009_Template for Finance" xfId="223" xr:uid="{00000000-0005-0000-0000-0000AE000000}"/>
    <cellStyle name="_5 year plan 2003-2009_Книга2" xfId="224" xr:uid="{00000000-0005-0000-0000-0000AF000000}"/>
    <cellStyle name="_5 year plan 2003-2009_Налог_на_прибыль" xfId="225" xr:uid="{00000000-0005-0000-0000-0000B0000000}"/>
    <cellStyle name="_5 year plan 2003-2009_расчет % и долга для 1YBP =GFO NEW 2005" xfId="226" xr:uid="{00000000-0005-0000-0000-0000B1000000}"/>
    <cellStyle name="_5 year Plan Assumptions 200904 vC" xfId="227" xr:uid="{00000000-0005-0000-0000-0000B2000000}"/>
    <cellStyle name="_5 year plan CorpFin" xfId="228" xr:uid="{00000000-0005-0000-0000-0000B3000000}"/>
    <cellStyle name="_5 year plan CorpFin_second model" xfId="229" xr:uid="{00000000-0005-0000-0000-0000B4000000}"/>
    <cellStyle name="_5 yr plan - Uvat (ex.Subv)_11_08_04_last" xfId="230" xr:uid="{00000000-0005-0000-0000-0000B5000000}"/>
    <cellStyle name="_5 yr plan - Uvat (Technology)_11_08_04_full" xfId="231" xr:uid="{00000000-0005-0000-0000-0000B6000000}"/>
    <cellStyle name="_5year plan_inflation_Exploration" xfId="232" xr:uid="{00000000-0005-0000-0000-0000B7000000}"/>
    <cellStyle name="_5yearConsolidationModel" xfId="233" xr:uid="{00000000-0005-0000-0000-0000B8000000}"/>
    <cellStyle name="_5yearConsolidationModel_3c34.8c as of 09.11.04" xfId="234" xr:uid="{00000000-0005-0000-0000-0000B9000000}"/>
    <cellStyle name="_5-yearTOTAL_by_Blocks" xfId="235" xr:uid="{00000000-0005-0000-0000-0000BA000000}"/>
    <cellStyle name="_5-yearTOTAL_by_Blocks_(06-09-2004 adjusted)-(21-09-2004 adjusted)-6" xfId="236" xr:uid="{00000000-0005-0000-0000-0000BB000000}"/>
    <cellStyle name="_5-yearTOTAL_by_Blocks_01_09" xfId="237" xr:uid="{00000000-0005-0000-0000-0000BC000000}"/>
    <cellStyle name="_5-yearTOTAL_by_Blocks_040822 Profit_Tax_(portal)" xfId="238" xr:uid="{00000000-0005-0000-0000-0000BD000000}"/>
    <cellStyle name="_5-yearTOTAL_by_Blocks_040822 Profit_Tax_(portal)_debt reconciliation_10 11" xfId="239" xr:uid="{00000000-0005-0000-0000-0000BE000000}"/>
    <cellStyle name="_5-yearTOTAL_by_Blocks_040822 Profit_Tax_(portal)_EMTN accruals" xfId="240" xr:uid="{00000000-0005-0000-0000-0000BF000000}"/>
    <cellStyle name="_5-yearTOTAL_by_Blocks_040822 Profit_Tax_(portal)_report_LTD" xfId="241" xr:uid="{00000000-0005-0000-0000-0000C0000000}"/>
    <cellStyle name="_5-yearTOTAL_by_Blocks_040822 Profit_Tax_(portal)_schedule" xfId="242" xr:uid="{00000000-0005-0000-0000-0000C1000000}"/>
    <cellStyle name="_5-yearTOTAL_by_Blocks_040928 Profit_Tax_3Ax1Ax4" xfId="243" xr:uid="{00000000-0005-0000-0000-0000C2000000}"/>
    <cellStyle name="_5-yearTOTAL_by_Blocks_040928 Profit_Tax_3Ax1Ax4_debt reconciliation_10 11" xfId="244" xr:uid="{00000000-0005-0000-0000-0000C3000000}"/>
    <cellStyle name="_5-yearTOTAL_by_Blocks_040928 Profit_Tax_3Ax1Ax4_EMTN accruals" xfId="245" xr:uid="{00000000-0005-0000-0000-0000C4000000}"/>
    <cellStyle name="_5-yearTOTAL_by_Blocks_040928 Profit_Tax_3Ax1Ax4_report_LTD" xfId="246" xr:uid="{00000000-0005-0000-0000-0000C5000000}"/>
    <cellStyle name="_5-yearTOTAL_by_Blocks_040928 Profit_Tax_3Ax1Ax4_schedule" xfId="247" xr:uid="{00000000-0005-0000-0000-0000C6000000}"/>
    <cellStyle name="_5-yearTOTAL_by_Blocks_20_08" xfId="248" xr:uid="{00000000-0005-0000-0000-0000C7000000}"/>
    <cellStyle name="_5-yearTOTAL_by_Blocks_inflation01_09" xfId="249" xr:uid="{00000000-0005-0000-0000-0000C8000000}"/>
    <cellStyle name="_5-yearTOTAL_by_Blocks_inflation20_08" xfId="250" xr:uid="{00000000-0005-0000-0000-0000C9000000}"/>
    <cellStyle name="_5-yearTOTAL_by_Blocks_Книга2" xfId="251" xr:uid="{00000000-0005-0000-0000-0000CA000000}"/>
    <cellStyle name="_5-yearTOTAL_by_Blocks_Налог_на_прибыль" xfId="252" xr:uid="{00000000-0005-0000-0000-0000CB000000}"/>
    <cellStyle name="_5-yearTOTAL_by_Blocks_Налог_на_прибыль_debt reconciliation_10 11" xfId="253" xr:uid="{00000000-0005-0000-0000-0000CC000000}"/>
    <cellStyle name="_5-yearTOTAL_by_Blocks_Налог_на_прибыль_EMTN accruals" xfId="254" xr:uid="{00000000-0005-0000-0000-0000CD000000}"/>
    <cellStyle name="_5-yearTOTAL_by_Blocks_Налог_на_прибыль_report_LTD" xfId="255" xr:uid="{00000000-0005-0000-0000-0000CE000000}"/>
    <cellStyle name="_5-yearTOTAL_by_Blocks_Налог_на_прибыль_schedule" xfId="256" xr:uid="{00000000-0005-0000-0000-0000CF000000}"/>
    <cellStyle name="_5yr Plan templates Exploration" xfId="257" xr:uid="{00000000-0005-0000-0000-0000D0000000}"/>
    <cellStyle name="_5yr_plan_Exploration_templates" xfId="258" xr:uid="{00000000-0005-0000-0000-0000D1000000}"/>
    <cellStyle name="_A" xfId="259" xr:uid="{00000000-0005-0000-0000-0000D2000000}"/>
    <cellStyle name="_A (yc)" xfId="260" xr:uid="{00000000-0005-0000-0000-0000D3000000}"/>
    <cellStyle name="_A.Save" xfId="261" xr:uid="{00000000-0005-0000-0000-0000D4000000}"/>
    <cellStyle name="_A10. SGA Sept KPI Scorecard for Ops Div" xfId="262" xr:uid="{00000000-0005-0000-0000-0000D5000000}"/>
    <cellStyle name="_A11. WF November Scorecard" xfId="263" xr:uid="{00000000-0005-0000-0000-0000D6000000}"/>
    <cellStyle name="_A12. Eng&amp;Integrity" xfId="264" xr:uid="{00000000-0005-0000-0000-0000D7000000}"/>
    <cellStyle name="_A13. Maintenance" xfId="265" xr:uid="{00000000-0005-0000-0000-0000D8000000}"/>
    <cellStyle name="_A14. PE" xfId="266" xr:uid="{00000000-0005-0000-0000-0000D9000000}"/>
    <cellStyle name="_A15. Planning" xfId="267" xr:uid="{00000000-0005-0000-0000-0000DA000000}"/>
    <cellStyle name="_A16. Projects" xfId="268" xr:uid="{00000000-0005-0000-0000-0000DB000000}"/>
    <cellStyle name="_A17. Logistics" xfId="269" xr:uid="{00000000-0005-0000-0000-0000DC000000}"/>
    <cellStyle name="_A18. Subsea" xfId="270" xr:uid="{00000000-0005-0000-0000-0000DD000000}"/>
    <cellStyle name="_A19. Contracts Mgt" xfId="271" xr:uid="{00000000-0005-0000-0000-0000DE000000}"/>
    <cellStyle name="_A2. Divisional_Scorecard" xfId="272" xr:uid="{00000000-0005-0000-0000-0000DF000000}"/>
    <cellStyle name="_A4-5 Divisional Action Log" xfId="273" xr:uid="{00000000-0005-0000-0000-0000E0000000}"/>
    <cellStyle name="_A6. HoOpsBKRH" xfId="274" xr:uid="{00000000-0005-0000-0000-0000E1000000}"/>
    <cellStyle name="_A7. HoOpsCM" xfId="275" xr:uid="{00000000-0005-0000-0000-0000E2000000}"/>
    <cellStyle name="_A8. HoOpsDW" xfId="276" xr:uid="{00000000-0005-0000-0000-0000E3000000}"/>
    <cellStyle name="_A9. HoOpsEEA" xfId="277" xr:uid="{00000000-0005-0000-0000-0000E4000000}"/>
    <cellStyle name="_AllocInt" xfId="278" xr:uid="{00000000-0005-0000-0000-0000E5000000}"/>
    <cellStyle name="_AllocInt_Copy of CNL Consolidated model_v.FPL_v37" xfId="279" xr:uid="{00000000-0005-0000-0000-0000E6000000}"/>
    <cellStyle name="_AllocInt_Copy of CNL Consolidated model_v.FPL_v37_Exelon Power Fuel Forecast - Project P 6-11-2004 ver21" xfId="280" xr:uid="{00000000-0005-0000-0000-0000E7000000}"/>
    <cellStyle name="_AllocInt_Copy of CNL Consolidated model_v.FPL_v37_ML Outputs" xfId="281" xr:uid="{00000000-0005-0000-0000-0000E8000000}"/>
    <cellStyle name="_AllocInt_Copy of CNL Consolidated model_v.FPL_v37_Project Forest Pro Forma Model v58" xfId="282" xr:uid="{00000000-0005-0000-0000-0000E9000000}"/>
    <cellStyle name="_AllocInt_D_Consolidated2" xfId="283" xr:uid="{00000000-0005-0000-0000-0000EA000000}"/>
    <cellStyle name="_AllocInt_Model v9.8" xfId="284" xr:uid="{00000000-0005-0000-0000-0000EB000000}"/>
    <cellStyle name="_AllocInt_Mutilples Template2" xfId="285" xr:uid="{00000000-0005-0000-0000-0000EC000000}"/>
    <cellStyle name="_AllocInt_Mutilples Template2_Exelon Power Fuel Forecast - Project P 6-11-2004 ver21" xfId="286" xr:uid="{00000000-0005-0000-0000-0000ED000000}"/>
    <cellStyle name="_AllocInt_Mutilples Template2_ML Outputs" xfId="287" xr:uid="{00000000-0005-0000-0000-0000EE000000}"/>
    <cellStyle name="_AllocInt_Mutilples Template2_Project Forest Pro Forma Model v58" xfId="288" xr:uid="{00000000-0005-0000-0000-0000EF000000}"/>
    <cellStyle name="_AllocInt_pom consolidated v3" xfId="289" xr:uid="{00000000-0005-0000-0000-0000F0000000}"/>
    <cellStyle name="_AllocInt_pom consolidated v3_Exelon Power Fuel Forecast - Project P 6-11-2004 ver21" xfId="290" xr:uid="{00000000-0005-0000-0000-0000F1000000}"/>
    <cellStyle name="_AllocInt_pom consolidated v3_ML Outputs" xfId="291" xr:uid="{00000000-0005-0000-0000-0000F2000000}"/>
    <cellStyle name="_AllocInt_pom consolidated v3_Project Forest Pro Forma Model v58" xfId="292" xr:uid="{00000000-0005-0000-0000-0000F3000000}"/>
    <cellStyle name="_Archer TD 1000MW 05-15-00" xfId="293" xr:uid="{00000000-0005-0000-0000-0000F4000000}"/>
    <cellStyle name="_Archer TD 1000MW 05-15-00_Copy of CNL Consolidated model_v.FPL_v37" xfId="294" xr:uid="{00000000-0005-0000-0000-0000F5000000}"/>
    <cellStyle name="_Archer TD 1000MW 05-15-00_Copy of CNL Consolidated model_v.FPL_v37_Exelon Power Fuel Forecast - Project P 6-11-2004 ver21" xfId="295" xr:uid="{00000000-0005-0000-0000-0000F6000000}"/>
    <cellStyle name="_Archer TD 1000MW 05-15-00_Copy of CNL Consolidated model_v.FPL_v37_ML Outputs" xfId="296" xr:uid="{00000000-0005-0000-0000-0000F7000000}"/>
    <cellStyle name="_Archer TD 1000MW 05-15-00_Copy of CNL Consolidated model_v.FPL_v37_Project Forest Pro Forma Model v58" xfId="297" xr:uid="{00000000-0005-0000-0000-0000F8000000}"/>
    <cellStyle name="_Archer TD 1000MW 05-15-00_D_Consolidated2" xfId="298" xr:uid="{00000000-0005-0000-0000-0000F9000000}"/>
    <cellStyle name="_Archer TD 1000MW 05-15-00_Model v9.8" xfId="299" xr:uid="{00000000-0005-0000-0000-0000FA000000}"/>
    <cellStyle name="_Archer TD 1000MW 05-15-00_Mutilples Template2" xfId="300" xr:uid="{00000000-0005-0000-0000-0000FB000000}"/>
    <cellStyle name="_Archer TD 1000MW 05-15-00_Mutilples Template2_Exelon Power Fuel Forecast - Project P 6-11-2004 ver21" xfId="301" xr:uid="{00000000-0005-0000-0000-0000FC000000}"/>
    <cellStyle name="_Archer TD 1000MW 05-15-00_Mutilples Template2_ML Outputs" xfId="302" xr:uid="{00000000-0005-0000-0000-0000FD000000}"/>
    <cellStyle name="_Archer TD 1000MW 05-15-00_Mutilples Template2_Project Forest Pro Forma Model v58" xfId="303" xr:uid="{00000000-0005-0000-0000-0000FE000000}"/>
    <cellStyle name="_Archer TD 1000MW 05-15-00_pom consolidated v3" xfId="304" xr:uid="{00000000-0005-0000-0000-0000FF000000}"/>
    <cellStyle name="_Archer TD 1000MW 05-15-00_pom consolidated v3_Exelon Power Fuel Forecast - Project P 6-11-2004 ver21" xfId="305" xr:uid="{00000000-0005-0000-0000-000000010000}"/>
    <cellStyle name="_Archer TD 1000MW 05-15-00_pom consolidated v3_ML Outputs" xfId="306" xr:uid="{00000000-0005-0000-0000-000001010000}"/>
    <cellStyle name="_Archer TD 1000MW 05-15-00_pom consolidated v3_Project Forest Pro Forma Model v58" xfId="307" xr:uid="{00000000-0005-0000-0000-000002010000}"/>
    <cellStyle name="_Baseline data Aug GFO" xfId="308" xr:uid="{00000000-0005-0000-0000-000003010000}"/>
    <cellStyle name="_Baseline data Aug GFO_~5055318" xfId="309" xr:uid="{00000000-0005-0000-0000-000004010000}"/>
    <cellStyle name="_Bayonne Breakage" xfId="310" xr:uid="{00000000-0005-0000-0000-000005010000}"/>
    <cellStyle name="_Bayonne Breakage_Copy of CNL Consolidated model_v.FPL_v37" xfId="311" xr:uid="{00000000-0005-0000-0000-000006010000}"/>
    <cellStyle name="_Bayonne Breakage_Copy of CNL Consolidated model_v.FPL_v37_Exelon Power Fuel Forecast - Project P 6-11-2004 ver21" xfId="312" xr:uid="{00000000-0005-0000-0000-000007010000}"/>
    <cellStyle name="_Bayonne Breakage_Copy of CNL Consolidated model_v.FPL_v37_ML Outputs" xfId="313" xr:uid="{00000000-0005-0000-0000-000008010000}"/>
    <cellStyle name="_Bayonne Breakage_Copy of CNL Consolidated model_v.FPL_v37_Project Forest Pro Forma Model v58" xfId="314" xr:uid="{00000000-0005-0000-0000-000009010000}"/>
    <cellStyle name="_Bayonne Breakage_D_Consolidated2" xfId="315" xr:uid="{00000000-0005-0000-0000-00000A010000}"/>
    <cellStyle name="_Bayonne Breakage_Model v9.8" xfId="316" xr:uid="{00000000-0005-0000-0000-00000B010000}"/>
    <cellStyle name="_Bayonne Breakage_Mutilples Template2" xfId="317" xr:uid="{00000000-0005-0000-0000-00000C010000}"/>
    <cellStyle name="_Bayonne Breakage_Mutilples Template2_Exelon Power Fuel Forecast - Project P 6-11-2004 ver21" xfId="318" xr:uid="{00000000-0005-0000-0000-00000D010000}"/>
    <cellStyle name="_Bayonne Breakage_Mutilples Template2_ML Outputs" xfId="319" xr:uid="{00000000-0005-0000-0000-00000E010000}"/>
    <cellStyle name="_Bayonne Breakage_Mutilples Template2_Project Forest Pro Forma Model v58" xfId="320" xr:uid="{00000000-0005-0000-0000-00000F010000}"/>
    <cellStyle name="_Bayonne Breakage_pom consolidated v3" xfId="321" xr:uid="{00000000-0005-0000-0000-000010010000}"/>
    <cellStyle name="_Bayonne Breakage_pom consolidated v3_Exelon Power Fuel Forecast - Project P 6-11-2004 ver21" xfId="322" xr:uid="{00000000-0005-0000-0000-000011010000}"/>
    <cellStyle name="_Bayonne Breakage_pom consolidated v3_ML Outputs" xfId="323" xr:uid="{00000000-0005-0000-0000-000012010000}"/>
    <cellStyle name="_Bayonne Breakage_pom consolidated v3_Project Forest Pro Forma Model v58" xfId="324" xr:uid="{00000000-0005-0000-0000-000013010000}"/>
    <cellStyle name="_Bayonne Restructure 2-9-01" xfId="325" xr:uid="{00000000-0005-0000-0000-000014010000}"/>
    <cellStyle name="_Bayonne Restructure 2-9-01_Copy of CNL Consolidated model_v.FPL_v37" xfId="326" xr:uid="{00000000-0005-0000-0000-000015010000}"/>
    <cellStyle name="_Bayonne Restructure 2-9-01_Copy of CNL Consolidated model_v.FPL_v37_Exelon Power Fuel Forecast - Project P 6-11-2004 ver21" xfId="327" xr:uid="{00000000-0005-0000-0000-000016010000}"/>
    <cellStyle name="_Bayonne Restructure 2-9-01_Copy of CNL Consolidated model_v.FPL_v37_ML Outputs" xfId="328" xr:uid="{00000000-0005-0000-0000-000017010000}"/>
    <cellStyle name="_Bayonne Restructure 2-9-01_Copy of CNL Consolidated model_v.FPL_v37_Project Forest Pro Forma Model v58" xfId="329" xr:uid="{00000000-0005-0000-0000-000018010000}"/>
    <cellStyle name="_Bayonne Restructure 2-9-01_D_Consolidated2" xfId="330" xr:uid="{00000000-0005-0000-0000-000019010000}"/>
    <cellStyle name="_Bayonne Restructure 2-9-01_Model v9.8" xfId="331" xr:uid="{00000000-0005-0000-0000-00001A010000}"/>
    <cellStyle name="_Bayonne Restructure 2-9-01_Mutilples Template2" xfId="332" xr:uid="{00000000-0005-0000-0000-00001B010000}"/>
    <cellStyle name="_Bayonne Restructure 2-9-01_Mutilples Template2_Exelon Power Fuel Forecast - Project P 6-11-2004 ver21" xfId="333" xr:uid="{00000000-0005-0000-0000-00001C010000}"/>
    <cellStyle name="_Bayonne Restructure 2-9-01_Mutilples Template2_ML Outputs" xfId="334" xr:uid="{00000000-0005-0000-0000-00001D010000}"/>
    <cellStyle name="_Bayonne Restructure 2-9-01_Mutilples Template2_Project Forest Pro Forma Model v58" xfId="335" xr:uid="{00000000-0005-0000-0000-00001E010000}"/>
    <cellStyle name="_Bayonne Restructure 2-9-01_pom consolidated v3" xfId="336" xr:uid="{00000000-0005-0000-0000-00001F010000}"/>
    <cellStyle name="_Bayonne Restructure 2-9-01_pom consolidated v3_Exelon Power Fuel Forecast - Project P 6-11-2004 ver21" xfId="337" xr:uid="{00000000-0005-0000-0000-000020010000}"/>
    <cellStyle name="_Bayonne Restructure 2-9-01_pom consolidated v3_ML Outputs" xfId="338" xr:uid="{00000000-0005-0000-0000-000021010000}"/>
    <cellStyle name="_Bayonne Restructure 2-9-01_pom consolidated v3_Project Forest Pro Forma Model v58" xfId="339" xr:uid="{00000000-0005-0000-0000-000022010000}"/>
    <cellStyle name="_Bayonne Restructuring 10-17" xfId="340" xr:uid="{00000000-0005-0000-0000-000023010000}"/>
    <cellStyle name="_Bayonne Restructuring 10-17_Copy of CNL Consolidated model_v.FPL_v37" xfId="341" xr:uid="{00000000-0005-0000-0000-000024010000}"/>
    <cellStyle name="_Bayonne Restructuring 10-17_Copy of CNL Consolidated model_v.FPL_v37_Exelon Power Fuel Forecast - Project P 6-11-2004 ver21" xfId="342" xr:uid="{00000000-0005-0000-0000-000025010000}"/>
    <cellStyle name="_Bayonne Restructuring 10-17_Copy of CNL Consolidated model_v.FPL_v37_ML Outputs" xfId="343" xr:uid="{00000000-0005-0000-0000-000026010000}"/>
    <cellStyle name="_Bayonne Restructuring 10-17_Copy of CNL Consolidated model_v.FPL_v37_Project Forest Pro Forma Model v58" xfId="344" xr:uid="{00000000-0005-0000-0000-000027010000}"/>
    <cellStyle name="_Bayonne Restructuring 10-17_D_Consolidated2" xfId="345" xr:uid="{00000000-0005-0000-0000-000028010000}"/>
    <cellStyle name="_Bayonne Restructuring 10-17_Model v9.8" xfId="346" xr:uid="{00000000-0005-0000-0000-000029010000}"/>
    <cellStyle name="_Bayonne Restructuring 10-17_Mutilples Template2" xfId="347" xr:uid="{00000000-0005-0000-0000-00002A010000}"/>
    <cellStyle name="_Bayonne Restructuring 10-17_Mutilples Template2_Exelon Power Fuel Forecast - Project P 6-11-2004 ver21" xfId="348" xr:uid="{00000000-0005-0000-0000-00002B010000}"/>
    <cellStyle name="_Bayonne Restructuring 10-17_Mutilples Template2_ML Outputs" xfId="349" xr:uid="{00000000-0005-0000-0000-00002C010000}"/>
    <cellStyle name="_Bayonne Restructuring 10-17_Mutilples Template2_Project Forest Pro Forma Model v58" xfId="350" xr:uid="{00000000-0005-0000-0000-00002D010000}"/>
    <cellStyle name="_Bayonne Restructuring 10-17_pom consolidated v3" xfId="351" xr:uid="{00000000-0005-0000-0000-00002E010000}"/>
    <cellStyle name="_Bayonne Restructuring 10-17_pom consolidated v3_Exelon Power Fuel Forecast - Project P 6-11-2004 ver21" xfId="352" xr:uid="{00000000-0005-0000-0000-00002F010000}"/>
    <cellStyle name="_Bayonne Restructuring 10-17_pom consolidated v3_ML Outputs" xfId="353" xr:uid="{00000000-0005-0000-0000-000030010000}"/>
    <cellStyle name="_Bayonne Restructuring 10-17_pom consolidated v3_Project Forest Pro Forma Model v58" xfId="354" xr:uid="{00000000-0005-0000-0000-000031010000}"/>
    <cellStyle name="_Bayonne Restructuring 11-15" xfId="355" xr:uid="{00000000-0005-0000-0000-000032010000}"/>
    <cellStyle name="_Bayonne Restructuring 11-15_Copy of CNL Consolidated model_v.FPL_v37" xfId="356" xr:uid="{00000000-0005-0000-0000-000033010000}"/>
    <cellStyle name="_Bayonne Restructuring 11-15_Copy of CNL Consolidated model_v.FPL_v37_Exelon Power Fuel Forecast - Project P 6-11-2004 ver21" xfId="357" xr:uid="{00000000-0005-0000-0000-000034010000}"/>
    <cellStyle name="_Bayonne Restructuring 11-15_Copy of CNL Consolidated model_v.FPL_v37_ML Outputs" xfId="358" xr:uid="{00000000-0005-0000-0000-000035010000}"/>
    <cellStyle name="_Bayonne Restructuring 11-15_Copy of CNL Consolidated model_v.FPL_v37_Project Forest Pro Forma Model v58" xfId="359" xr:uid="{00000000-0005-0000-0000-000036010000}"/>
    <cellStyle name="_Bayonne Restructuring 11-15_D_Consolidated2" xfId="360" xr:uid="{00000000-0005-0000-0000-000037010000}"/>
    <cellStyle name="_Bayonne Restructuring 11-15_Model v9.8" xfId="361" xr:uid="{00000000-0005-0000-0000-000038010000}"/>
    <cellStyle name="_Bayonne Restructuring 11-15_Mutilples Template2" xfId="362" xr:uid="{00000000-0005-0000-0000-000039010000}"/>
    <cellStyle name="_Bayonne Restructuring 11-15_Mutilples Template2_Exelon Power Fuel Forecast - Project P 6-11-2004 ver21" xfId="363" xr:uid="{00000000-0005-0000-0000-00003A010000}"/>
    <cellStyle name="_Bayonne Restructuring 11-15_Mutilples Template2_ML Outputs" xfId="364" xr:uid="{00000000-0005-0000-0000-00003B010000}"/>
    <cellStyle name="_Bayonne Restructuring 11-15_Mutilples Template2_Project Forest Pro Forma Model v58" xfId="365" xr:uid="{00000000-0005-0000-0000-00003C010000}"/>
    <cellStyle name="_Bayonne Restructuring 11-15_pom consolidated v3" xfId="366" xr:uid="{00000000-0005-0000-0000-00003D010000}"/>
    <cellStyle name="_Bayonne Restructuring 11-15_pom consolidated v3_Exelon Power Fuel Forecast - Project P 6-11-2004 ver21" xfId="367" xr:uid="{00000000-0005-0000-0000-00003E010000}"/>
    <cellStyle name="_Bayonne Restructuring 11-15_pom consolidated v3_ML Outputs" xfId="368" xr:uid="{00000000-0005-0000-0000-00003F010000}"/>
    <cellStyle name="_Bayonne Restructuring 11-15_pom consolidated v3_Project Forest Pro Forma Model v58" xfId="369" xr:uid="{00000000-0005-0000-0000-000040010000}"/>
    <cellStyle name="_Bayonne Restructuring 1-19" xfId="370" xr:uid="{00000000-0005-0000-0000-000041010000}"/>
    <cellStyle name="_Bayonne Restructuring 1-19_Copy of CNL Consolidated model_v.FPL_v37" xfId="371" xr:uid="{00000000-0005-0000-0000-000042010000}"/>
    <cellStyle name="_Bayonne Restructuring 1-19_Copy of CNL Consolidated model_v.FPL_v37_Exelon Power Fuel Forecast - Project P 6-11-2004 ver21" xfId="372" xr:uid="{00000000-0005-0000-0000-000043010000}"/>
    <cellStyle name="_Bayonne Restructuring 1-19_Copy of CNL Consolidated model_v.FPL_v37_ML Outputs" xfId="373" xr:uid="{00000000-0005-0000-0000-000044010000}"/>
    <cellStyle name="_Bayonne Restructuring 1-19_Copy of CNL Consolidated model_v.FPL_v37_Project Forest Pro Forma Model v58" xfId="374" xr:uid="{00000000-0005-0000-0000-000045010000}"/>
    <cellStyle name="_Bayonne Restructuring 1-19_D_Consolidated2" xfId="375" xr:uid="{00000000-0005-0000-0000-000046010000}"/>
    <cellStyle name="_Bayonne Restructuring 1-19_Model v9.8" xfId="376" xr:uid="{00000000-0005-0000-0000-000047010000}"/>
    <cellStyle name="_Bayonne Restructuring 1-19_Mutilples Template2" xfId="377" xr:uid="{00000000-0005-0000-0000-000048010000}"/>
    <cellStyle name="_Bayonne Restructuring 1-19_Mutilples Template2_Exelon Power Fuel Forecast - Project P 6-11-2004 ver21" xfId="378" xr:uid="{00000000-0005-0000-0000-000049010000}"/>
    <cellStyle name="_Bayonne Restructuring 1-19_Mutilples Template2_ML Outputs" xfId="379" xr:uid="{00000000-0005-0000-0000-00004A010000}"/>
    <cellStyle name="_Bayonne Restructuring 1-19_Mutilples Template2_Project Forest Pro Forma Model v58" xfId="380" xr:uid="{00000000-0005-0000-0000-00004B010000}"/>
    <cellStyle name="_Bayonne Restructuring 1-19_pom consolidated v3" xfId="381" xr:uid="{00000000-0005-0000-0000-00004C010000}"/>
    <cellStyle name="_Bayonne Restructuring 1-19_pom consolidated v3_Exelon Power Fuel Forecast - Project P 6-11-2004 ver21" xfId="382" xr:uid="{00000000-0005-0000-0000-00004D010000}"/>
    <cellStyle name="_Bayonne Restructuring 1-19_pom consolidated v3_ML Outputs" xfId="383" xr:uid="{00000000-0005-0000-0000-00004E010000}"/>
    <cellStyle name="_Bayonne Restructuring 1-19_pom consolidated v3_Project Forest Pro Forma Model v58" xfId="384" xr:uid="{00000000-0005-0000-0000-00004F010000}"/>
    <cellStyle name="_Bd" xfId="385" xr:uid="{00000000-0005-0000-0000-000050010000}"/>
    <cellStyle name="_Bioenergia_Model_259" xfId="386" xr:uid="{00000000-0005-0000-0000-000051010000}"/>
    <cellStyle name="_Black model - 20dez04 v2" xfId="387" xr:uid="{00000000-0005-0000-0000-000052010000}"/>
    <cellStyle name="_Bloomberg Data" xfId="388" xr:uid="{00000000-0005-0000-0000-000053010000}"/>
    <cellStyle name="_Blue shade" xfId="389" xr:uid="{00000000-0005-0000-0000-000054010000}"/>
    <cellStyle name="_BlueHeading" xfId="390" xr:uid="{00000000-0005-0000-0000-000055010000}"/>
    <cellStyle name="_BondSheet" xfId="391" xr:uid="{00000000-0005-0000-0000-000056010000}"/>
    <cellStyle name="_Book1" xfId="392" xr:uid="{00000000-0005-0000-0000-000057010000}"/>
    <cellStyle name="_Book11" xfId="393" xr:uid="{00000000-0005-0000-0000-000058010000}"/>
    <cellStyle name="_Book2" xfId="394" xr:uid="{00000000-0005-0000-0000-000059010000}"/>
    <cellStyle name="_Book9" xfId="395" xr:uid="{00000000-0005-0000-0000-00005A010000}"/>
    <cellStyle name="_Book9_Copy of CNL Consolidated model_v.FPL_v37" xfId="396" xr:uid="{00000000-0005-0000-0000-00005B010000}"/>
    <cellStyle name="_Book9_Copy of CNL Consolidated model_v.FPL_v37_Exelon Power Fuel Forecast - Project P 6-11-2004 ver21" xfId="397" xr:uid="{00000000-0005-0000-0000-00005C010000}"/>
    <cellStyle name="_Book9_Copy of CNL Consolidated model_v.FPL_v37_ML Outputs" xfId="398" xr:uid="{00000000-0005-0000-0000-00005D010000}"/>
    <cellStyle name="_Book9_Copy of CNL Consolidated model_v.FPL_v37_Project Forest Pro Forma Model v58" xfId="399" xr:uid="{00000000-0005-0000-0000-00005E010000}"/>
    <cellStyle name="_Book9_D_Consolidated2" xfId="400" xr:uid="{00000000-0005-0000-0000-00005F010000}"/>
    <cellStyle name="_Book9_Model v9.8" xfId="401" xr:uid="{00000000-0005-0000-0000-000060010000}"/>
    <cellStyle name="_Book9_Mutilples Template2" xfId="402" xr:uid="{00000000-0005-0000-0000-000061010000}"/>
    <cellStyle name="_Book9_Mutilples Template2_Exelon Power Fuel Forecast - Project P 6-11-2004 ver21" xfId="403" xr:uid="{00000000-0005-0000-0000-000062010000}"/>
    <cellStyle name="_Book9_Mutilples Template2_ML Outputs" xfId="404" xr:uid="{00000000-0005-0000-0000-000063010000}"/>
    <cellStyle name="_Book9_Mutilples Template2_Project Forest Pro Forma Model v58" xfId="405" xr:uid="{00000000-0005-0000-0000-000064010000}"/>
    <cellStyle name="_Book9_pom consolidated v3" xfId="406" xr:uid="{00000000-0005-0000-0000-000065010000}"/>
    <cellStyle name="_Book9_pom consolidated v3_Exelon Power Fuel Forecast - Project P 6-11-2004 ver21" xfId="407" xr:uid="{00000000-0005-0000-0000-000066010000}"/>
    <cellStyle name="_Book9_pom consolidated v3_ML Outputs" xfId="408" xr:uid="{00000000-0005-0000-0000-000067010000}"/>
    <cellStyle name="_Book9_pom consolidated v3_Project Forest Pro Forma Model v58" xfId="409" xr:uid="{00000000-0005-0000-0000-000068010000}"/>
    <cellStyle name="_BP 2003-2007_2005_TNK-U consol_prices_2405" xfId="410" xr:uid="{00000000-0005-0000-0000-000069010000}"/>
    <cellStyle name="_BP 2004 BoD_OFS 03Dec04_format PPM_woRCMTO" xfId="411" xr:uid="{00000000-0005-0000-0000-00006A010000}"/>
    <cellStyle name="_BP 2004 BoD_OFS 26Nov04_format PPM_02" xfId="412" xr:uid="{00000000-0005-0000-0000-00006B010000}"/>
    <cellStyle name="_BP 2005  231104" xfId="413" xr:uid="{00000000-0005-0000-0000-00006C010000}"/>
    <cellStyle name="_BP2003 18" xfId="414" xr:uid="{00000000-0005-0000-0000-00006D010000}"/>
    <cellStyle name="_Branches 5YP template" xfId="415" xr:uid="{00000000-0005-0000-0000-00006E010000}"/>
    <cellStyle name="_Branches 5YP template_040822 Profit_Tax_(portal)" xfId="416" xr:uid="{00000000-0005-0000-0000-00006F010000}"/>
    <cellStyle name="_Branches 5YP template_040822 Profit_Tax_(portal)_debt reconciliation_10 11" xfId="417" xr:uid="{00000000-0005-0000-0000-000070010000}"/>
    <cellStyle name="_Branches 5YP template_040822 Profit_Tax_(portal)_EMTN accruals" xfId="418" xr:uid="{00000000-0005-0000-0000-000071010000}"/>
    <cellStyle name="_Branches 5YP template_040822 Profit_Tax_(portal)_report_LTD" xfId="419" xr:uid="{00000000-0005-0000-0000-000072010000}"/>
    <cellStyle name="_Branches 5YP template_040822 Profit_Tax_(portal)_schedule" xfId="420" xr:uid="{00000000-0005-0000-0000-000073010000}"/>
    <cellStyle name="_Branches 5YP template_040928 Profit_Tax_3Ax1Ax4" xfId="421" xr:uid="{00000000-0005-0000-0000-000074010000}"/>
    <cellStyle name="_Branches 5YP template_040928 Profit_Tax_3Ax1Ax4_debt reconciliation_10 11" xfId="422" xr:uid="{00000000-0005-0000-0000-000075010000}"/>
    <cellStyle name="_Branches 5YP template_040928 Profit_Tax_3Ax1Ax4_EMTN accruals" xfId="423" xr:uid="{00000000-0005-0000-0000-000076010000}"/>
    <cellStyle name="_Branches 5YP template_040928 Profit_Tax_3Ax1Ax4_report_LTD" xfId="424" xr:uid="{00000000-0005-0000-0000-000077010000}"/>
    <cellStyle name="_Branches 5YP template_040928 Profit_Tax_3Ax1Ax4_schedule" xfId="425" xr:uid="{00000000-0005-0000-0000-000078010000}"/>
    <cellStyle name="_Branches 5YP template_Книга2" xfId="426" xr:uid="{00000000-0005-0000-0000-000079010000}"/>
    <cellStyle name="_Branches 5YP template_Налог_на_прибыль" xfId="427" xr:uid="{00000000-0005-0000-0000-00007A010000}"/>
    <cellStyle name="_Branches 5YP template_Налог_на_прибыль_debt reconciliation_10 11" xfId="428" xr:uid="{00000000-0005-0000-0000-00007B010000}"/>
    <cellStyle name="_Branches 5YP template_Налог_на_прибыль_EMTN accruals" xfId="429" xr:uid="{00000000-0005-0000-0000-00007C010000}"/>
    <cellStyle name="_Branches 5YP template_Налог_на_прибыль_report_LTD" xfId="430" xr:uid="{00000000-0005-0000-0000-00007D010000}"/>
    <cellStyle name="_Branches 5YP template_Налог_на_прибыль_schedule" xfId="431" xr:uid="{00000000-0005-0000-0000-00007E010000}"/>
    <cellStyle name="_Bridge Chart" xfId="432" xr:uid="{00000000-0005-0000-0000-00007F010000}"/>
    <cellStyle name="_BUDGET 2004_for renovation_25.11" xfId="433" xr:uid="{00000000-0005-0000-0000-000080010000}"/>
    <cellStyle name="_Business-plan_forms_II_03.10.03." xfId="434" xr:uid="{00000000-0005-0000-0000-000081010000}"/>
    <cellStyle name="_Business-plan_forms_II_03.10.03._~5055318" xfId="435" xr:uid="{00000000-0005-0000-0000-000082010000}"/>
    <cellStyle name="_C.Loader" xfId="436" xr:uid="{00000000-0005-0000-0000-000083010000}"/>
    <cellStyle name="_Ca" xfId="437" xr:uid="{00000000-0005-0000-0000-000084010000}"/>
    <cellStyle name="_calcs алексей" xfId="438" xr:uid="{00000000-0005-0000-0000-000085010000}"/>
    <cellStyle name="_Calculations (LTStrategy) 100804.xls Диагр. 2" xfId="439" xr:uid="{00000000-0005-0000-0000-000086010000}"/>
    <cellStyle name="_Calculations (LTStrategy) 150604" xfId="440" xr:uid="{00000000-0005-0000-0000-000087010000}"/>
    <cellStyle name="_Camden Debt Breakage" xfId="441" xr:uid="{00000000-0005-0000-0000-000088010000}"/>
    <cellStyle name="_Camden Debt Breakage_Copy of CNL Consolidated model_v.FPL_v37" xfId="442" xr:uid="{00000000-0005-0000-0000-000089010000}"/>
    <cellStyle name="_Camden Debt Breakage_Copy of CNL Consolidated model_v.FPL_v37_Exelon Power Fuel Forecast - Project P 6-11-2004 ver21" xfId="443" xr:uid="{00000000-0005-0000-0000-00008A010000}"/>
    <cellStyle name="_Camden Debt Breakage_Copy of CNL Consolidated model_v.FPL_v37_ML Outputs" xfId="444" xr:uid="{00000000-0005-0000-0000-00008B010000}"/>
    <cellStyle name="_Camden Debt Breakage_Copy of CNL Consolidated model_v.FPL_v37_Project Forest Pro Forma Model v58" xfId="445" xr:uid="{00000000-0005-0000-0000-00008C010000}"/>
    <cellStyle name="_Camden Debt Breakage_D_Consolidated2" xfId="446" xr:uid="{00000000-0005-0000-0000-00008D010000}"/>
    <cellStyle name="_Camden Debt Breakage_Model v9.8" xfId="447" xr:uid="{00000000-0005-0000-0000-00008E010000}"/>
    <cellStyle name="_Camden Debt Breakage_Mutilples Template2" xfId="448" xr:uid="{00000000-0005-0000-0000-00008F010000}"/>
    <cellStyle name="_Camden Debt Breakage_Mutilples Template2_Exelon Power Fuel Forecast - Project P 6-11-2004 ver21" xfId="449" xr:uid="{00000000-0005-0000-0000-000090010000}"/>
    <cellStyle name="_Camden Debt Breakage_Mutilples Template2_ML Outputs" xfId="450" xr:uid="{00000000-0005-0000-0000-000091010000}"/>
    <cellStyle name="_Camden Debt Breakage_Mutilples Template2_Project Forest Pro Forma Model v58" xfId="451" xr:uid="{00000000-0005-0000-0000-000092010000}"/>
    <cellStyle name="_Camden Debt Breakage_pom consolidated v3" xfId="452" xr:uid="{00000000-0005-0000-0000-000093010000}"/>
    <cellStyle name="_Camden Debt Breakage_pom consolidated v3_Exelon Power Fuel Forecast - Project P 6-11-2004 ver21" xfId="453" xr:uid="{00000000-0005-0000-0000-000094010000}"/>
    <cellStyle name="_Camden Debt Breakage_pom consolidated v3_ML Outputs" xfId="454" xr:uid="{00000000-0005-0000-0000-000095010000}"/>
    <cellStyle name="_Camden Debt Breakage_pom consolidated v3_Project Forest Pro Forma Model v58" xfId="455" xr:uid="{00000000-0005-0000-0000-000096010000}"/>
    <cellStyle name="_Camden_Bayonne Restructure 6-06-01" xfId="456" xr:uid="{00000000-0005-0000-0000-000097010000}"/>
    <cellStyle name="_Camden_Bayonne Restructure 6-06-01_Copy of CNL Consolidated model_v.FPL_v37" xfId="457" xr:uid="{00000000-0005-0000-0000-000098010000}"/>
    <cellStyle name="_Camden_Bayonne Restructure 6-06-01_Copy of CNL Consolidated model_v.FPL_v37_Exelon Power Fuel Forecast - Project P 6-11-2004 ver21" xfId="458" xr:uid="{00000000-0005-0000-0000-000099010000}"/>
    <cellStyle name="_Camden_Bayonne Restructure 6-06-01_Copy of CNL Consolidated model_v.FPL_v37_ML Outputs" xfId="459" xr:uid="{00000000-0005-0000-0000-00009A010000}"/>
    <cellStyle name="_Camden_Bayonne Restructure 6-06-01_Copy of CNL Consolidated model_v.FPL_v37_Project Forest Pro Forma Model v58" xfId="460" xr:uid="{00000000-0005-0000-0000-00009B010000}"/>
    <cellStyle name="_Camden_Bayonne Restructure 6-06-01_D_Consolidated2" xfId="461" xr:uid="{00000000-0005-0000-0000-00009C010000}"/>
    <cellStyle name="_Camden_Bayonne Restructure 6-06-01_Model v9.8" xfId="462" xr:uid="{00000000-0005-0000-0000-00009D010000}"/>
    <cellStyle name="_Camden_Bayonne Restructure 6-06-01_Mutilples Template2" xfId="463" xr:uid="{00000000-0005-0000-0000-00009E010000}"/>
    <cellStyle name="_Camden_Bayonne Restructure 6-06-01_Mutilples Template2_Exelon Power Fuel Forecast - Project P 6-11-2004 ver21" xfId="464" xr:uid="{00000000-0005-0000-0000-00009F010000}"/>
    <cellStyle name="_Camden_Bayonne Restructure 6-06-01_Mutilples Template2_ML Outputs" xfId="465" xr:uid="{00000000-0005-0000-0000-0000A0010000}"/>
    <cellStyle name="_Camden_Bayonne Restructure 6-06-01_Mutilples Template2_Project Forest Pro Forma Model v58" xfId="466" xr:uid="{00000000-0005-0000-0000-0000A1010000}"/>
    <cellStyle name="_Camden_Bayonne Restructure 6-06-01_pom consolidated v3" xfId="467" xr:uid="{00000000-0005-0000-0000-0000A2010000}"/>
    <cellStyle name="_Camden_Bayonne Restructure 6-06-01_pom consolidated v3_Exelon Power Fuel Forecast - Project P 6-11-2004 ver21" xfId="468" xr:uid="{00000000-0005-0000-0000-0000A3010000}"/>
    <cellStyle name="_Camden_Bayonne Restructure 6-06-01_pom consolidated v3_ML Outputs" xfId="469" xr:uid="{00000000-0005-0000-0000-0000A4010000}"/>
    <cellStyle name="_Camden_Bayonne Restructure 6-06-01_pom consolidated v3_Project Forest Pro Forma Model v58" xfId="470" xr:uid="{00000000-0005-0000-0000-0000A5010000}"/>
    <cellStyle name="_Camden_Bayonne Restructure 7-06-01" xfId="471" xr:uid="{00000000-0005-0000-0000-0000A6010000}"/>
    <cellStyle name="_Camden_Bayonne Restructure 7-06-01_Copy of CNL Consolidated model_v.FPL_v37" xfId="472" xr:uid="{00000000-0005-0000-0000-0000A7010000}"/>
    <cellStyle name="_Camden_Bayonne Restructure 7-06-01_Copy of CNL Consolidated model_v.FPL_v37_Exelon Power Fuel Forecast - Project P 6-11-2004 ver21" xfId="473" xr:uid="{00000000-0005-0000-0000-0000A8010000}"/>
    <cellStyle name="_Camden_Bayonne Restructure 7-06-01_Copy of CNL Consolidated model_v.FPL_v37_ML Outputs" xfId="474" xr:uid="{00000000-0005-0000-0000-0000A9010000}"/>
    <cellStyle name="_Camden_Bayonne Restructure 7-06-01_Copy of CNL Consolidated model_v.FPL_v37_Project Forest Pro Forma Model v58" xfId="475" xr:uid="{00000000-0005-0000-0000-0000AA010000}"/>
    <cellStyle name="_Camden_Bayonne Restructure 7-06-01_D_Consolidated2" xfId="476" xr:uid="{00000000-0005-0000-0000-0000AB010000}"/>
    <cellStyle name="_Camden_Bayonne Restructure 7-06-01_Model v9.8" xfId="477" xr:uid="{00000000-0005-0000-0000-0000AC010000}"/>
    <cellStyle name="_Camden_Bayonne Restructure 7-06-01_Mutilples Template2" xfId="478" xr:uid="{00000000-0005-0000-0000-0000AD010000}"/>
    <cellStyle name="_Camden_Bayonne Restructure 7-06-01_Mutilples Template2_Exelon Power Fuel Forecast - Project P 6-11-2004 ver21" xfId="479" xr:uid="{00000000-0005-0000-0000-0000AE010000}"/>
    <cellStyle name="_Camden_Bayonne Restructure 7-06-01_Mutilples Template2_ML Outputs" xfId="480" xr:uid="{00000000-0005-0000-0000-0000AF010000}"/>
    <cellStyle name="_Camden_Bayonne Restructure 7-06-01_Mutilples Template2_Project Forest Pro Forma Model v58" xfId="481" xr:uid="{00000000-0005-0000-0000-0000B0010000}"/>
    <cellStyle name="_Camden_Bayonne Restructure 7-06-01_pom consolidated v3" xfId="482" xr:uid="{00000000-0005-0000-0000-0000B1010000}"/>
    <cellStyle name="_Camden_Bayonne Restructure 7-06-01_pom consolidated v3_Exelon Power Fuel Forecast - Project P 6-11-2004 ver21" xfId="483" xr:uid="{00000000-0005-0000-0000-0000B2010000}"/>
    <cellStyle name="_Camden_Bayonne Restructure 7-06-01_pom consolidated v3_ML Outputs" xfId="484" xr:uid="{00000000-0005-0000-0000-0000B3010000}"/>
    <cellStyle name="_Camden_Bayonne Restructure 7-06-01_pom consolidated v3_Project Forest Pro Forma Model v58" xfId="485" xr:uid="{00000000-0005-0000-0000-0000B4010000}"/>
    <cellStyle name="_Camden_Bayonne Restructure 7-2-01" xfId="486" xr:uid="{00000000-0005-0000-0000-0000B5010000}"/>
    <cellStyle name="_Camden_Bayonne Restructure 7-2-01_Copy of CNL Consolidated model_v.FPL_v37" xfId="487" xr:uid="{00000000-0005-0000-0000-0000B6010000}"/>
    <cellStyle name="_Camden_Bayonne Restructure 7-2-01_Copy of CNL Consolidated model_v.FPL_v37_Exelon Power Fuel Forecast - Project P 6-11-2004 ver21" xfId="488" xr:uid="{00000000-0005-0000-0000-0000B7010000}"/>
    <cellStyle name="_Camden_Bayonne Restructure 7-2-01_Copy of CNL Consolidated model_v.FPL_v37_ML Outputs" xfId="489" xr:uid="{00000000-0005-0000-0000-0000B8010000}"/>
    <cellStyle name="_Camden_Bayonne Restructure 7-2-01_Copy of CNL Consolidated model_v.FPL_v37_Project Forest Pro Forma Model v58" xfId="490" xr:uid="{00000000-0005-0000-0000-0000B9010000}"/>
    <cellStyle name="_Camden_Bayonne Restructure 7-2-01_D_Consolidated2" xfId="491" xr:uid="{00000000-0005-0000-0000-0000BA010000}"/>
    <cellStyle name="_Camden_Bayonne Restructure 7-2-01_Model v9.8" xfId="492" xr:uid="{00000000-0005-0000-0000-0000BB010000}"/>
    <cellStyle name="_Camden_Bayonne Restructure 7-2-01_Mutilples Template2" xfId="493" xr:uid="{00000000-0005-0000-0000-0000BC010000}"/>
    <cellStyle name="_Camden_Bayonne Restructure 7-2-01_Mutilples Template2_Exelon Power Fuel Forecast - Project P 6-11-2004 ver21" xfId="494" xr:uid="{00000000-0005-0000-0000-0000BD010000}"/>
    <cellStyle name="_Camden_Bayonne Restructure 7-2-01_Mutilples Template2_ML Outputs" xfId="495" xr:uid="{00000000-0005-0000-0000-0000BE010000}"/>
    <cellStyle name="_Camden_Bayonne Restructure 7-2-01_Mutilples Template2_Project Forest Pro Forma Model v58" xfId="496" xr:uid="{00000000-0005-0000-0000-0000BF010000}"/>
    <cellStyle name="_Camden_Bayonne Restructure 7-2-01_pom consolidated v3" xfId="497" xr:uid="{00000000-0005-0000-0000-0000C0010000}"/>
    <cellStyle name="_Camden_Bayonne Restructure 7-2-01_pom consolidated v3_Exelon Power Fuel Forecast - Project P 6-11-2004 ver21" xfId="498" xr:uid="{00000000-0005-0000-0000-0000C1010000}"/>
    <cellStyle name="_Camden_Bayonne Restructure 7-2-01_pom consolidated v3_ML Outputs" xfId="499" xr:uid="{00000000-0005-0000-0000-0000C2010000}"/>
    <cellStyle name="_Camden_Bayonne Restructure 7-2-01_pom consolidated v3_Project Forest Pro Forma Model v58" xfId="500" xr:uid="{00000000-0005-0000-0000-0000C3010000}"/>
    <cellStyle name="_Capex table 2211" xfId="501" xr:uid="{00000000-0005-0000-0000-0000C4010000}"/>
    <cellStyle name="_Case 1 (10C)" xfId="502" xr:uid="{00000000-0005-0000-0000-0000C5010000}"/>
    <cellStyle name="_Case 3 (8N)" xfId="503" xr:uid="{00000000-0005-0000-0000-0000C6010000}"/>
    <cellStyle name="_Case 4 (8C-2)" xfId="504" xr:uid="{00000000-0005-0000-0000-0000C7010000}"/>
    <cellStyle name="_Case 5 (10C-2)" xfId="505" xr:uid="{00000000-0005-0000-0000-0000C8010000}"/>
    <cellStyle name="_Case with lower inflation" xfId="506" xr:uid="{00000000-0005-0000-0000-0000C9010000}"/>
    <cellStyle name="_cash flow reclass" xfId="507" xr:uid="{00000000-0005-0000-0000-0000CA010000}"/>
    <cellStyle name="_Cash flow till 2Q'05 100804" xfId="508" xr:uid="{00000000-0005-0000-0000-0000CB010000}"/>
    <cellStyle name="_CBIV v11" xfId="509" xr:uid="{00000000-0005-0000-0000-0000CC010000}"/>
    <cellStyle name="_CBIV v11_Copy of CNL Consolidated model_v.FPL_v37" xfId="510" xr:uid="{00000000-0005-0000-0000-0000CD010000}"/>
    <cellStyle name="_CBIV v11_Copy of CNL Consolidated model_v.FPL_v37_Exelon Power Fuel Forecast - Project P 6-11-2004 ver21" xfId="511" xr:uid="{00000000-0005-0000-0000-0000CE010000}"/>
    <cellStyle name="_CBIV v11_Copy of CNL Consolidated model_v.FPL_v37_ML Outputs" xfId="512" xr:uid="{00000000-0005-0000-0000-0000CF010000}"/>
    <cellStyle name="_CBIV v11_Copy of CNL Consolidated model_v.FPL_v37_Project Forest Pro Forma Model v58" xfId="513" xr:uid="{00000000-0005-0000-0000-0000D0010000}"/>
    <cellStyle name="_CBIV v11_D_Consolidated2" xfId="514" xr:uid="{00000000-0005-0000-0000-0000D1010000}"/>
    <cellStyle name="_CBIV v11_Model v9.8" xfId="515" xr:uid="{00000000-0005-0000-0000-0000D2010000}"/>
    <cellStyle name="_CBIV v11_Mutilples Template2" xfId="516" xr:uid="{00000000-0005-0000-0000-0000D3010000}"/>
    <cellStyle name="_CBIV v11_Mutilples Template2_Exelon Power Fuel Forecast - Project P 6-11-2004 ver21" xfId="517" xr:uid="{00000000-0005-0000-0000-0000D4010000}"/>
    <cellStyle name="_CBIV v11_Mutilples Template2_ML Outputs" xfId="518" xr:uid="{00000000-0005-0000-0000-0000D5010000}"/>
    <cellStyle name="_CBIV v11_Mutilples Template2_Project Forest Pro Forma Model v58" xfId="519" xr:uid="{00000000-0005-0000-0000-0000D6010000}"/>
    <cellStyle name="_CBIV v11_pom consolidated v3" xfId="520" xr:uid="{00000000-0005-0000-0000-0000D7010000}"/>
    <cellStyle name="_CBIV v11_pom consolidated v3_Exelon Power Fuel Forecast - Project P 6-11-2004 ver21" xfId="521" xr:uid="{00000000-0005-0000-0000-0000D8010000}"/>
    <cellStyle name="_CBIV v11_pom consolidated v3_ML Outputs" xfId="522" xr:uid="{00000000-0005-0000-0000-0000D9010000}"/>
    <cellStyle name="_CBIV v11_pom consolidated v3_Project Forest Pro Forma Model v58" xfId="523" xr:uid="{00000000-0005-0000-0000-0000DA010000}"/>
    <cellStyle name="_CBIV v6" xfId="524" xr:uid="{00000000-0005-0000-0000-0000DB010000}"/>
    <cellStyle name="_CBIV v6_Copy of CNL Consolidated model_v.FPL_v37" xfId="525" xr:uid="{00000000-0005-0000-0000-0000DC010000}"/>
    <cellStyle name="_CBIV v6_Copy of CNL Consolidated model_v.FPL_v37_Exelon Power Fuel Forecast - Project P 6-11-2004 ver21" xfId="526" xr:uid="{00000000-0005-0000-0000-0000DD010000}"/>
    <cellStyle name="_CBIV v6_Copy of CNL Consolidated model_v.FPL_v37_ML Outputs" xfId="527" xr:uid="{00000000-0005-0000-0000-0000DE010000}"/>
    <cellStyle name="_CBIV v6_Copy of CNL Consolidated model_v.FPL_v37_Project Forest Pro Forma Model v58" xfId="528" xr:uid="{00000000-0005-0000-0000-0000DF010000}"/>
    <cellStyle name="_CBIV v6_D_Consolidated2" xfId="529" xr:uid="{00000000-0005-0000-0000-0000E0010000}"/>
    <cellStyle name="_CBIV v6_Model v9.8" xfId="530" xr:uid="{00000000-0005-0000-0000-0000E1010000}"/>
    <cellStyle name="_CBIV v6_Mutilples Template2" xfId="531" xr:uid="{00000000-0005-0000-0000-0000E2010000}"/>
    <cellStyle name="_CBIV v6_Mutilples Template2_Exelon Power Fuel Forecast - Project P 6-11-2004 ver21" xfId="532" xr:uid="{00000000-0005-0000-0000-0000E3010000}"/>
    <cellStyle name="_CBIV v6_Mutilples Template2_ML Outputs" xfId="533" xr:uid="{00000000-0005-0000-0000-0000E4010000}"/>
    <cellStyle name="_CBIV v6_Mutilples Template2_Project Forest Pro Forma Model v58" xfId="534" xr:uid="{00000000-0005-0000-0000-0000E5010000}"/>
    <cellStyle name="_CBIV v6_pom consolidated v3" xfId="535" xr:uid="{00000000-0005-0000-0000-0000E6010000}"/>
    <cellStyle name="_CBIV v6_pom consolidated v3_Exelon Power Fuel Forecast - Project P 6-11-2004 ver21" xfId="536" xr:uid="{00000000-0005-0000-0000-0000E7010000}"/>
    <cellStyle name="_CBIV v6_pom consolidated v3_ML Outputs" xfId="537" xr:uid="{00000000-0005-0000-0000-0000E8010000}"/>
    <cellStyle name="_CBIV v6_pom consolidated v3_Project Forest Pro Forma Model v58" xfId="538" xr:uid="{00000000-0005-0000-0000-0000E9010000}"/>
    <cellStyle name="_CEG Plants v4" xfId="539" xr:uid="{00000000-0005-0000-0000-0000EA010000}"/>
    <cellStyle name="_CEG Plants v5" xfId="540" xr:uid="{00000000-0005-0000-0000-0000EB010000}"/>
    <cellStyle name="_CEG Plants v6" xfId="541" xr:uid="{00000000-0005-0000-0000-0000EC010000}"/>
    <cellStyle name="_Cf" xfId="542" xr:uid="{00000000-0005-0000-0000-0000ED010000}"/>
    <cellStyle name="_Comma" xfId="543" xr:uid="{00000000-0005-0000-0000-0000EE010000}"/>
    <cellStyle name="_Comma 2" xfId="544" xr:uid="{00000000-0005-0000-0000-0000EF010000}"/>
    <cellStyle name="_Comma 3" xfId="545" xr:uid="{00000000-0005-0000-0000-0000F0010000}"/>
    <cellStyle name="_Comma 4" xfId="546" xr:uid="{00000000-0005-0000-0000-0000F1010000}"/>
    <cellStyle name="_Comma_Applicazione Multipli" xfId="547" xr:uid="{00000000-0005-0000-0000-0000F2010000}"/>
    <cellStyle name="_Comma_AVP" xfId="548" xr:uid="{00000000-0005-0000-0000-0000F3010000}"/>
    <cellStyle name="_Comma_bapv" xfId="549" xr:uid="{00000000-0005-0000-0000-0000F4010000}"/>
    <cellStyle name="_Comma_Merger Plan 01" xfId="550" xr:uid="{00000000-0005-0000-0000-0000F5010000}"/>
    <cellStyle name="_Comma_Ownership structure - UCI" xfId="551" xr:uid="{00000000-0005-0000-0000-0000F6010000}"/>
    <cellStyle name="_Comma_Summary LR1" xfId="552" xr:uid="{00000000-0005-0000-0000-0000F7010000}"/>
    <cellStyle name="_Comma_Valuation Summary" xfId="553" xr:uid="{00000000-0005-0000-0000-0000F8010000}"/>
    <cellStyle name="_Cons plan 24.11.04_Financialisation_ОтФокиной" xfId="554" xr:uid="{00000000-0005-0000-0000-0000F9010000}"/>
    <cellStyle name="_Consolidated Summary - Portfolio_v12" xfId="555" xr:uid="{00000000-0005-0000-0000-0000FA010000}"/>
    <cellStyle name="_Consolidated Summary - Portfolio_v12_Copy of CNL Consolidated model_v.FPL_v37" xfId="556" xr:uid="{00000000-0005-0000-0000-0000FB010000}"/>
    <cellStyle name="_Consolidated Summary - Portfolio_v12_Copy of CNL Consolidated model_v.FPL_v37_Exelon Power Fuel Forecast - Project P 6-11-2004 ver21" xfId="557" xr:uid="{00000000-0005-0000-0000-0000FC010000}"/>
    <cellStyle name="_Consolidated Summary - Portfolio_v12_Copy of CNL Consolidated model_v.FPL_v37_ML Outputs" xfId="558" xr:uid="{00000000-0005-0000-0000-0000FD010000}"/>
    <cellStyle name="_Consolidated Summary - Portfolio_v12_Copy of CNL Consolidated model_v.FPL_v37_Project Forest Pro Forma Model v58" xfId="559" xr:uid="{00000000-0005-0000-0000-0000FE010000}"/>
    <cellStyle name="_Consolidated Summary - Portfolio_v12_D_Consolidated2" xfId="560" xr:uid="{00000000-0005-0000-0000-0000FF010000}"/>
    <cellStyle name="_Consolidated Summary - Portfolio_v12_Model v9.8" xfId="561" xr:uid="{00000000-0005-0000-0000-000000020000}"/>
    <cellStyle name="_Consolidated Summary - Portfolio_v12_Mutilples Template2" xfId="562" xr:uid="{00000000-0005-0000-0000-000001020000}"/>
    <cellStyle name="_Consolidated Summary - Portfolio_v12_Mutilples Template2_Exelon Power Fuel Forecast - Project P 6-11-2004 ver21" xfId="563" xr:uid="{00000000-0005-0000-0000-000002020000}"/>
    <cellStyle name="_Consolidated Summary - Portfolio_v12_Mutilples Template2_ML Outputs" xfId="564" xr:uid="{00000000-0005-0000-0000-000003020000}"/>
    <cellStyle name="_Consolidated Summary - Portfolio_v12_Mutilples Template2_Project Forest Pro Forma Model v58" xfId="565" xr:uid="{00000000-0005-0000-0000-000004020000}"/>
    <cellStyle name="_Consolidated Summary - Portfolio_v12_pom consolidated v3" xfId="566" xr:uid="{00000000-0005-0000-0000-000005020000}"/>
    <cellStyle name="_Consolidated Summary - Portfolio_v12_pom consolidated v3_Exelon Power Fuel Forecast - Project P 6-11-2004 ver21" xfId="567" xr:uid="{00000000-0005-0000-0000-000006020000}"/>
    <cellStyle name="_Consolidated Summary - Portfolio_v12_pom consolidated v3_ML Outputs" xfId="568" xr:uid="{00000000-0005-0000-0000-000007020000}"/>
    <cellStyle name="_Consolidated Summary - Portfolio_v12_pom consolidated v3_Project Forest Pro Forma Model v58" xfId="569" xr:uid="{00000000-0005-0000-0000-000008020000}"/>
    <cellStyle name="_Consolidation" xfId="570" xr:uid="{00000000-0005-0000-0000-000009020000}"/>
    <cellStyle name="_Consolidation_040822 Profit_Tax_(portal)" xfId="571" xr:uid="{00000000-0005-0000-0000-00000A020000}"/>
    <cellStyle name="_Consolidation_040928 Profit_Tax_3Ax1Ax4" xfId="572" xr:uid="{00000000-0005-0000-0000-00000B020000}"/>
    <cellStyle name="_Consolidation_Tax Input 5yr plan" xfId="573" xr:uid="{00000000-0005-0000-0000-00000C020000}"/>
    <cellStyle name="_Consolidation_Книга2" xfId="574" xr:uid="{00000000-0005-0000-0000-00000D020000}"/>
    <cellStyle name="_Consolidation_Налог_на_прибыль" xfId="575" xr:uid="{00000000-0005-0000-0000-00000E020000}"/>
    <cellStyle name="_Copy of CNL Consolidated model_v.FPL_v37" xfId="576" xr:uid="{00000000-0005-0000-0000-00000F020000}"/>
    <cellStyle name="_Copy of CNL Consolidated model_v.FPL_v37_Exelon Power Fuel Forecast - Project P 6-11-2004 ver21" xfId="577" xr:uid="{00000000-0005-0000-0000-000010020000}"/>
    <cellStyle name="_Copy of CNL Consolidated model_v.FPL_v37_ML Outputs" xfId="578" xr:uid="{00000000-0005-0000-0000-000011020000}"/>
    <cellStyle name="_Copy of CNL Consolidated model_v.FPL_v37_Project Forest Pro Forma Model v58" xfId="579" xr:uid="{00000000-0005-0000-0000-000012020000}"/>
    <cellStyle name="_Corp &amp; Functions vB" xfId="580" xr:uid="{00000000-0005-0000-0000-000013020000}"/>
    <cellStyle name="_Corp Functions 5-year plan" xfId="581" xr:uid="{00000000-0005-0000-0000-000014020000}"/>
    <cellStyle name="_Corp Functions 5-year plan_040822 Profit_Tax_(portal)" xfId="582" xr:uid="{00000000-0005-0000-0000-000015020000}"/>
    <cellStyle name="_Corp Functions 5-year plan_040822 Profit_Tax_(portal)_debt reconciliation_10 11" xfId="583" xr:uid="{00000000-0005-0000-0000-000016020000}"/>
    <cellStyle name="_Corp Functions 5-year plan_040822 Profit_Tax_(portal)_EMTN accruals" xfId="584" xr:uid="{00000000-0005-0000-0000-000017020000}"/>
    <cellStyle name="_Corp Functions 5-year plan_040822 Profit_Tax_(portal)_report_LTD" xfId="585" xr:uid="{00000000-0005-0000-0000-000018020000}"/>
    <cellStyle name="_Corp Functions 5-year plan_040822 Profit_Tax_(portal)_schedule" xfId="586" xr:uid="{00000000-0005-0000-0000-000019020000}"/>
    <cellStyle name="_Corp Functions 5-year plan_040928 Profit_Tax_3Ax1Ax4" xfId="587" xr:uid="{00000000-0005-0000-0000-00001A020000}"/>
    <cellStyle name="_Corp Functions 5-year plan_040928 Profit_Tax_3Ax1Ax4_debt reconciliation_10 11" xfId="588" xr:uid="{00000000-0005-0000-0000-00001B020000}"/>
    <cellStyle name="_Corp Functions 5-year plan_040928 Profit_Tax_3Ax1Ax4_EMTN accruals" xfId="589" xr:uid="{00000000-0005-0000-0000-00001C020000}"/>
    <cellStyle name="_Corp Functions 5-year plan_040928 Profit_Tax_3Ax1Ax4_report_LTD" xfId="590" xr:uid="{00000000-0005-0000-0000-00001D020000}"/>
    <cellStyle name="_Corp Functions 5-year plan_040928 Profit_Tax_3Ax1Ax4_schedule" xfId="591" xr:uid="{00000000-0005-0000-0000-00001E020000}"/>
    <cellStyle name="_Corp Functions 5-year plan_Книга2" xfId="592" xr:uid="{00000000-0005-0000-0000-00001F020000}"/>
    <cellStyle name="_Corp Functions 5-year plan_Налог_на_прибыль" xfId="593" xr:uid="{00000000-0005-0000-0000-000020020000}"/>
    <cellStyle name="_Corp Functions 5-year plan_Налог_на_прибыль_debt reconciliation_10 11" xfId="594" xr:uid="{00000000-0005-0000-0000-000021020000}"/>
    <cellStyle name="_Corp Functions 5-year plan_Налог_на_прибыль_EMTN accruals" xfId="595" xr:uid="{00000000-0005-0000-0000-000022020000}"/>
    <cellStyle name="_Corp Functions 5-year plan_Налог_на_прибыль_report_LTD" xfId="596" xr:uid="{00000000-0005-0000-0000-000023020000}"/>
    <cellStyle name="_Corp Functions 5-year plan_Налог_на_прибыль_schedule" xfId="597" xr:uid="{00000000-0005-0000-0000-000024020000}"/>
    <cellStyle name="_Corporate Finance" xfId="598" xr:uid="{00000000-0005-0000-0000-000025020000}"/>
    <cellStyle name="_CorporateCenter analysis 16.11.04" xfId="599" xr:uid="{00000000-0005-0000-0000-000026020000}"/>
    <cellStyle name="_cost" xfId="600" xr:uid="{00000000-0005-0000-0000-000027020000}"/>
    <cellStyle name="_Cost forms - presentation2" xfId="601" xr:uid="{00000000-0005-0000-0000-000028020000}"/>
    <cellStyle name="_Cost forms - presentation2_~5055318" xfId="602" xr:uid="{00000000-0005-0000-0000-000029020000}"/>
    <cellStyle name="_Cost forms - presentation2_DCF030925_vat" xfId="603" xr:uid="{00000000-0005-0000-0000-00002A020000}"/>
    <cellStyle name="_Cost forms - presentation2_DCF030925_vat_" xfId="604" xr:uid="{00000000-0005-0000-0000-00002B020000}"/>
    <cellStyle name="_Cost forms - presentation2_DCFonly" xfId="605" xr:uid="{00000000-0005-0000-0000-00002C020000}"/>
    <cellStyle name="_Costs 30.11" xfId="606" xr:uid="{00000000-0005-0000-0000-00002D020000}"/>
    <cellStyle name="_CreditBonds" xfId="607" xr:uid="{00000000-0005-0000-0000-00002E020000}"/>
    <cellStyle name="_Creditski 27-Feb-02 eod_my2" xfId="608" xr:uid="{00000000-0005-0000-0000-00002F020000}"/>
    <cellStyle name="_CtrySheet" xfId="609" xr:uid="{00000000-0005-0000-0000-000030020000}"/>
    <cellStyle name="_Currency" xfId="610" xr:uid="{00000000-0005-0000-0000-000031020000}"/>
    <cellStyle name="_Currency 2" xfId="611" xr:uid="{00000000-0005-0000-0000-000032020000}"/>
    <cellStyle name="_Currency 3" xfId="612" xr:uid="{00000000-0005-0000-0000-000033020000}"/>
    <cellStyle name="_Currency_Applicazione Multipli" xfId="613" xr:uid="{00000000-0005-0000-0000-000034020000}"/>
    <cellStyle name="_Currency_AVP" xfId="614" xr:uid="{00000000-0005-0000-0000-000035020000}"/>
    <cellStyle name="_Currency_bapv" xfId="615" xr:uid="{00000000-0005-0000-0000-000036020000}"/>
    <cellStyle name="_Currency_Book1" xfId="616" xr:uid="{00000000-0005-0000-0000-000037020000}"/>
    <cellStyle name="_Currency_Book1_Merger Plan" xfId="617" xr:uid="{00000000-0005-0000-0000-000038020000}"/>
    <cellStyle name="_Currency_Book2" xfId="618" xr:uid="{00000000-0005-0000-0000-000039020000}"/>
    <cellStyle name="_Currency_Book2_Merger Plan" xfId="619" xr:uid="{00000000-0005-0000-0000-00003A020000}"/>
    <cellStyle name="_Currency_Contribution Analysis" xfId="620" xr:uid="{00000000-0005-0000-0000-00003B020000}"/>
    <cellStyle name="_Currency_CSC Banche new1" xfId="621" xr:uid="{00000000-0005-0000-0000-00003C020000}"/>
    <cellStyle name="_Currency_Financials" xfId="622" xr:uid="{00000000-0005-0000-0000-00003D020000}"/>
    <cellStyle name="_Currency_Merger Plan" xfId="623" xr:uid="{00000000-0005-0000-0000-00003E020000}"/>
    <cellStyle name="_Currency_Merger Plan 01" xfId="624" xr:uid="{00000000-0005-0000-0000-00003F020000}"/>
    <cellStyle name="_Currency_Merger Plan A" xfId="625" xr:uid="{00000000-0005-0000-0000-000040020000}"/>
    <cellStyle name="_Currency_Merger Plan A_Merger Plan" xfId="626" xr:uid="{00000000-0005-0000-0000-000041020000}"/>
    <cellStyle name="_Currency_Merger Plan SP_CA" xfId="627" xr:uid="{00000000-0005-0000-0000-000042020000}"/>
    <cellStyle name="_Currency_Ownership structure - UCI" xfId="628" xr:uid="{00000000-0005-0000-0000-000043020000}"/>
    <cellStyle name="_Currency_Pro Forma AVP" xfId="629" xr:uid="{00000000-0005-0000-0000-000044020000}"/>
    <cellStyle name="_Currency_Proforma Shareholders" xfId="630" xr:uid="{00000000-0005-0000-0000-000045020000}"/>
    <cellStyle name="_Currency_Proforma Shareholders_Merger Plan" xfId="631" xr:uid="{00000000-0005-0000-0000-000046020000}"/>
    <cellStyle name="_Currency_Share Prices" xfId="632" xr:uid="{00000000-0005-0000-0000-000047020000}"/>
    <cellStyle name="_Currency_Share Prices_Merger Plan" xfId="633" xr:uid="{00000000-0005-0000-0000-000048020000}"/>
    <cellStyle name="_Currency_shareholders" xfId="634" xr:uid="{00000000-0005-0000-0000-000049020000}"/>
    <cellStyle name="_Currency_shareholders new" xfId="635" xr:uid="{00000000-0005-0000-0000-00004A020000}"/>
    <cellStyle name="_Currency_shareholders_Merger Plan" xfId="636" xr:uid="{00000000-0005-0000-0000-00004B020000}"/>
    <cellStyle name="_Currency_Summary LR1" xfId="637" xr:uid="{00000000-0005-0000-0000-00004C020000}"/>
    <cellStyle name="_Currency_Valuation Summary" xfId="638" xr:uid="{00000000-0005-0000-0000-00004D020000}"/>
    <cellStyle name="_CurrencySpace" xfId="639" xr:uid="{00000000-0005-0000-0000-00004E020000}"/>
    <cellStyle name="_CurrencySpace 2" xfId="640" xr:uid="{00000000-0005-0000-0000-00004F020000}"/>
    <cellStyle name="_CurrencySpace 3" xfId="641" xr:uid="{00000000-0005-0000-0000-000050020000}"/>
    <cellStyle name="_CurrencySpace 4" xfId="642" xr:uid="{00000000-0005-0000-0000-000051020000}"/>
    <cellStyle name="_CurrencySpace 5" xfId="643" xr:uid="{00000000-0005-0000-0000-000052020000}"/>
    <cellStyle name="_CurrencySpace_Applicazione Multipli" xfId="644" xr:uid="{00000000-0005-0000-0000-000053020000}"/>
    <cellStyle name="_CurrencySpace_AVP" xfId="645" xr:uid="{00000000-0005-0000-0000-000054020000}"/>
    <cellStyle name="_CurrencySpace_bapv" xfId="646" xr:uid="{00000000-0005-0000-0000-000055020000}"/>
    <cellStyle name="_CurrencySpace_Merger Plan 01" xfId="647" xr:uid="{00000000-0005-0000-0000-000056020000}"/>
    <cellStyle name="_CurrencySpace_Ownership structure - UCI" xfId="648" xr:uid="{00000000-0005-0000-0000-000057020000}"/>
    <cellStyle name="_CurrencySpace_Summary LR1" xfId="649" xr:uid="{00000000-0005-0000-0000-000058020000}"/>
    <cellStyle name="_CurrencySpace_Valuation Summary" xfId="650" xr:uid="{00000000-0005-0000-0000-000059020000}"/>
    <cellStyle name="_D_Consolidated2" xfId="651" xr:uid="{00000000-0005-0000-0000-00005A020000}"/>
    <cellStyle name="_Dados Macro - Setembro 07" xfId="652" xr:uid="{00000000-0005-0000-0000-00005B020000}"/>
    <cellStyle name="_Data_TEP_мес (rep &amp; affil-2 (2)" xfId="653" xr:uid="{00000000-0005-0000-0000-00005C020000}"/>
    <cellStyle name="_Daughter_Companies_G&amp;A" xfId="654" xr:uid="{00000000-0005-0000-0000-00005D020000}"/>
    <cellStyle name="_Daughter_Companies_G&amp;A_~5055318" xfId="655" xr:uid="{00000000-0005-0000-0000-00005E020000}"/>
    <cellStyle name="_Daughter_Companies_G&amp;A_~5055318_debt reconciliation_10 11" xfId="656" xr:uid="{00000000-0005-0000-0000-00005F020000}"/>
    <cellStyle name="_Daughter_Companies_G&amp;A_~5055318_EMTN accruals" xfId="657" xr:uid="{00000000-0005-0000-0000-000060020000}"/>
    <cellStyle name="_Daughter_Companies_G&amp;A_~5055318_report_LTD" xfId="658" xr:uid="{00000000-0005-0000-0000-000061020000}"/>
    <cellStyle name="_Daughter_Companies_G&amp;A_~5055318_schedule" xfId="659" xr:uid="{00000000-0005-0000-0000-000062020000}"/>
    <cellStyle name="_DCF030925_vat" xfId="660" xr:uid="{00000000-0005-0000-0000-000063020000}"/>
    <cellStyle name="_DCF030925_vat_" xfId="661" xr:uid="{00000000-0005-0000-0000-000064020000}"/>
    <cellStyle name="_DCFonly" xfId="662" xr:uid="{00000000-0005-0000-0000-000065020000}"/>
    <cellStyle name="_Debt 12m04 CFS 12m 2004" xfId="663" xr:uid="{00000000-0005-0000-0000-000066020000}"/>
    <cellStyle name="_Debt 9m04 CFS 9m 2004 updated" xfId="664" xr:uid="{00000000-0005-0000-0000-000067020000}"/>
    <cellStyle name="_Debt July-Sept'03 (PPM) 170903 " xfId="665" xr:uid="{00000000-0005-0000-0000-000068020000}"/>
    <cellStyle name="_Debt July-Sept'03 (PPM) 170903  2" xfId="666" xr:uid="{00000000-0005-0000-0000-000069020000}"/>
    <cellStyle name="_Debt repayment 190204 2" xfId="667" xr:uid="{00000000-0005-0000-0000-00006A020000}"/>
    <cellStyle name="_Dell with sensitivity" xfId="668" xr:uid="{00000000-0005-0000-0000-00006B020000}"/>
    <cellStyle name="_Dell with sensitivity_Copy of CNL Consolidated model_v.FPL_v37" xfId="669" xr:uid="{00000000-0005-0000-0000-00006C020000}"/>
    <cellStyle name="_Dell with sensitivity_Copy of CNL Consolidated model_v.FPL_v37_Exelon Power Fuel Forecast - Project P 6-11-2004 ver21" xfId="670" xr:uid="{00000000-0005-0000-0000-00006D020000}"/>
    <cellStyle name="_Dell with sensitivity_Copy of CNL Consolidated model_v.FPL_v37_ML Outputs" xfId="671" xr:uid="{00000000-0005-0000-0000-00006E020000}"/>
    <cellStyle name="_Dell with sensitivity_Copy of CNL Consolidated model_v.FPL_v37_Project Forest Pro Forma Model v58" xfId="672" xr:uid="{00000000-0005-0000-0000-00006F020000}"/>
    <cellStyle name="_Dell with sensitivity_D_Consolidated2" xfId="673" xr:uid="{00000000-0005-0000-0000-000070020000}"/>
    <cellStyle name="_Dell with sensitivity_Model v9.8" xfId="674" xr:uid="{00000000-0005-0000-0000-000071020000}"/>
    <cellStyle name="_Dell with sensitivity_Mutilples Template2" xfId="675" xr:uid="{00000000-0005-0000-0000-000072020000}"/>
    <cellStyle name="_Dell with sensitivity_Mutilples Template2_Exelon Power Fuel Forecast - Project P 6-11-2004 ver21" xfId="676" xr:uid="{00000000-0005-0000-0000-000073020000}"/>
    <cellStyle name="_Dell with sensitivity_Mutilples Template2_ML Outputs" xfId="677" xr:uid="{00000000-0005-0000-0000-000074020000}"/>
    <cellStyle name="_Dell with sensitivity_Mutilples Template2_Project Forest Pro Forma Model v58" xfId="678" xr:uid="{00000000-0005-0000-0000-000075020000}"/>
    <cellStyle name="_Dell with sensitivity_pom consolidated v3" xfId="679" xr:uid="{00000000-0005-0000-0000-000076020000}"/>
    <cellStyle name="_Dell with sensitivity_pom consolidated v3_Exelon Power Fuel Forecast - Project P 6-11-2004 ver21" xfId="680" xr:uid="{00000000-0005-0000-0000-000077020000}"/>
    <cellStyle name="_Dell with sensitivity_pom consolidated v3_ML Outputs" xfId="681" xr:uid="{00000000-0005-0000-0000-000078020000}"/>
    <cellStyle name="_Dell with sensitivity_pom consolidated v3_Project Forest Pro Forma Model v58" xfId="682" xr:uid="{00000000-0005-0000-0000-000079020000}"/>
    <cellStyle name="_Dell_6c_Stdv10_sensitivity sheet" xfId="683" xr:uid="{00000000-0005-0000-0000-00007A020000}"/>
    <cellStyle name="_Dell_6c_Stdv10_sensitivity sheet_Copy of CNL Consolidated model_v.FPL_v37" xfId="684" xr:uid="{00000000-0005-0000-0000-00007B020000}"/>
    <cellStyle name="_Dell_6c_Stdv10_sensitivity sheet_Copy of CNL Consolidated model_v.FPL_v37_Exelon Power Fuel Forecast - Project P 6-11-2004 ver21" xfId="685" xr:uid="{00000000-0005-0000-0000-00007C020000}"/>
    <cellStyle name="_Dell_6c_Stdv10_sensitivity sheet_Copy of CNL Consolidated model_v.FPL_v37_ML Outputs" xfId="686" xr:uid="{00000000-0005-0000-0000-00007D020000}"/>
    <cellStyle name="_Dell_6c_Stdv10_sensitivity sheet_Copy of CNL Consolidated model_v.FPL_v37_Project Forest Pro Forma Model v58" xfId="687" xr:uid="{00000000-0005-0000-0000-00007E020000}"/>
    <cellStyle name="_Dell_6c_Stdv10_sensitivity sheet_D_Consolidated2" xfId="688" xr:uid="{00000000-0005-0000-0000-00007F020000}"/>
    <cellStyle name="_Dell_6c_Stdv10_sensitivity sheet_Model v9.8" xfId="689" xr:uid="{00000000-0005-0000-0000-000080020000}"/>
    <cellStyle name="_Dell_6c_Stdv10_sensitivity sheet_Mutilples Template2" xfId="690" xr:uid="{00000000-0005-0000-0000-000081020000}"/>
    <cellStyle name="_Dell_6c_Stdv10_sensitivity sheet_Mutilples Template2_Exelon Power Fuel Forecast - Project P 6-11-2004 ver21" xfId="691" xr:uid="{00000000-0005-0000-0000-000082020000}"/>
    <cellStyle name="_Dell_6c_Stdv10_sensitivity sheet_Mutilples Template2_ML Outputs" xfId="692" xr:uid="{00000000-0005-0000-0000-000083020000}"/>
    <cellStyle name="_Dell_6c_Stdv10_sensitivity sheet_Mutilples Template2_Project Forest Pro Forma Model v58" xfId="693" xr:uid="{00000000-0005-0000-0000-000084020000}"/>
    <cellStyle name="_Dell_6c_Stdv10_sensitivity sheet_pom consolidated v3" xfId="694" xr:uid="{00000000-0005-0000-0000-000085020000}"/>
    <cellStyle name="_Dell_6c_Stdv10_sensitivity sheet_pom consolidated v3_Exelon Power Fuel Forecast - Project P 6-11-2004 ver21" xfId="695" xr:uid="{00000000-0005-0000-0000-000086020000}"/>
    <cellStyle name="_Dell_6c_Stdv10_sensitivity sheet_pom consolidated v3_ML Outputs" xfId="696" xr:uid="{00000000-0005-0000-0000-000087020000}"/>
    <cellStyle name="_Dell_6c_Stdv10_sensitivity sheet_pom consolidated v3_Project Forest Pro Forma Model v58" xfId="697" xr:uid="{00000000-0005-0000-0000-000088020000}"/>
    <cellStyle name="_Dell_Level_6c" xfId="698" xr:uid="{00000000-0005-0000-0000-000089020000}"/>
    <cellStyle name="_Dell_Level_6c_Copy of CNL Consolidated model_v.FPL_v37" xfId="699" xr:uid="{00000000-0005-0000-0000-00008A020000}"/>
    <cellStyle name="_Dell_Level_6c_Copy of CNL Consolidated model_v.FPL_v37_Exelon Power Fuel Forecast - Project P 6-11-2004 ver21" xfId="700" xr:uid="{00000000-0005-0000-0000-00008B020000}"/>
    <cellStyle name="_Dell_Level_6c_Copy of CNL Consolidated model_v.FPL_v37_ML Outputs" xfId="701" xr:uid="{00000000-0005-0000-0000-00008C020000}"/>
    <cellStyle name="_Dell_Level_6c_Copy of CNL Consolidated model_v.FPL_v37_Project Forest Pro Forma Model v58" xfId="702" xr:uid="{00000000-0005-0000-0000-00008D020000}"/>
    <cellStyle name="_Dell_Level_6c_D_Consolidated2" xfId="703" xr:uid="{00000000-0005-0000-0000-00008E020000}"/>
    <cellStyle name="_Dell_Level_6c_Model v9.8" xfId="704" xr:uid="{00000000-0005-0000-0000-00008F020000}"/>
    <cellStyle name="_Dell_Level_6c_Mutilples Template2" xfId="705" xr:uid="{00000000-0005-0000-0000-000090020000}"/>
    <cellStyle name="_Dell_Level_6c_Mutilples Template2_Exelon Power Fuel Forecast - Project P 6-11-2004 ver21" xfId="706" xr:uid="{00000000-0005-0000-0000-000091020000}"/>
    <cellStyle name="_Dell_Level_6c_Mutilples Template2_ML Outputs" xfId="707" xr:uid="{00000000-0005-0000-0000-000092020000}"/>
    <cellStyle name="_Dell_Level_6c_Mutilples Template2_Project Forest Pro Forma Model v58" xfId="708" xr:uid="{00000000-0005-0000-0000-000093020000}"/>
    <cellStyle name="_Dell_Level_6c_pom consolidated v3" xfId="709" xr:uid="{00000000-0005-0000-0000-000094020000}"/>
    <cellStyle name="_Dell_Level_6c_pom consolidated v3_Exelon Power Fuel Forecast - Project P 6-11-2004 ver21" xfId="710" xr:uid="{00000000-0005-0000-0000-000095020000}"/>
    <cellStyle name="_Dell_Level_6c_pom consolidated v3_ML Outputs" xfId="711" xr:uid="{00000000-0005-0000-0000-000096020000}"/>
    <cellStyle name="_Dell_Level_6c_pom consolidated v3_Project Forest Pro Forma Model v58" xfId="712" xr:uid="{00000000-0005-0000-0000-000097020000}"/>
    <cellStyle name="_Diamantina 050218 1300 hrs_RP1" xfId="713" xr:uid="{00000000-0005-0000-0000-000098020000}"/>
    <cellStyle name="_Diamantina 050224 ..." xfId="714" xr:uid="{00000000-0005-0000-0000-000099020000}"/>
    <cellStyle name="_Diamantina 050224 2123 hrs" xfId="715" xr:uid="{00000000-0005-0000-0000-00009A020000}"/>
    <cellStyle name="_DIF-2_Graf_6mo03" xfId="716" xr:uid="{00000000-0005-0000-0000-00009B020000}"/>
    <cellStyle name="_DIF-2_Graf_6mo03_~5055318" xfId="717" xr:uid="{00000000-0005-0000-0000-00009C020000}"/>
    <cellStyle name="_DIF-2_Graf_6mo03_~5055318_debt reconciliation_10 11" xfId="718" xr:uid="{00000000-0005-0000-0000-00009D020000}"/>
    <cellStyle name="_DIF-2_Graf_6mo03_~5055318_EMTN accruals" xfId="719" xr:uid="{00000000-0005-0000-0000-00009E020000}"/>
    <cellStyle name="_DIF-2_Graf_6mo03_~5055318_report_LTD" xfId="720" xr:uid="{00000000-0005-0000-0000-00009F020000}"/>
    <cellStyle name="_DIF-2_Graf_6mo03_~5055318_schedule" xfId="721" xr:uid="{00000000-0005-0000-0000-0000A0020000}"/>
    <cellStyle name="_Dollar" xfId="722" xr:uid="{00000000-0005-0000-0000-0000A1020000}"/>
    <cellStyle name="_Dollar_Merger_Plans_Stockholm_799 revised02" xfId="723" xr:uid="{00000000-0005-0000-0000-0000A2020000}"/>
    <cellStyle name="_Dollar_qwst2, 1-16" xfId="724" xr:uid="{00000000-0005-0000-0000-0000A3020000}"/>
    <cellStyle name="_Downstream MR-STL BU" xfId="725" xr:uid="{00000000-0005-0000-0000-0000A4020000}"/>
    <cellStyle name="_Downstream MR-STL BU_~5055318" xfId="726" xr:uid="{00000000-0005-0000-0000-0000A5020000}"/>
    <cellStyle name="_Drill" xfId="727" xr:uid="{00000000-0005-0000-0000-0000A6020000}"/>
    <cellStyle name="_DS Bricks" xfId="728" xr:uid="{00000000-0005-0000-0000-0000A7020000}"/>
    <cellStyle name="_Ea" xfId="729" xr:uid="{00000000-0005-0000-0000-0000A8020000}"/>
    <cellStyle name="_ECP Model v30 B" xfId="730" xr:uid="{00000000-0005-0000-0000-0000A9020000}"/>
    <cellStyle name="_ECP Model v30 B_Copy of CNL Consolidated model_v.FPL_v37" xfId="731" xr:uid="{00000000-0005-0000-0000-0000AA020000}"/>
    <cellStyle name="_ECP Model v30 B_Copy of CNL Consolidated model_v.FPL_v37_Exelon Power Fuel Forecast - Project P 6-11-2004 ver21" xfId="732" xr:uid="{00000000-0005-0000-0000-0000AB020000}"/>
    <cellStyle name="_ECP Model v30 B_Copy of CNL Consolidated model_v.FPL_v37_ML Outputs" xfId="733" xr:uid="{00000000-0005-0000-0000-0000AC020000}"/>
    <cellStyle name="_ECP Model v30 B_Copy of CNL Consolidated model_v.FPL_v37_Project Forest Pro Forma Model v58" xfId="734" xr:uid="{00000000-0005-0000-0000-0000AD020000}"/>
    <cellStyle name="_ECP Model v30 B_D_Consolidated2" xfId="735" xr:uid="{00000000-0005-0000-0000-0000AE020000}"/>
    <cellStyle name="_ECP Model v30 B_Model v9.8" xfId="736" xr:uid="{00000000-0005-0000-0000-0000AF020000}"/>
    <cellStyle name="_ECP Model v30 B_Mutilples Template2" xfId="737" xr:uid="{00000000-0005-0000-0000-0000B0020000}"/>
    <cellStyle name="_ECP Model v30 B_Mutilples Template2_Exelon Power Fuel Forecast - Project P 6-11-2004 ver21" xfId="738" xr:uid="{00000000-0005-0000-0000-0000B1020000}"/>
    <cellStyle name="_ECP Model v30 B_Mutilples Template2_ML Outputs" xfId="739" xr:uid="{00000000-0005-0000-0000-0000B2020000}"/>
    <cellStyle name="_ECP Model v30 B_Mutilples Template2_Project Forest Pro Forma Model v58" xfId="740" xr:uid="{00000000-0005-0000-0000-0000B3020000}"/>
    <cellStyle name="_ECP Model v30 B_pom consolidated v3" xfId="741" xr:uid="{00000000-0005-0000-0000-0000B4020000}"/>
    <cellStyle name="_ECP Model v30 B_pom consolidated v3_Exelon Power Fuel Forecast - Project P 6-11-2004 ver21" xfId="742" xr:uid="{00000000-0005-0000-0000-0000B5020000}"/>
    <cellStyle name="_ECP Model v30 B_pom consolidated v3_ML Outputs" xfId="743" xr:uid="{00000000-0005-0000-0000-0000B6020000}"/>
    <cellStyle name="_ECP Model v30 B_pom consolidated v3_Project Forest Pro Forma Model v58" xfId="744" xr:uid="{00000000-0005-0000-0000-0000B7020000}"/>
    <cellStyle name="_ECP Model v65" xfId="745" xr:uid="{00000000-0005-0000-0000-0000B8020000}"/>
    <cellStyle name="_ECP Model v65_Copy of CNL Consolidated model_v.FPL_v37" xfId="746" xr:uid="{00000000-0005-0000-0000-0000B9020000}"/>
    <cellStyle name="_ECP Model v65_Copy of CNL Consolidated model_v.FPL_v37_Exelon Power Fuel Forecast - Project P 6-11-2004 ver21" xfId="747" xr:uid="{00000000-0005-0000-0000-0000BA020000}"/>
    <cellStyle name="_ECP Model v65_Copy of CNL Consolidated model_v.FPL_v37_ML Outputs" xfId="748" xr:uid="{00000000-0005-0000-0000-0000BB020000}"/>
    <cellStyle name="_ECP Model v65_Copy of CNL Consolidated model_v.FPL_v37_Project Forest Pro Forma Model v58" xfId="749" xr:uid="{00000000-0005-0000-0000-0000BC020000}"/>
    <cellStyle name="_ECP Model v65_D_Consolidated2" xfId="750" xr:uid="{00000000-0005-0000-0000-0000BD020000}"/>
    <cellStyle name="_ECP Model v65_Model v9.8" xfId="751" xr:uid="{00000000-0005-0000-0000-0000BE020000}"/>
    <cellStyle name="_ECP Model v65_Mutilples Template2" xfId="752" xr:uid="{00000000-0005-0000-0000-0000BF020000}"/>
    <cellStyle name="_ECP Model v65_Mutilples Template2_Exelon Power Fuel Forecast - Project P 6-11-2004 ver21" xfId="753" xr:uid="{00000000-0005-0000-0000-0000C0020000}"/>
    <cellStyle name="_ECP Model v65_Mutilples Template2_ML Outputs" xfId="754" xr:uid="{00000000-0005-0000-0000-0000C1020000}"/>
    <cellStyle name="_ECP Model v65_Mutilples Template2_Project Forest Pro Forma Model v58" xfId="755" xr:uid="{00000000-0005-0000-0000-0000C2020000}"/>
    <cellStyle name="_ECP Model v65_pom consolidated v3" xfId="756" xr:uid="{00000000-0005-0000-0000-0000C3020000}"/>
    <cellStyle name="_ECP Model v65_pom consolidated v3_Exelon Power Fuel Forecast - Project P 6-11-2004 ver21" xfId="757" xr:uid="{00000000-0005-0000-0000-0000C4020000}"/>
    <cellStyle name="_ECP Model v65_pom consolidated v3_ML Outputs" xfId="758" xr:uid="{00000000-0005-0000-0000-0000C5020000}"/>
    <cellStyle name="_ECP Model v65_pom consolidated v3_Project Forest Pro Forma Model v58" xfId="759" xr:uid="{00000000-0005-0000-0000-0000C6020000}"/>
    <cellStyle name="_ecp new - Enron buyout 01-05-01" xfId="760" xr:uid="{00000000-0005-0000-0000-0000C7020000}"/>
    <cellStyle name="_ecp new - Enron buyout 01-05-01_Copy of CNL Consolidated model_v.FPL_v37" xfId="761" xr:uid="{00000000-0005-0000-0000-0000C8020000}"/>
    <cellStyle name="_ecp new - Enron buyout 01-05-01_Copy of CNL Consolidated model_v.FPL_v37_Exelon Power Fuel Forecast - Project P 6-11-2004 ver21" xfId="762" xr:uid="{00000000-0005-0000-0000-0000C9020000}"/>
    <cellStyle name="_ecp new - Enron buyout 01-05-01_Copy of CNL Consolidated model_v.FPL_v37_ML Outputs" xfId="763" xr:uid="{00000000-0005-0000-0000-0000CA020000}"/>
    <cellStyle name="_ecp new - Enron buyout 01-05-01_Copy of CNL Consolidated model_v.FPL_v37_Project Forest Pro Forma Model v58" xfId="764" xr:uid="{00000000-0005-0000-0000-0000CB020000}"/>
    <cellStyle name="_ecp new - Enron buyout 01-05-01_D_Consolidated2" xfId="765" xr:uid="{00000000-0005-0000-0000-0000CC020000}"/>
    <cellStyle name="_ecp new - Enron buyout 01-05-01_Model v9.8" xfId="766" xr:uid="{00000000-0005-0000-0000-0000CD020000}"/>
    <cellStyle name="_ecp new - Enron buyout 01-05-01_Mutilples Template2" xfId="767" xr:uid="{00000000-0005-0000-0000-0000CE020000}"/>
    <cellStyle name="_ecp new - Enron buyout 01-05-01_Mutilples Template2_Exelon Power Fuel Forecast - Project P 6-11-2004 ver21" xfId="768" xr:uid="{00000000-0005-0000-0000-0000CF020000}"/>
    <cellStyle name="_ecp new - Enron buyout 01-05-01_Mutilples Template2_ML Outputs" xfId="769" xr:uid="{00000000-0005-0000-0000-0000D0020000}"/>
    <cellStyle name="_ecp new - Enron buyout 01-05-01_Mutilples Template2_Project Forest Pro Forma Model v58" xfId="770" xr:uid="{00000000-0005-0000-0000-0000D1020000}"/>
    <cellStyle name="_ecp new - Enron buyout 01-05-01_pom consolidated v3" xfId="771" xr:uid="{00000000-0005-0000-0000-0000D2020000}"/>
    <cellStyle name="_ecp new - Enron buyout 01-05-01_pom consolidated v3_Exelon Power Fuel Forecast - Project P 6-11-2004 ver21" xfId="772" xr:uid="{00000000-0005-0000-0000-0000D3020000}"/>
    <cellStyle name="_ecp new - Enron buyout 01-05-01_pom consolidated v3_ML Outputs" xfId="773" xr:uid="{00000000-0005-0000-0000-0000D4020000}"/>
    <cellStyle name="_ecp new - Enron buyout 01-05-01_pom consolidated v3_Project Forest Pro Forma Model v58" xfId="774" xr:uid="{00000000-0005-0000-0000-0000D5020000}"/>
    <cellStyle name="_ecp new - Enron buyout 04-09-01" xfId="775" xr:uid="{00000000-0005-0000-0000-0000D6020000}"/>
    <cellStyle name="_ecp new - Enron buyout 04-09-01_Copy of CNL Consolidated model_v.FPL_v37" xfId="776" xr:uid="{00000000-0005-0000-0000-0000D7020000}"/>
    <cellStyle name="_ecp new - Enron buyout 04-09-01_Copy of CNL Consolidated model_v.FPL_v37_Exelon Power Fuel Forecast - Project P 6-11-2004 ver21" xfId="777" xr:uid="{00000000-0005-0000-0000-0000D8020000}"/>
    <cellStyle name="_ecp new - Enron buyout 04-09-01_Copy of CNL Consolidated model_v.FPL_v37_ML Outputs" xfId="778" xr:uid="{00000000-0005-0000-0000-0000D9020000}"/>
    <cellStyle name="_ecp new - Enron buyout 04-09-01_Copy of CNL Consolidated model_v.FPL_v37_Project Forest Pro Forma Model v58" xfId="779" xr:uid="{00000000-0005-0000-0000-0000DA020000}"/>
    <cellStyle name="_ecp new - Enron buyout 04-09-01_D_Consolidated2" xfId="780" xr:uid="{00000000-0005-0000-0000-0000DB020000}"/>
    <cellStyle name="_ecp new - Enron buyout 04-09-01_Model v9.8" xfId="781" xr:uid="{00000000-0005-0000-0000-0000DC020000}"/>
    <cellStyle name="_ecp new - Enron buyout 04-09-01_Mutilples Template2" xfId="782" xr:uid="{00000000-0005-0000-0000-0000DD020000}"/>
    <cellStyle name="_ecp new - Enron buyout 04-09-01_Mutilples Template2_Exelon Power Fuel Forecast - Project P 6-11-2004 ver21" xfId="783" xr:uid="{00000000-0005-0000-0000-0000DE020000}"/>
    <cellStyle name="_ecp new - Enron buyout 04-09-01_Mutilples Template2_ML Outputs" xfId="784" xr:uid="{00000000-0005-0000-0000-0000DF020000}"/>
    <cellStyle name="_ecp new - Enron buyout 04-09-01_Mutilples Template2_Project Forest Pro Forma Model v58" xfId="785" xr:uid="{00000000-0005-0000-0000-0000E0020000}"/>
    <cellStyle name="_ecp new - Enron buyout 04-09-01_pom consolidated v3" xfId="786" xr:uid="{00000000-0005-0000-0000-0000E1020000}"/>
    <cellStyle name="_ecp new - Enron buyout 04-09-01_pom consolidated v3_Exelon Power Fuel Forecast - Project P 6-11-2004 ver21" xfId="787" xr:uid="{00000000-0005-0000-0000-0000E2020000}"/>
    <cellStyle name="_ecp new - Enron buyout 04-09-01_pom consolidated v3_ML Outputs" xfId="788" xr:uid="{00000000-0005-0000-0000-0000E3020000}"/>
    <cellStyle name="_ecp new - Enron buyout 04-09-01_pom consolidated v3_Project Forest Pro Forma Model v58" xfId="789" xr:uid="{00000000-0005-0000-0000-0000E4020000}"/>
    <cellStyle name="_ecp new 10" xfId="790" xr:uid="{00000000-0005-0000-0000-0000E5020000}"/>
    <cellStyle name="_ecp new 10_Copy of CNL Consolidated model_v.FPL_v37" xfId="791" xr:uid="{00000000-0005-0000-0000-0000E6020000}"/>
    <cellStyle name="_ecp new 10_Copy of CNL Consolidated model_v.FPL_v37_Exelon Power Fuel Forecast - Project P 6-11-2004 ver21" xfId="792" xr:uid="{00000000-0005-0000-0000-0000E7020000}"/>
    <cellStyle name="_ecp new 10_Copy of CNL Consolidated model_v.FPL_v37_ML Outputs" xfId="793" xr:uid="{00000000-0005-0000-0000-0000E8020000}"/>
    <cellStyle name="_ecp new 10_Copy of CNL Consolidated model_v.FPL_v37_Project Forest Pro Forma Model v58" xfId="794" xr:uid="{00000000-0005-0000-0000-0000E9020000}"/>
    <cellStyle name="_ecp new 10_D_Consolidated2" xfId="795" xr:uid="{00000000-0005-0000-0000-0000EA020000}"/>
    <cellStyle name="_ecp new 10_Model v9.8" xfId="796" xr:uid="{00000000-0005-0000-0000-0000EB020000}"/>
    <cellStyle name="_ecp new 10_Mutilples Template2" xfId="797" xr:uid="{00000000-0005-0000-0000-0000EC020000}"/>
    <cellStyle name="_ecp new 10_Mutilples Template2_Exelon Power Fuel Forecast - Project P 6-11-2004 ver21" xfId="798" xr:uid="{00000000-0005-0000-0000-0000ED020000}"/>
    <cellStyle name="_ecp new 10_Mutilples Template2_ML Outputs" xfId="799" xr:uid="{00000000-0005-0000-0000-0000EE020000}"/>
    <cellStyle name="_ecp new 10_Mutilples Template2_Project Forest Pro Forma Model v58" xfId="800" xr:uid="{00000000-0005-0000-0000-0000EF020000}"/>
    <cellStyle name="_ecp new 10_pom consolidated v3" xfId="801" xr:uid="{00000000-0005-0000-0000-0000F0020000}"/>
    <cellStyle name="_ecp new 10_pom consolidated v3_Exelon Power Fuel Forecast - Project P 6-11-2004 ver21" xfId="802" xr:uid="{00000000-0005-0000-0000-0000F1020000}"/>
    <cellStyle name="_ecp new 10_pom consolidated v3_ML Outputs" xfId="803" xr:uid="{00000000-0005-0000-0000-0000F2020000}"/>
    <cellStyle name="_ecp new 10_pom consolidated v3_Project Forest Pro Forma Model v58" xfId="804" xr:uid="{00000000-0005-0000-0000-0000F3020000}"/>
    <cellStyle name="_El Dora1" xfId="805" xr:uid="{00000000-0005-0000-0000-0000F4020000}"/>
    <cellStyle name="_El Dora1_Copy of CNL Consolidated model_v.FPL_v37" xfId="806" xr:uid="{00000000-0005-0000-0000-0000F5020000}"/>
    <cellStyle name="_El Dora1_Copy of CNL Consolidated model_v.FPL_v37_Exelon Power Fuel Forecast - Project P 6-11-2004 ver21" xfId="807" xr:uid="{00000000-0005-0000-0000-0000F6020000}"/>
    <cellStyle name="_El Dora1_Copy of CNL Consolidated model_v.FPL_v37_ML Outputs" xfId="808" xr:uid="{00000000-0005-0000-0000-0000F7020000}"/>
    <cellStyle name="_El Dora1_Copy of CNL Consolidated model_v.FPL_v37_Project Forest Pro Forma Model v58" xfId="809" xr:uid="{00000000-0005-0000-0000-0000F8020000}"/>
    <cellStyle name="_El Dora1_D_Consolidated2" xfId="810" xr:uid="{00000000-0005-0000-0000-0000F9020000}"/>
    <cellStyle name="_El Dora1_Model v9.8" xfId="811" xr:uid="{00000000-0005-0000-0000-0000FA020000}"/>
    <cellStyle name="_El Dora1_Mutilples Template2" xfId="812" xr:uid="{00000000-0005-0000-0000-0000FB020000}"/>
    <cellStyle name="_El Dora1_Mutilples Template2_Exelon Power Fuel Forecast - Project P 6-11-2004 ver21" xfId="813" xr:uid="{00000000-0005-0000-0000-0000FC020000}"/>
    <cellStyle name="_El Dora1_Mutilples Template2_ML Outputs" xfId="814" xr:uid="{00000000-0005-0000-0000-0000FD020000}"/>
    <cellStyle name="_El Dora1_Mutilples Template2_Project Forest Pro Forma Model v58" xfId="815" xr:uid="{00000000-0005-0000-0000-0000FE020000}"/>
    <cellStyle name="_El Dora1_pom consolidated v3" xfId="816" xr:uid="{00000000-0005-0000-0000-0000FF020000}"/>
    <cellStyle name="_El Dora1_pom consolidated v3_Exelon Power Fuel Forecast - Project P 6-11-2004 ver21" xfId="817" xr:uid="{00000000-0005-0000-0000-000000030000}"/>
    <cellStyle name="_El Dora1_pom consolidated v3_ML Outputs" xfId="818" xr:uid="{00000000-0005-0000-0000-000001030000}"/>
    <cellStyle name="_El Dora1_pom consolidated v3_Project Forest Pro Forma Model v58" xfId="819" xr:uid="{00000000-0005-0000-0000-000002030000}"/>
    <cellStyle name="_El Dorado - 0100 v2" xfId="820" xr:uid="{00000000-0005-0000-0000-000003030000}"/>
    <cellStyle name="_El Dorado - 0100 v2_Copy of CNL Consolidated model_v.FPL_v37" xfId="821" xr:uid="{00000000-0005-0000-0000-000004030000}"/>
    <cellStyle name="_El Dorado - 0100 v2_Copy of CNL Consolidated model_v.FPL_v37_Exelon Power Fuel Forecast - Project P 6-11-2004 ver21" xfId="822" xr:uid="{00000000-0005-0000-0000-000005030000}"/>
    <cellStyle name="_El Dorado - 0100 v2_Copy of CNL Consolidated model_v.FPL_v37_ML Outputs" xfId="823" xr:uid="{00000000-0005-0000-0000-000006030000}"/>
    <cellStyle name="_El Dorado - 0100 v2_Copy of CNL Consolidated model_v.FPL_v37_Project Forest Pro Forma Model v58" xfId="824" xr:uid="{00000000-0005-0000-0000-000007030000}"/>
    <cellStyle name="_El Dorado - 0100 v2_D_Consolidated2" xfId="825" xr:uid="{00000000-0005-0000-0000-000008030000}"/>
    <cellStyle name="_El Dorado - 0100 v2_Model v9.8" xfId="826" xr:uid="{00000000-0005-0000-0000-000009030000}"/>
    <cellStyle name="_El Dorado - 0100 v2_Mutilples Template2" xfId="827" xr:uid="{00000000-0005-0000-0000-00000A030000}"/>
    <cellStyle name="_El Dorado - 0100 v2_Mutilples Template2_Exelon Power Fuel Forecast - Project P 6-11-2004 ver21" xfId="828" xr:uid="{00000000-0005-0000-0000-00000B030000}"/>
    <cellStyle name="_El Dorado - 0100 v2_Mutilples Template2_ML Outputs" xfId="829" xr:uid="{00000000-0005-0000-0000-00000C030000}"/>
    <cellStyle name="_El Dorado - 0100 v2_Mutilples Template2_Project Forest Pro Forma Model v58" xfId="830" xr:uid="{00000000-0005-0000-0000-00000D030000}"/>
    <cellStyle name="_El Dorado - 0100 v2_pom consolidated v3" xfId="831" xr:uid="{00000000-0005-0000-0000-00000E030000}"/>
    <cellStyle name="_El Dorado - 0100 v2_pom consolidated v3_Exelon Power Fuel Forecast - Project P 6-11-2004 ver21" xfId="832" xr:uid="{00000000-0005-0000-0000-00000F030000}"/>
    <cellStyle name="_El Dorado - 0100 v2_pom consolidated v3_ML Outputs" xfId="833" xr:uid="{00000000-0005-0000-0000-000010030000}"/>
    <cellStyle name="_El Dorado - 0100 v2_pom consolidated v3_Project Forest Pro Forma Model v58" xfId="834" xr:uid="{00000000-0005-0000-0000-000011030000}"/>
    <cellStyle name="_El Dorado - 0100 v6" xfId="835" xr:uid="{00000000-0005-0000-0000-000012030000}"/>
    <cellStyle name="_El Dorado - 0100 v6_Copy of CNL Consolidated model_v.FPL_v37" xfId="836" xr:uid="{00000000-0005-0000-0000-000013030000}"/>
    <cellStyle name="_El Dorado - 0100 v6_Copy of CNL Consolidated model_v.FPL_v37_Exelon Power Fuel Forecast - Project P 6-11-2004 ver21" xfId="837" xr:uid="{00000000-0005-0000-0000-000014030000}"/>
    <cellStyle name="_El Dorado - 0100 v6_Copy of CNL Consolidated model_v.FPL_v37_ML Outputs" xfId="838" xr:uid="{00000000-0005-0000-0000-000015030000}"/>
    <cellStyle name="_El Dorado - 0100 v6_Copy of CNL Consolidated model_v.FPL_v37_Project Forest Pro Forma Model v58" xfId="839" xr:uid="{00000000-0005-0000-0000-000016030000}"/>
    <cellStyle name="_El Dorado - 0100 v6_D_Consolidated2" xfId="840" xr:uid="{00000000-0005-0000-0000-000017030000}"/>
    <cellStyle name="_El Dorado - 0100 v6_Model v9.8" xfId="841" xr:uid="{00000000-0005-0000-0000-000018030000}"/>
    <cellStyle name="_El Dorado - 0100 v6_Mutilples Template2" xfId="842" xr:uid="{00000000-0005-0000-0000-000019030000}"/>
    <cellStyle name="_El Dorado - 0100 v6_Mutilples Template2_Exelon Power Fuel Forecast - Project P 6-11-2004 ver21" xfId="843" xr:uid="{00000000-0005-0000-0000-00001A030000}"/>
    <cellStyle name="_El Dorado - 0100 v6_Mutilples Template2_ML Outputs" xfId="844" xr:uid="{00000000-0005-0000-0000-00001B030000}"/>
    <cellStyle name="_El Dorado - 0100 v6_Mutilples Template2_Project Forest Pro Forma Model v58" xfId="845" xr:uid="{00000000-0005-0000-0000-00001C030000}"/>
    <cellStyle name="_El Dorado - 0100 v6_pom consolidated v3" xfId="846" xr:uid="{00000000-0005-0000-0000-00001D030000}"/>
    <cellStyle name="_El Dorado - 0100 v6_pom consolidated v3_Exelon Power Fuel Forecast - Project P 6-11-2004 ver21" xfId="847" xr:uid="{00000000-0005-0000-0000-00001E030000}"/>
    <cellStyle name="_El Dorado - 0100 v6_pom consolidated v3_ML Outputs" xfId="848" xr:uid="{00000000-0005-0000-0000-00001F030000}"/>
    <cellStyle name="_El Dorado - 0100 v6_pom consolidated v3_Project Forest Pro Forma Model v58" xfId="849" xr:uid="{00000000-0005-0000-0000-000020030000}"/>
    <cellStyle name="_El Dorado - Bank Version 1-15" xfId="850" xr:uid="{00000000-0005-0000-0000-000021030000}"/>
    <cellStyle name="_El Dorado - Bank Version 1-15_Copy of CNL Consolidated model_v.FPL_v37" xfId="851" xr:uid="{00000000-0005-0000-0000-000022030000}"/>
    <cellStyle name="_El Dorado - Bank Version 1-15_Copy of CNL Consolidated model_v.FPL_v37_Exelon Power Fuel Forecast - Project P 6-11-2004 ver21" xfId="852" xr:uid="{00000000-0005-0000-0000-000023030000}"/>
    <cellStyle name="_El Dorado - Bank Version 1-15_Copy of CNL Consolidated model_v.FPL_v37_ML Outputs" xfId="853" xr:uid="{00000000-0005-0000-0000-000024030000}"/>
    <cellStyle name="_El Dorado - Bank Version 1-15_Copy of CNL Consolidated model_v.FPL_v37_Project Forest Pro Forma Model v58" xfId="854" xr:uid="{00000000-0005-0000-0000-000025030000}"/>
    <cellStyle name="_El Dorado - Bank Version 1-15_D_Consolidated2" xfId="855" xr:uid="{00000000-0005-0000-0000-000026030000}"/>
    <cellStyle name="_El Dorado - Bank Version 1-15_Model v9.8" xfId="856" xr:uid="{00000000-0005-0000-0000-000027030000}"/>
    <cellStyle name="_El Dorado - Bank Version 1-15_Mutilples Template2" xfId="857" xr:uid="{00000000-0005-0000-0000-000028030000}"/>
    <cellStyle name="_El Dorado - Bank Version 1-15_Mutilples Template2_Exelon Power Fuel Forecast - Project P 6-11-2004 ver21" xfId="858" xr:uid="{00000000-0005-0000-0000-000029030000}"/>
    <cellStyle name="_El Dorado - Bank Version 1-15_Mutilples Template2_ML Outputs" xfId="859" xr:uid="{00000000-0005-0000-0000-00002A030000}"/>
    <cellStyle name="_El Dorado - Bank Version 1-15_Mutilples Template2_Project Forest Pro Forma Model v58" xfId="860" xr:uid="{00000000-0005-0000-0000-00002B030000}"/>
    <cellStyle name="_El Dorado - Bank Version 1-15_pom consolidated v3" xfId="861" xr:uid="{00000000-0005-0000-0000-00002C030000}"/>
    <cellStyle name="_El Dorado - Bank Version 1-15_pom consolidated v3_Exelon Power Fuel Forecast - Project P 6-11-2004 ver21" xfId="862" xr:uid="{00000000-0005-0000-0000-00002D030000}"/>
    <cellStyle name="_El Dorado - Bank Version 1-15_pom consolidated v3_ML Outputs" xfId="863" xr:uid="{00000000-0005-0000-0000-00002E030000}"/>
    <cellStyle name="_El Dorado - Bank Version 1-15_pom consolidated v3_Project Forest Pro Forma Model v58" xfId="864" xr:uid="{00000000-0005-0000-0000-00002F030000}"/>
    <cellStyle name="_El Dorado 0101 v1 early ops test" xfId="865" xr:uid="{00000000-0005-0000-0000-000030030000}"/>
    <cellStyle name="_El Dorado 0101 v1 early ops test_Copy of CNL Consolidated model_v.FPL_v37" xfId="866" xr:uid="{00000000-0005-0000-0000-000031030000}"/>
    <cellStyle name="_El Dorado 0101 v1 early ops test_Copy of CNL Consolidated model_v.FPL_v37_Exelon Power Fuel Forecast - Project P 6-11-2004 ver21" xfId="867" xr:uid="{00000000-0005-0000-0000-000032030000}"/>
    <cellStyle name="_El Dorado 0101 v1 early ops test_Copy of CNL Consolidated model_v.FPL_v37_ML Outputs" xfId="868" xr:uid="{00000000-0005-0000-0000-000033030000}"/>
    <cellStyle name="_El Dorado 0101 v1 early ops test_Copy of CNL Consolidated model_v.FPL_v37_Project Forest Pro Forma Model v58" xfId="869" xr:uid="{00000000-0005-0000-0000-000034030000}"/>
    <cellStyle name="_El Dorado 0101 v1 early ops test_D_Consolidated2" xfId="870" xr:uid="{00000000-0005-0000-0000-000035030000}"/>
    <cellStyle name="_El Dorado 0101 v1 early ops test_Model v9.8" xfId="871" xr:uid="{00000000-0005-0000-0000-000036030000}"/>
    <cellStyle name="_El Dorado 0101 v1 early ops test_Mutilples Template2" xfId="872" xr:uid="{00000000-0005-0000-0000-000037030000}"/>
    <cellStyle name="_El Dorado 0101 v1 early ops test_Mutilples Template2_Exelon Power Fuel Forecast - Project P 6-11-2004 ver21" xfId="873" xr:uid="{00000000-0005-0000-0000-000038030000}"/>
    <cellStyle name="_El Dorado 0101 v1 early ops test_Mutilples Template2_ML Outputs" xfId="874" xr:uid="{00000000-0005-0000-0000-000039030000}"/>
    <cellStyle name="_El Dorado 0101 v1 early ops test_Mutilples Template2_Project Forest Pro Forma Model v58" xfId="875" xr:uid="{00000000-0005-0000-0000-00003A030000}"/>
    <cellStyle name="_El Dorado 0101 v1 early ops test_pom consolidated v3" xfId="876" xr:uid="{00000000-0005-0000-0000-00003B030000}"/>
    <cellStyle name="_El Dorado 0101 v1 early ops test_pom consolidated v3_Exelon Power Fuel Forecast - Project P 6-11-2004 ver21" xfId="877" xr:uid="{00000000-0005-0000-0000-00003C030000}"/>
    <cellStyle name="_El Dorado 0101 v1 early ops test_pom consolidated v3_ML Outputs" xfId="878" xr:uid="{00000000-0005-0000-0000-00003D030000}"/>
    <cellStyle name="_El Dorado 0101 v1 early ops test_pom consolidated v3_Project Forest Pro Forma Model v58" xfId="879" xr:uid="{00000000-0005-0000-0000-00003E030000}"/>
    <cellStyle name="_El Dorado 1000 v8" xfId="880" xr:uid="{00000000-0005-0000-0000-00003F030000}"/>
    <cellStyle name="_El Dorado 1000 v8_Copy of CNL Consolidated model_v.FPL_v37" xfId="881" xr:uid="{00000000-0005-0000-0000-000040030000}"/>
    <cellStyle name="_El Dorado 1000 v8_Copy of CNL Consolidated model_v.FPL_v37_Exelon Power Fuel Forecast - Project P 6-11-2004 ver21" xfId="882" xr:uid="{00000000-0005-0000-0000-000041030000}"/>
    <cellStyle name="_El Dorado 1000 v8_Copy of CNL Consolidated model_v.FPL_v37_ML Outputs" xfId="883" xr:uid="{00000000-0005-0000-0000-000042030000}"/>
    <cellStyle name="_El Dorado 1000 v8_Copy of CNL Consolidated model_v.FPL_v37_Project Forest Pro Forma Model v58" xfId="884" xr:uid="{00000000-0005-0000-0000-000043030000}"/>
    <cellStyle name="_El Dorado 1000 v8_D_Consolidated2" xfId="885" xr:uid="{00000000-0005-0000-0000-000044030000}"/>
    <cellStyle name="_El Dorado 1000 v8_Model v9.8" xfId="886" xr:uid="{00000000-0005-0000-0000-000045030000}"/>
    <cellStyle name="_El Dorado 1000 v8_Mutilples Template2" xfId="887" xr:uid="{00000000-0005-0000-0000-000046030000}"/>
    <cellStyle name="_El Dorado 1000 v8_Mutilples Template2_Exelon Power Fuel Forecast - Project P 6-11-2004 ver21" xfId="888" xr:uid="{00000000-0005-0000-0000-000047030000}"/>
    <cellStyle name="_El Dorado 1000 v8_Mutilples Template2_ML Outputs" xfId="889" xr:uid="{00000000-0005-0000-0000-000048030000}"/>
    <cellStyle name="_El Dorado 1000 v8_Mutilples Template2_Project Forest Pro Forma Model v58" xfId="890" xr:uid="{00000000-0005-0000-0000-000049030000}"/>
    <cellStyle name="_El Dorado 1000 v8_pom consolidated v3" xfId="891" xr:uid="{00000000-0005-0000-0000-00004A030000}"/>
    <cellStyle name="_El Dorado 1000 v8_pom consolidated v3_Exelon Power Fuel Forecast - Project P 6-11-2004 ver21" xfId="892" xr:uid="{00000000-0005-0000-0000-00004B030000}"/>
    <cellStyle name="_El Dorado 1000 v8_pom consolidated v3_ML Outputs" xfId="893" xr:uid="{00000000-0005-0000-0000-00004C030000}"/>
    <cellStyle name="_El Dorado 1000 v8_pom consolidated v3_Project Forest Pro Forma Model v58" xfId="894" xr:uid="{00000000-0005-0000-0000-00004D030000}"/>
    <cellStyle name="_El Dorado 1100 v1" xfId="895" xr:uid="{00000000-0005-0000-0000-00004E030000}"/>
    <cellStyle name="_El Dorado 1100 v1_Copy of CNL Consolidated model_v.FPL_v37" xfId="896" xr:uid="{00000000-0005-0000-0000-00004F030000}"/>
    <cellStyle name="_El Dorado 1100 v1_Copy of CNL Consolidated model_v.FPL_v37_Exelon Power Fuel Forecast - Project P 6-11-2004 ver21" xfId="897" xr:uid="{00000000-0005-0000-0000-000050030000}"/>
    <cellStyle name="_El Dorado 1100 v1_Copy of CNL Consolidated model_v.FPL_v37_ML Outputs" xfId="898" xr:uid="{00000000-0005-0000-0000-000051030000}"/>
    <cellStyle name="_El Dorado 1100 v1_Copy of CNL Consolidated model_v.FPL_v37_Project Forest Pro Forma Model v58" xfId="899" xr:uid="{00000000-0005-0000-0000-000052030000}"/>
    <cellStyle name="_El Dorado 1100 v1_D_Consolidated2" xfId="900" xr:uid="{00000000-0005-0000-0000-000053030000}"/>
    <cellStyle name="_El Dorado 1100 v1_Model v9.8" xfId="901" xr:uid="{00000000-0005-0000-0000-000054030000}"/>
    <cellStyle name="_El Dorado 1100 v1_Mutilples Template2" xfId="902" xr:uid="{00000000-0005-0000-0000-000055030000}"/>
    <cellStyle name="_El Dorado 1100 v1_Mutilples Template2_Exelon Power Fuel Forecast - Project P 6-11-2004 ver21" xfId="903" xr:uid="{00000000-0005-0000-0000-000056030000}"/>
    <cellStyle name="_El Dorado 1100 v1_Mutilples Template2_ML Outputs" xfId="904" xr:uid="{00000000-0005-0000-0000-000057030000}"/>
    <cellStyle name="_El Dorado 1100 v1_Mutilples Template2_Project Forest Pro Forma Model v58" xfId="905" xr:uid="{00000000-0005-0000-0000-000058030000}"/>
    <cellStyle name="_El Dorado 1100 v1_pom consolidated v3" xfId="906" xr:uid="{00000000-0005-0000-0000-000059030000}"/>
    <cellStyle name="_El Dorado 1100 v1_pom consolidated v3_Exelon Power Fuel Forecast - Project P 6-11-2004 ver21" xfId="907" xr:uid="{00000000-0005-0000-0000-00005A030000}"/>
    <cellStyle name="_El Dorado 1100 v1_pom consolidated v3_ML Outputs" xfId="908" xr:uid="{00000000-0005-0000-0000-00005B030000}"/>
    <cellStyle name="_El Dorado 1100 v1_pom consolidated v3_Project Forest Pro Forma Model v58" xfId="909" xr:uid="{00000000-0005-0000-0000-00005C030000}"/>
    <cellStyle name="_El Dorado 1200 v2 Equity" xfId="910" xr:uid="{00000000-0005-0000-0000-00005D030000}"/>
    <cellStyle name="_El Dorado 1200 v2 Equity_Copy of CNL Consolidated model_v.FPL_v37" xfId="911" xr:uid="{00000000-0005-0000-0000-00005E030000}"/>
    <cellStyle name="_El Dorado 1200 v2 Equity_Copy of CNL Consolidated model_v.FPL_v37_Exelon Power Fuel Forecast - Project P 6-11-2004 ver21" xfId="912" xr:uid="{00000000-0005-0000-0000-00005F030000}"/>
    <cellStyle name="_El Dorado 1200 v2 Equity_Copy of CNL Consolidated model_v.FPL_v37_ML Outputs" xfId="913" xr:uid="{00000000-0005-0000-0000-000060030000}"/>
    <cellStyle name="_El Dorado 1200 v2 Equity_Copy of CNL Consolidated model_v.FPL_v37_Project Forest Pro Forma Model v58" xfId="914" xr:uid="{00000000-0005-0000-0000-000061030000}"/>
    <cellStyle name="_El Dorado 1200 v2 Equity_D_Consolidated2" xfId="915" xr:uid="{00000000-0005-0000-0000-000062030000}"/>
    <cellStyle name="_El Dorado 1200 v2 Equity_Model v9.8" xfId="916" xr:uid="{00000000-0005-0000-0000-000063030000}"/>
    <cellStyle name="_El Dorado 1200 v2 Equity_Mutilples Template2" xfId="917" xr:uid="{00000000-0005-0000-0000-000064030000}"/>
    <cellStyle name="_El Dorado 1200 v2 Equity_Mutilples Template2_Exelon Power Fuel Forecast - Project P 6-11-2004 ver21" xfId="918" xr:uid="{00000000-0005-0000-0000-000065030000}"/>
    <cellStyle name="_El Dorado 1200 v2 Equity_Mutilples Template2_ML Outputs" xfId="919" xr:uid="{00000000-0005-0000-0000-000066030000}"/>
    <cellStyle name="_El Dorado 1200 v2 Equity_Mutilples Template2_Project Forest Pro Forma Model v58" xfId="920" xr:uid="{00000000-0005-0000-0000-000067030000}"/>
    <cellStyle name="_El Dorado 1200 v2 Equity_pom consolidated v3" xfId="921" xr:uid="{00000000-0005-0000-0000-000068030000}"/>
    <cellStyle name="_El Dorado 1200 v2 Equity_pom consolidated v3_Exelon Power Fuel Forecast - Project P 6-11-2004 ver21" xfId="922" xr:uid="{00000000-0005-0000-0000-000069030000}"/>
    <cellStyle name="_El Dorado 1200 v2 Equity_pom consolidated v3_ML Outputs" xfId="923" xr:uid="{00000000-0005-0000-0000-00006A030000}"/>
    <cellStyle name="_El Dorado 1200 v2 Equity_pom consolidated v3_Project Forest Pro Forma Model v58" xfId="924" xr:uid="{00000000-0005-0000-0000-00006B030000}"/>
    <cellStyle name="_El Dorado 3-15" xfId="925" xr:uid="{00000000-0005-0000-0000-00006C030000}"/>
    <cellStyle name="_El Dorado 3-15_Copy of CNL Consolidated model_v.FPL_v37" xfId="926" xr:uid="{00000000-0005-0000-0000-00006D030000}"/>
    <cellStyle name="_El Dorado 3-15_Copy of CNL Consolidated model_v.FPL_v37_Exelon Power Fuel Forecast - Project P 6-11-2004 ver21" xfId="927" xr:uid="{00000000-0005-0000-0000-00006E030000}"/>
    <cellStyle name="_El Dorado 3-15_Copy of CNL Consolidated model_v.FPL_v37_ML Outputs" xfId="928" xr:uid="{00000000-0005-0000-0000-00006F030000}"/>
    <cellStyle name="_El Dorado 3-15_Copy of CNL Consolidated model_v.FPL_v37_Project Forest Pro Forma Model v58" xfId="929" xr:uid="{00000000-0005-0000-0000-000070030000}"/>
    <cellStyle name="_El Dorado 3-15_D_Consolidated2" xfId="930" xr:uid="{00000000-0005-0000-0000-000071030000}"/>
    <cellStyle name="_El Dorado 3-15_Model v9.8" xfId="931" xr:uid="{00000000-0005-0000-0000-000072030000}"/>
    <cellStyle name="_El Dorado 3-15_Mutilples Template2" xfId="932" xr:uid="{00000000-0005-0000-0000-000073030000}"/>
    <cellStyle name="_El Dorado 3-15_Mutilples Template2_Exelon Power Fuel Forecast - Project P 6-11-2004 ver21" xfId="933" xr:uid="{00000000-0005-0000-0000-000074030000}"/>
    <cellStyle name="_El Dorado 3-15_Mutilples Template2_ML Outputs" xfId="934" xr:uid="{00000000-0005-0000-0000-000075030000}"/>
    <cellStyle name="_El Dorado 3-15_Mutilples Template2_Project Forest Pro Forma Model v58" xfId="935" xr:uid="{00000000-0005-0000-0000-000076030000}"/>
    <cellStyle name="_El Dorado 3-15_pom consolidated v3" xfId="936" xr:uid="{00000000-0005-0000-0000-000077030000}"/>
    <cellStyle name="_El Dorado 3-15_pom consolidated v3_Exelon Power Fuel Forecast - Project P 6-11-2004 ver21" xfId="937" xr:uid="{00000000-0005-0000-0000-000078030000}"/>
    <cellStyle name="_El Dorado 3-15_pom consolidated v3_ML Outputs" xfId="938" xr:uid="{00000000-0005-0000-0000-000079030000}"/>
    <cellStyle name="_El Dorado 3-15_pom consolidated v3_Project Forest Pro Forma Model v58" xfId="939" xr:uid="{00000000-0005-0000-0000-00007A030000}"/>
    <cellStyle name="_El Dorado 3-19" xfId="940" xr:uid="{00000000-0005-0000-0000-00007B030000}"/>
    <cellStyle name="_El Dorado 3-19_Copy of CNL Consolidated model_v.FPL_v37" xfId="941" xr:uid="{00000000-0005-0000-0000-00007C030000}"/>
    <cellStyle name="_El Dorado 3-19_Copy of CNL Consolidated model_v.FPL_v37_Exelon Power Fuel Forecast - Project P 6-11-2004 ver21" xfId="942" xr:uid="{00000000-0005-0000-0000-00007D030000}"/>
    <cellStyle name="_El Dorado 3-19_Copy of CNL Consolidated model_v.FPL_v37_ML Outputs" xfId="943" xr:uid="{00000000-0005-0000-0000-00007E030000}"/>
    <cellStyle name="_El Dorado 3-19_Copy of CNL Consolidated model_v.FPL_v37_Project Forest Pro Forma Model v58" xfId="944" xr:uid="{00000000-0005-0000-0000-00007F030000}"/>
    <cellStyle name="_El Dorado 3-19_D_Consolidated2" xfId="945" xr:uid="{00000000-0005-0000-0000-000080030000}"/>
    <cellStyle name="_El Dorado 3-19_Model v9.8" xfId="946" xr:uid="{00000000-0005-0000-0000-000081030000}"/>
    <cellStyle name="_El Dorado 3-19_Mutilples Template2" xfId="947" xr:uid="{00000000-0005-0000-0000-000082030000}"/>
    <cellStyle name="_El Dorado 3-19_Mutilples Template2_Exelon Power Fuel Forecast - Project P 6-11-2004 ver21" xfId="948" xr:uid="{00000000-0005-0000-0000-000083030000}"/>
    <cellStyle name="_El Dorado 3-19_Mutilples Template2_ML Outputs" xfId="949" xr:uid="{00000000-0005-0000-0000-000084030000}"/>
    <cellStyle name="_El Dorado 3-19_Mutilples Template2_Project Forest Pro Forma Model v58" xfId="950" xr:uid="{00000000-0005-0000-0000-000085030000}"/>
    <cellStyle name="_El Dorado 3-19_pom consolidated v3" xfId="951" xr:uid="{00000000-0005-0000-0000-000086030000}"/>
    <cellStyle name="_El Dorado 3-19_pom consolidated v3_Exelon Power Fuel Forecast - Project P 6-11-2004 ver21" xfId="952" xr:uid="{00000000-0005-0000-0000-000087030000}"/>
    <cellStyle name="_El Dorado 3-19_pom consolidated v3_ML Outputs" xfId="953" xr:uid="{00000000-0005-0000-0000-000088030000}"/>
    <cellStyle name="_El Dorado 3-19_pom consolidated v3_Project Forest Pro Forma Model v58" xfId="954" xr:uid="{00000000-0005-0000-0000-000089030000}"/>
    <cellStyle name="_El Dorado Const Bud 06-08-01 Revised 2" xfId="955" xr:uid="{00000000-0005-0000-0000-00008A030000}"/>
    <cellStyle name="_El Dorado Const Bud 06-08-01 Revised 2_Copy of CNL Consolidated model_v.FPL_v37" xfId="956" xr:uid="{00000000-0005-0000-0000-00008B030000}"/>
    <cellStyle name="_El Dorado Const Bud 06-08-01 Revised 2_Copy of CNL Consolidated model_v.FPL_v37_Exelon Power Fuel Forecast - Project P 6-11-2004 ver21" xfId="957" xr:uid="{00000000-0005-0000-0000-00008C030000}"/>
    <cellStyle name="_El Dorado Const Bud 06-08-01 Revised 2_Copy of CNL Consolidated model_v.FPL_v37_ML Outputs" xfId="958" xr:uid="{00000000-0005-0000-0000-00008D030000}"/>
    <cellStyle name="_El Dorado Const Bud 06-08-01 Revised 2_Copy of CNL Consolidated model_v.FPL_v37_Project Forest Pro Forma Model v58" xfId="959" xr:uid="{00000000-0005-0000-0000-00008E030000}"/>
    <cellStyle name="_El Dorado Const Bud 06-08-01 Revised 2_D_Consolidated2" xfId="960" xr:uid="{00000000-0005-0000-0000-00008F030000}"/>
    <cellStyle name="_El Dorado Const Bud 06-08-01 Revised 2_Model v9.8" xfId="961" xr:uid="{00000000-0005-0000-0000-000090030000}"/>
    <cellStyle name="_El Dorado Const Bud 06-08-01 Revised 2_Mutilples Template2" xfId="962" xr:uid="{00000000-0005-0000-0000-000091030000}"/>
    <cellStyle name="_El Dorado Const Bud 06-08-01 Revised 2_Mutilples Template2_Exelon Power Fuel Forecast - Project P 6-11-2004 ver21" xfId="963" xr:uid="{00000000-0005-0000-0000-000092030000}"/>
    <cellStyle name="_El Dorado Const Bud 06-08-01 Revised 2_Mutilples Template2_ML Outputs" xfId="964" xr:uid="{00000000-0005-0000-0000-000093030000}"/>
    <cellStyle name="_El Dorado Const Bud 06-08-01 Revised 2_Mutilples Template2_Project Forest Pro Forma Model v58" xfId="965" xr:uid="{00000000-0005-0000-0000-000094030000}"/>
    <cellStyle name="_El Dorado Const Bud 06-08-01 Revised 2_pom consolidated v3" xfId="966" xr:uid="{00000000-0005-0000-0000-000095030000}"/>
    <cellStyle name="_El Dorado Const Bud 06-08-01 Revised 2_pom consolidated v3_Exelon Power Fuel Forecast - Project P 6-11-2004 ver21" xfId="967" xr:uid="{00000000-0005-0000-0000-000096030000}"/>
    <cellStyle name="_El Dorado Const Bud 06-08-01 Revised 2_pom consolidated v3_ML Outputs" xfId="968" xr:uid="{00000000-0005-0000-0000-000097030000}"/>
    <cellStyle name="_El Dorado Const Bud 06-08-01 Revised 2_pom consolidated v3_Project Forest Pro Forma Model v58" xfId="969" xr:uid="{00000000-0005-0000-0000-000098030000}"/>
    <cellStyle name="_El Dorado Project Model 0900 v2" xfId="970" xr:uid="{00000000-0005-0000-0000-000099030000}"/>
    <cellStyle name="_El Dorado Project Model 0900 v2_Copy of CNL Consolidated model_v.FPL_v37" xfId="971" xr:uid="{00000000-0005-0000-0000-00009A030000}"/>
    <cellStyle name="_El Dorado Project Model 0900 v2_Copy of CNL Consolidated model_v.FPL_v37_Exelon Power Fuel Forecast - Project P 6-11-2004 ver21" xfId="972" xr:uid="{00000000-0005-0000-0000-00009B030000}"/>
    <cellStyle name="_El Dorado Project Model 0900 v2_Copy of CNL Consolidated model_v.FPL_v37_ML Outputs" xfId="973" xr:uid="{00000000-0005-0000-0000-00009C030000}"/>
    <cellStyle name="_El Dorado Project Model 0900 v2_Copy of CNL Consolidated model_v.FPL_v37_Project Forest Pro Forma Model v58" xfId="974" xr:uid="{00000000-0005-0000-0000-00009D030000}"/>
    <cellStyle name="_El Dorado Project Model 0900 v2_D_Consolidated2" xfId="975" xr:uid="{00000000-0005-0000-0000-00009E030000}"/>
    <cellStyle name="_El Dorado Project Model 0900 v2_Model v9.8" xfId="976" xr:uid="{00000000-0005-0000-0000-00009F030000}"/>
    <cellStyle name="_El Dorado Project Model 0900 v2_Mutilples Template2" xfId="977" xr:uid="{00000000-0005-0000-0000-0000A0030000}"/>
    <cellStyle name="_El Dorado Project Model 0900 v2_Mutilples Template2_Exelon Power Fuel Forecast - Project P 6-11-2004 ver21" xfId="978" xr:uid="{00000000-0005-0000-0000-0000A1030000}"/>
    <cellStyle name="_El Dorado Project Model 0900 v2_Mutilples Template2_ML Outputs" xfId="979" xr:uid="{00000000-0005-0000-0000-0000A2030000}"/>
    <cellStyle name="_El Dorado Project Model 0900 v2_Mutilples Template2_Project Forest Pro Forma Model v58" xfId="980" xr:uid="{00000000-0005-0000-0000-0000A3030000}"/>
    <cellStyle name="_El Dorado Project Model 0900 v2_pom consolidated v3" xfId="981" xr:uid="{00000000-0005-0000-0000-0000A4030000}"/>
    <cellStyle name="_El Dorado Project Model 0900 v2_pom consolidated v3_Exelon Power Fuel Forecast - Project P 6-11-2004 ver21" xfId="982" xr:uid="{00000000-0005-0000-0000-0000A5030000}"/>
    <cellStyle name="_El Dorado Project Model 0900 v2_pom consolidated v3_ML Outputs" xfId="983" xr:uid="{00000000-0005-0000-0000-0000A6030000}"/>
    <cellStyle name="_El Dorado Project Model 0900 v2_pom consolidated v3_Project Forest Pro Forma Model v58" xfId="984" xr:uid="{00000000-0005-0000-0000-0000A7030000}"/>
    <cellStyle name="_El_Do_Gila_2x2000MW_CC_101100_partcov4_17%_100%const" xfId="985" xr:uid="{00000000-0005-0000-0000-0000A8030000}"/>
    <cellStyle name="_El_Do_Gila_2x2000MW_CC_101100_partcov4_17%_100%const_Copy of CNL Consolidated model_v.FPL_v37" xfId="986" xr:uid="{00000000-0005-0000-0000-0000A9030000}"/>
    <cellStyle name="_El_Do_Gila_2x2000MW_CC_101100_partcov4_17%_100%const_Copy of CNL Consolidated model_v.FPL_v37_Exelon Power Fuel Forecast - Project P 6-11-2004 ver21" xfId="987" xr:uid="{00000000-0005-0000-0000-0000AA030000}"/>
    <cellStyle name="_El_Do_Gila_2x2000MW_CC_101100_partcov4_17%_100%const_Copy of CNL Consolidated model_v.FPL_v37_ML Outputs" xfId="988" xr:uid="{00000000-0005-0000-0000-0000AB030000}"/>
    <cellStyle name="_El_Do_Gila_2x2000MW_CC_101100_partcov4_17%_100%const_Copy of CNL Consolidated model_v.FPL_v37_Project Forest Pro Forma Model v58" xfId="989" xr:uid="{00000000-0005-0000-0000-0000AC030000}"/>
    <cellStyle name="_El_Do_Gila_2x2000MW_CC_101100_partcov4_17%_100%const_D_Consolidated2" xfId="990" xr:uid="{00000000-0005-0000-0000-0000AD030000}"/>
    <cellStyle name="_El_Do_Gila_2x2000MW_CC_101100_partcov4_17%_100%const_Model v9.8" xfId="991" xr:uid="{00000000-0005-0000-0000-0000AE030000}"/>
    <cellStyle name="_El_Do_Gila_2x2000MW_CC_101100_partcov4_17%_100%const_Mutilples Template2" xfId="992" xr:uid="{00000000-0005-0000-0000-0000AF030000}"/>
    <cellStyle name="_El_Do_Gila_2x2000MW_CC_101100_partcov4_17%_100%const_Mutilples Template2_Exelon Power Fuel Forecast - Project P 6-11-2004 ver21" xfId="993" xr:uid="{00000000-0005-0000-0000-0000B0030000}"/>
    <cellStyle name="_El_Do_Gila_2x2000MW_CC_101100_partcov4_17%_100%const_Mutilples Template2_ML Outputs" xfId="994" xr:uid="{00000000-0005-0000-0000-0000B1030000}"/>
    <cellStyle name="_El_Do_Gila_2x2000MW_CC_101100_partcov4_17%_100%const_Mutilples Template2_Project Forest Pro Forma Model v58" xfId="995" xr:uid="{00000000-0005-0000-0000-0000B2030000}"/>
    <cellStyle name="_El_Do_Gila_2x2000MW_CC_101100_partcov4_17%_100%const_pom consolidated v3" xfId="996" xr:uid="{00000000-0005-0000-0000-0000B3030000}"/>
    <cellStyle name="_El_Do_Gila_2x2000MW_CC_101100_partcov4_17%_100%const_pom consolidated v3_Exelon Power Fuel Forecast - Project P 6-11-2004 ver21" xfId="997" xr:uid="{00000000-0005-0000-0000-0000B4030000}"/>
    <cellStyle name="_El_Do_Gila_2x2000MW_CC_101100_partcov4_17%_100%const_pom consolidated v3_ML Outputs" xfId="998" xr:uid="{00000000-0005-0000-0000-0000B5030000}"/>
    <cellStyle name="_El_Do_Gila_2x2000MW_CC_101100_partcov4_17%_100%const_pom consolidated v3_Project Forest Pro Forma Model v58" xfId="999" xr:uid="{00000000-0005-0000-0000-0000B6030000}"/>
    <cellStyle name="_ems10223_my" xfId="1000" xr:uid="{00000000-0005-0000-0000-0000B7030000}"/>
    <cellStyle name="_Euro" xfId="1001" xr:uid="{00000000-0005-0000-0000-0000B8030000}"/>
    <cellStyle name="_Euro 2" xfId="1002" xr:uid="{00000000-0005-0000-0000-0000B9030000}"/>
    <cellStyle name="_Euro 3" xfId="1003" xr:uid="{00000000-0005-0000-0000-0000BA030000}"/>
    <cellStyle name="_Example 1" xfId="1004" xr:uid="{00000000-0005-0000-0000-0000BB030000}"/>
    <cellStyle name="_EXC-PSEG PF v5" xfId="1005" xr:uid="{00000000-0005-0000-0000-0000BC030000}"/>
    <cellStyle name="_Export duty On-shore calc 12m 2002" xfId="1006" xr:uid="{00000000-0005-0000-0000-0000BD030000}"/>
    <cellStyle name="_Export duty On-shore calc 12m 2002_~5055318" xfId="1007" xr:uid="{00000000-0005-0000-0000-0000BE030000}"/>
    <cellStyle name="_Extracted_Stuff" xfId="1008" xr:uid="{00000000-0005-0000-0000-0000BF030000}"/>
    <cellStyle name="_Feb 02 Options" xfId="1009" xr:uid="{00000000-0005-0000-0000-0000C0030000}"/>
    <cellStyle name="_Feb GFO 1802 wkgs" xfId="1010" xr:uid="{00000000-0005-0000-0000-0000C1030000}"/>
    <cellStyle name="_feedback for CorpFin 5YP" xfId="1011" xr:uid="{00000000-0005-0000-0000-0000C2030000}"/>
    <cellStyle name="_FFF" xfId="1012" xr:uid="{00000000-0005-0000-0000-0000C3030000}"/>
    <cellStyle name="_FFF_~5055318" xfId="1013" xr:uid="{00000000-0005-0000-0000-0000C4030000}"/>
    <cellStyle name="_FFF_17_0" xfId="1014" xr:uid="{00000000-0005-0000-0000-0000C5030000}"/>
    <cellStyle name="_FFF_17_0_~5055318" xfId="1015" xr:uid="{00000000-0005-0000-0000-0000C6030000}"/>
    <cellStyle name="_FFF_17_0_1" xfId="1016" xr:uid="{00000000-0005-0000-0000-0000C7030000}"/>
    <cellStyle name="_FFF_17_0_1_~5055318" xfId="1017" xr:uid="{00000000-0005-0000-0000-0000C8030000}"/>
    <cellStyle name="_FFF_balance" xfId="1018" xr:uid="{00000000-0005-0000-0000-0000C9030000}"/>
    <cellStyle name="_FFF_balance_~5055318" xfId="1019" xr:uid="{00000000-0005-0000-0000-0000CA030000}"/>
    <cellStyle name="_FFF_Capex-new" xfId="1020" xr:uid="{00000000-0005-0000-0000-0000CB030000}"/>
    <cellStyle name="_FFF_Capex-new_~5055318" xfId="1021" xr:uid="{00000000-0005-0000-0000-0000CC030000}"/>
    <cellStyle name="_FFF_Capex-new_DCF030925_vat" xfId="1022" xr:uid="{00000000-0005-0000-0000-0000CD030000}"/>
    <cellStyle name="_FFF_Capex-new_DCF030925_vat_" xfId="1023" xr:uid="{00000000-0005-0000-0000-0000CE030000}"/>
    <cellStyle name="_FFF_Capex-new_DCFonly" xfId="1024" xr:uid="{00000000-0005-0000-0000-0000CF030000}"/>
    <cellStyle name="_FFF_DCF030925_vat" xfId="1025" xr:uid="{00000000-0005-0000-0000-0000D0030000}"/>
    <cellStyle name="_FFF_DCF030925_vat_" xfId="1026" xr:uid="{00000000-0005-0000-0000-0000D1030000}"/>
    <cellStyle name="_FFF_DCFonly" xfId="1027" xr:uid="{00000000-0005-0000-0000-0000D2030000}"/>
    <cellStyle name="_FFF_Financial Plan - final_2" xfId="1028" xr:uid="{00000000-0005-0000-0000-0000D3030000}"/>
    <cellStyle name="_FFF_Financial Plan - final_2_~5055318" xfId="1029" xr:uid="{00000000-0005-0000-0000-0000D4030000}"/>
    <cellStyle name="_FFF_Financial Plan - final_2_DCF030925_vat" xfId="1030" xr:uid="{00000000-0005-0000-0000-0000D5030000}"/>
    <cellStyle name="_FFF_Financial Plan - final_2_DCF030925_vat_" xfId="1031" xr:uid="{00000000-0005-0000-0000-0000D6030000}"/>
    <cellStyle name="_FFF_Financial Plan - final_2_DCFonly" xfId="1032" xr:uid="{00000000-0005-0000-0000-0000D7030000}"/>
    <cellStyle name="_FFF_Form 01(MB)" xfId="1033" xr:uid="{00000000-0005-0000-0000-0000D8030000}"/>
    <cellStyle name="_FFF_Form 01(MB)_040822 Profit_Tax_(portal)" xfId="1034" xr:uid="{00000000-0005-0000-0000-0000D9030000}"/>
    <cellStyle name="_FFF_Form 01(MB)_040928 Profit_Tax_3Ax1Ax4" xfId="1035" xr:uid="{00000000-0005-0000-0000-0000DA030000}"/>
    <cellStyle name="_FFF_Form 01(MB)_Tax Input 5yr plan" xfId="1036" xr:uid="{00000000-0005-0000-0000-0000DB030000}"/>
    <cellStyle name="_FFF_Form 01(MB)_Книга2" xfId="1037" xr:uid="{00000000-0005-0000-0000-0000DC030000}"/>
    <cellStyle name="_FFF_Form 01(MB)_Налог_на_прибыль" xfId="1038" xr:uid="{00000000-0005-0000-0000-0000DD030000}"/>
    <cellStyle name="_FFF_Links_NK" xfId="1039" xr:uid="{00000000-0005-0000-0000-0000DE030000}"/>
    <cellStyle name="_FFF_Links_NK_040822 Profit_Tax_(portal)" xfId="1040" xr:uid="{00000000-0005-0000-0000-0000DF030000}"/>
    <cellStyle name="_FFF_Links_NK_040928 Profit_Tax_3Ax1Ax4" xfId="1041" xr:uid="{00000000-0005-0000-0000-0000E0030000}"/>
    <cellStyle name="_FFF_Links_NK_Tax Input 5yr plan" xfId="1042" xr:uid="{00000000-0005-0000-0000-0000E1030000}"/>
    <cellStyle name="_FFF_Links_NK_Книга2" xfId="1043" xr:uid="{00000000-0005-0000-0000-0000E2030000}"/>
    <cellStyle name="_FFF_Links_NK_Налог_на_прибыль" xfId="1044" xr:uid="{00000000-0005-0000-0000-0000E3030000}"/>
    <cellStyle name="_FFF_N20_5" xfId="1045" xr:uid="{00000000-0005-0000-0000-0000E4030000}"/>
    <cellStyle name="_FFF_N20_5_~5055318" xfId="1046" xr:uid="{00000000-0005-0000-0000-0000E5030000}"/>
    <cellStyle name="_FFF_N20_5_DCF030925_vat" xfId="1047" xr:uid="{00000000-0005-0000-0000-0000E6030000}"/>
    <cellStyle name="_FFF_N20_5_DCF030925_vat_" xfId="1048" xr:uid="{00000000-0005-0000-0000-0000E7030000}"/>
    <cellStyle name="_FFF_N20_5_DCFonly" xfId="1049" xr:uid="{00000000-0005-0000-0000-0000E8030000}"/>
    <cellStyle name="_FFF_N20_6" xfId="1050" xr:uid="{00000000-0005-0000-0000-0000E9030000}"/>
    <cellStyle name="_FFF_N20_6_~5055318" xfId="1051" xr:uid="{00000000-0005-0000-0000-0000EA030000}"/>
    <cellStyle name="_FFF_N20_6_DCF030925_vat" xfId="1052" xr:uid="{00000000-0005-0000-0000-0000EB030000}"/>
    <cellStyle name="_FFF_N20_6_DCF030925_vat_" xfId="1053" xr:uid="{00000000-0005-0000-0000-0000EC030000}"/>
    <cellStyle name="_FFF_N20_6_DCFonly" xfId="1054" xr:uid="{00000000-0005-0000-0000-0000ED030000}"/>
    <cellStyle name="_FFF_New Form10_2" xfId="1055" xr:uid="{00000000-0005-0000-0000-0000EE030000}"/>
    <cellStyle name="_FFF_New Form10_2_~5055318" xfId="1056" xr:uid="{00000000-0005-0000-0000-0000EF030000}"/>
    <cellStyle name="_FFF_New Form10_2_DCF030925_vat" xfId="1057" xr:uid="{00000000-0005-0000-0000-0000F0030000}"/>
    <cellStyle name="_FFF_New Form10_2_DCF030925_vat_" xfId="1058" xr:uid="{00000000-0005-0000-0000-0000F1030000}"/>
    <cellStyle name="_FFF_New Form10_2_DCFonly" xfId="1059" xr:uid="{00000000-0005-0000-0000-0000F2030000}"/>
    <cellStyle name="_FFF_Nsi" xfId="1060" xr:uid="{00000000-0005-0000-0000-0000F3030000}"/>
    <cellStyle name="_FFF_Nsi - last version" xfId="1061" xr:uid="{00000000-0005-0000-0000-0000F4030000}"/>
    <cellStyle name="_FFF_Nsi - last version for programming" xfId="1062" xr:uid="{00000000-0005-0000-0000-0000F5030000}"/>
    <cellStyle name="_FFF_Nsi - last version for programming_~5055318" xfId="1063" xr:uid="{00000000-0005-0000-0000-0000F6030000}"/>
    <cellStyle name="_FFF_Nsi - last version for programming_DCF030925_vat" xfId="1064" xr:uid="{00000000-0005-0000-0000-0000F7030000}"/>
    <cellStyle name="_FFF_Nsi - last version for programming_DCF030925_vat_" xfId="1065" xr:uid="{00000000-0005-0000-0000-0000F8030000}"/>
    <cellStyle name="_FFF_Nsi - last version for programming_DCFonly" xfId="1066" xr:uid="{00000000-0005-0000-0000-0000F9030000}"/>
    <cellStyle name="_FFF_Nsi - last version_~5055318" xfId="1067" xr:uid="{00000000-0005-0000-0000-0000FA030000}"/>
    <cellStyle name="_FFF_Nsi - last version_DCF030925_vat" xfId="1068" xr:uid="{00000000-0005-0000-0000-0000FB030000}"/>
    <cellStyle name="_FFF_Nsi - last version_DCF030925_vat_" xfId="1069" xr:uid="{00000000-0005-0000-0000-0000FC030000}"/>
    <cellStyle name="_FFF_Nsi - last version_DCFonly" xfId="1070" xr:uid="{00000000-0005-0000-0000-0000FD030000}"/>
    <cellStyle name="_FFF_Nsi - next_last version" xfId="1071" xr:uid="{00000000-0005-0000-0000-0000FE030000}"/>
    <cellStyle name="_FFF_Nsi - next_last version_~5055318" xfId="1072" xr:uid="{00000000-0005-0000-0000-0000FF030000}"/>
    <cellStyle name="_FFF_Nsi - next_last version_DCF030925_vat" xfId="1073" xr:uid="{00000000-0005-0000-0000-000000040000}"/>
    <cellStyle name="_FFF_Nsi - next_last version_DCF030925_vat_" xfId="1074" xr:uid="{00000000-0005-0000-0000-000001040000}"/>
    <cellStyle name="_FFF_Nsi - next_last version_DCFonly" xfId="1075" xr:uid="{00000000-0005-0000-0000-000002040000}"/>
    <cellStyle name="_FFF_Nsi - plan - final" xfId="1076" xr:uid="{00000000-0005-0000-0000-000003040000}"/>
    <cellStyle name="_FFF_Nsi - plan - final_~5055318" xfId="1077" xr:uid="{00000000-0005-0000-0000-000004040000}"/>
    <cellStyle name="_FFF_Nsi - plan - final_DCF030925_vat" xfId="1078" xr:uid="{00000000-0005-0000-0000-000005040000}"/>
    <cellStyle name="_FFF_Nsi - plan - final_DCF030925_vat_" xfId="1079" xr:uid="{00000000-0005-0000-0000-000006040000}"/>
    <cellStyle name="_FFF_Nsi - plan - final_DCFonly" xfId="1080" xr:uid="{00000000-0005-0000-0000-000007040000}"/>
    <cellStyle name="_FFF_Nsi -super_ last version" xfId="1081" xr:uid="{00000000-0005-0000-0000-000008040000}"/>
    <cellStyle name="_FFF_Nsi -super_ last version_~5055318" xfId="1082" xr:uid="{00000000-0005-0000-0000-000009040000}"/>
    <cellStyle name="_FFF_Nsi -super_ last version_DCF030925_vat" xfId="1083" xr:uid="{00000000-0005-0000-0000-00000A040000}"/>
    <cellStyle name="_FFF_Nsi -super_ last version_DCF030925_vat_" xfId="1084" xr:uid="{00000000-0005-0000-0000-00000B040000}"/>
    <cellStyle name="_FFF_Nsi -super_ last version_DCFonly" xfId="1085" xr:uid="{00000000-0005-0000-0000-00000C040000}"/>
    <cellStyle name="_FFF_Nsi(2)" xfId="1086" xr:uid="{00000000-0005-0000-0000-00000D040000}"/>
    <cellStyle name="_FFF_Nsi(2)_040822 Profit_Tax_(portal)" xfId="1087" xr:uid="{00000000-0005-0000-0000-00000E040000}"/>
    <cellStyle name="_FFF_Nsi(2)_040928 Profit_Tax_3Ax1Ax4" xfId="1088" xr:uid="{00000000-0005-0000-0000-00000F040000}"/>
    <cellStyle name="_FFF_Nsi(2)_Tax Input 5yr plan" xfId="1089" xr:uid="{00000000-0005-0000-0000-000010040000}"/>
    <cellStyle name="_FFF_Nsi(2)_Книга2" xfId="1090" xr:uid="{00000000-0005-0000-0000-000011040000}"/>
    <cellStyle name="_FFF_Nsi(2)_Налог_на_прибыль" xfId="1091" xr:uid="{00000000-0005-0000-0000-000012040000}"/>
    <cellStyle name="_FFF_Nsi_~5055318" xfId="1092" xr:uid="{00000000-0005-0000-0000-000013040000}"/>
    <cellStyle name="_FFF_Nsi_1" xfId="1093" xr:uid="{00000000-0005-0000-0000-000014040000}"/>
    <cellStyle name="_FFF_Nsi_1_~5055318" xfId="1094" xr:uid="{00000000-0005-0000-0000-000015040000}"/>
    <cellStyle name="_FFF_Nsi_1_DCF030925_vat" xfId="1095" xr:uid="{00000000-0005-0000-0000-000016040000}"/>
    <cellStyle name="_FFF_Nsi_1_DCF030925_vat_" xfId="1096" xr:uid="{00000000-0005-0000-0000-000017040000}"/>
    <cellStyle name="_FFF_Nsi_1_DCFonly" xfId="1097" xr:uid="{00000000-0005-0000-0000-000018040000}"/>
    <cellStyle name="_FFF_Nsi_139" xfId="1098" xr:uid="{00000000-0005-0000-0000-000019040000}"/>
    <cellStyle name="_FFF_Nsi_139_~5055318" xfId="1099" xr:uid="{00000000-0005-0000-0000-00001A040000}"/>
    <cellStyle name="_FFF_Nsi_139_DCF030925_vat" xfId="1100" xr:uid="{00000000-0005-0000-0000-00001B040000}"/>
    <cellStyle name="_FFF_Nsi_139_DCF030925_vat_" xfId="1101" xr:uid="{00000000-0005-0000-0000-00001C040000}"/>
    <cellStyle name="_FFF_Nsi_139_DCFonly" xfId="1102" xr:uid="{00000000-0005-0000-0000-00001D040000}"/>
    <cellStyle name="_FFF_Nsi_140" xfId="1103" xr:uid="{00000000-0005-0000-0000-00001E040000}"/>
    <cellStyle name="_FFF_Nsi_140(Зах)" xfId="1104" xr:uid="{00000000-0005-0000-0000-00001F040000}"/>
    <cellStyle name="_FFF_Nsi_140(Зах)_~5055318" xfId="1105" xr:uid="{00000000-0005-0000-0000-000020040000}"/>
    <cellStyle name="_FFF_Nsi_140(Зах)_DCF030925_vat" xfId="1106" xr:uid="{00000000-0005-0000-0000-000021040000}"/>
    <cellStyle name="_FFF_Nsi_140(Зах)_DCF030925_vat_" xfId="1107" xr:uid="{00000000-0005-0000-0000-000022040000}"/>
    <cellStyle name="_FFF_Nsi_140(Зах)_DCFonly" xfId="1108" xr:uid="{00000000-0005-0000-0000-000023040000}"/>
    <cellStyle name="_FFF_Nsi_140_~5055318" xfId="1109" xr:uid="{00000000-0005-0000-0000-000024040000}"/>
    <cellStyle name="_FFF_Nsi_140_DCF030925_vat" xfId="1110" xr:uid="{00000000-0005-0000-0000-000025040000}"/>
    <cellStyle name="_FFF_Nsi_140_DCF030925_vat_" xfId="1111" xr:uid="{00000000-0005-0000-0000-000026040000}"/>
    <cellStyle name="_FFF_Nsi_140_DCFonly" xfId="1112" xr:uid="{00000000-0005-0000-0000-000027040000}"/>
    <cellStyle name="_FFF_Nsi_140_mod" xfId="1113" xr:uid="{00000000-0005-0000-0000-000028040000}"/>
    <cellStyle name="_FFF_Nsi_140_mod_~5055318" xfId="1114" xr:uid="{00000000-0005-0000-0000-000029040000}"/>
    <cellStyle name="_FFF_Nsi_140_mod_DCF030925_vat" xfId="1115" xr:uid="{00000000-0005-0000-0000-00002A040000}"/>
    <cellStyle name="_FFF_Nsi_140_mod_DCF030925_vat_" xfId="1116" xr:uid="{00000000-0005-0000-0000-00002B040000}"/>
    <cellStyle name="_FFF_Nsi_140_mod_DCFonly" xfId="1117" xr:uid="{00000000-0005-0000-0000-00002C040000}"/>
    <cellStyle name="_FFF_Nsi_158" xfId="1118" xr:uid="{00000000-0005-0000-0000-00002D040000}"/>
    <cellStyle name="_FFF_Nsi_158_040822 Profit_Tax_(portal)" xfId="1119" xr:uid="{00000000-0005-0000-0000-00002E040000}"/>
    <cellStyle name="_FFF_Nsi_158_040928 Profit_Tax_3Ax1Ax4" xfId="1120" xr:uid="{00000000-0005-0000-0000-00002F040000}"/>
    <cellStyle name="_FFF_Nsi_158_Tax Input 5yr plan" xfId="1121" xr:uid="{00000000-0005-0000-0000-000030040000}"/>
    <cellStyle name="_FFF_Nsi_158_Книга2" xfId="1122" xr:uid="{00000000-0005-0000-0000-000031040000}"/>
    <cellStyle name="_FFF_Nsi_158_Налог_на_прибыль" xfId="1123" xr:uid="{00000000-0005-0000-0000-000032040000}"/>
    <cellStyle name="_FFF_Nsi_DCF030925_vat" xfId="1124" xr:uid="{00000000-0005-0000-0000-000033040000}"/>
    <cellStyle name="_FFF_Nsi_DCF030925_vat_" xfId="1125" xr:uid="{00000000-0005-0000-0000-000034040000}"/>
    <cellStyle name="_FFF_Nsi_DCFonly" xfId="1126" xr:uid="{00000000-0005-0000-0000-000035040000}"/>
    <cellStyle name="_FFF_Nsi_Express" xfId="1127" xr:uid="{00000000-0005-0000-0000-000036040000}"/>
    <cellStyle name="_FFF_Nsi_Express_040822 Profit_Tax_(portal)" xfId="1128" xr:uid="{00000000-0005-0000-0000-000037040000}"/>
    <cellStyle name="_FFF_Nsi_Express_040928 Profit_Tax_3Ax1Ax4" xfId="1129" xr:uid="{00000000-0005-0000-0000-000038040000}"/>
    <cellStyle name="_FFF_Nsi_Express_Tax Input 5yr plan" xfId="1130" xr:uid="{00000000-0005-0000-0000-000039040000}"/>
    <cellStyle name="_FFF_Nsi_Express_Книга2" xfId="1131" xr:uid="{00000000-0005-0000-0000-00003A040000}"/>
    <cellStyle name="_FFF_Nsi_Express_Налог_на_прибыль" xfId="1132" xr:uid="{00000000-0005-0000-0000-00003B040000}"/>
    <cellStyle name="_FFF_Nsi_Jan1" xfId="1133" xr:uid="{00000000-0005-0000-0000-00003C040000}"/>
    <cellStyle name="_FFF_Nsi_Jan1_~5055318" xfId="1134" xr:uid="{00000000-0005-0000-0000-00003D040000}"/>
    <cellStyle name="_FFF_Nsi_Jan1_DCF030925_vat" xfId="1135" xr:uid="{00000000-0005-0000-0000-00003E040000}"/>
    <cellStyle name="_FFF_Nsi_Jan1_DCF030925_vat_" xfId="1136" xr:uid="{00000000-0005-0000-0000-00003F040000}"/>
    <cellStyle name="_FFF_Nsi_Jan1_DCFonly" xfId="1137" xr:uid="{00000000-0005-0000-0000-000040040000}"/>
    <cellStyle name="_FFF_Nsi_test" xfId="1138" xr:uid="{00000000-0005-0000-0000-000041040000}"/>
    <cellStyle name="_FFF_Nsi_test_040822 Profit_Tax_(portal)" xfId="1139" xr:uid="{00000000-0005-0000-0000-000042040000}"/>
    <cellStyle name="_FFF_Nsi_test_040928 Profit_Tax_3Ax1Ax4" xfId="1140" xr:uid="{00000000-0005-0000-0000-000043040000}"/>
    <cellStyle name="_FFF_Nsi_test_Tax Input 5yr plan" xfId="1141" xr:uid="{00000000-0005-0000-0000-000044040000}"/>
    <cellStyle name="_FFF_Nsi_test_Книга2" xfId="1142" xr:uid="{00000000-0005-0000-0000-000045040000}"/>
    <cellStyle name="_FFF_Nsi_test_Налог_на_прибыль" xfId="1143" xr:uid="{00000000-0005-0000-0000-000046040000}"/>
    <cellStyle name="_FFF_Nsi2" xfId="1144" xr:uid="{00000000-0005-0000-0000-000047040000}"/>
    <cellStyle name="_FFF_Nsi2_~5055318" xfId="1145" xr:uid="{00000000-0005-0000-0000-000048040000}"/>
    <cellStyle name="_FFF_Nsi2_DCF030925_vat" xfId="1146" xr:uid="{00000000-0005-0000-0000-000049040000}"/>
    <cellStyle name="_FFF_Nsi2_DCF030925_vat_" xfId="1147" xr:uid="{00000000-0005-0000-0000-00004A040000}"/>
    <cellStyle name="_FFF_Nsi2_DCFonly" xfId="1148" xr:uid="{00000000-0005-0000-0000-00004B040000}"/>
    <cellStyle name="_FFF_Nsi-Services" xfId="1149" xr:uid="{00000000-0005-0000-0000-00004C040000}"/>
    <cellStyle name="_FFF_Nsi-Services_040822 Profit_Tax_(portal)" xfId="1150" xr:uid="{00000000-0005-0000-0000-00004D040000}"/>
    <cellStyle name="_FFF_Nsi-Services_040928 Profit_Tax_3Ax1Ax4" xfId="1151" xr:uid="{00000000-0005-0000-0000-00004E040000}"/>
    <cellStyle name="_FFF_Nsi-Services_Tax Input 5yr plan" xfId="1152" xr:uid="{00000000-0005-0000-0000-00004F040000}"/>
    <cellStyle name="_FFF_Nsi-Services_Книга2" xfId="1153" xr:uid="{00000000-0005-0000-0000-000050040000}"/>
    <cellStyle name="_FFF_Nsi-Services_Налог_на_прибыль" xfId="1154" xr:uid="{00000000-0005-0000-0000-000051040000}"/>
    <cellStyle name="_FFF_P&amp;L" xfId="1155" xr:uid="{00000000-0005-0000-0000-000052040000}"/>
    <cellStyle name="_FFF_P&amp;L_~5055318" xfId="1156" xr:uid="{00000000-0005-0000-0000-000053040000}"/>
    <cellStyle name="_FFF_P&amp;L_DCF030925_vat" xfId="1157" xr:uid="{00000000-0005-0000-0000-000054040000}"/>
    <cellStyle name="_FFF_P&amp;L_DCF030925_vat_" xfId="1158" xr:uid="{00000000-0005-0000-0000-000055040000}"/>
    <cellStyle name="_FFF_P&amp;L_DCFonly" xfId="1159" xr:uid="{00000000-0005-0000-0000-000056040000}"/>
    <cellStyle name="_FFF_S0400" xfId="1160" xr:uid="{00000000-0005-0000-0000-000057040000}"/>
    <cellStyle name="_FFF_S0400_040822 Profit_Tax_(portal)" xfId="1161" xr:uid="{00000000-0005-0000-0000-000058040000}"/>
    <cellStyle name="_FFF_S0400_040928 Profit_Tax_3Ax1Ax4" xfId="1162" xr:uid="{00000000-0005-0000-0000-000059040000}"/>
    <cellStyle name="_FFF_S0400_Tax Input 5yr plan" xfId="1163" xr:uid="{00000000-0005-0000-0000-00005A040000}"/>
    <cellStyle name="_FFF_S0400_Книга2" xfId="1164" xr:uid="{00000000-0005-0000-0000-00005B040000}"/>
    <cellStyle name="_FFF_S0400_Налог_на_прибыль" xfId="1165" xr:uid="{00000000-0005-0000-0000-00005C040000}"/>
    <cellStyle name="_FFF_S13001" xfId="1166" xr:uid="{00000000-0005-0000-0000-00005D040000}"/>
    <cellStyle name="_FFF_S13001_040822 Profit_Tax_(portal)" xfId="1167" xr:uid="{00000000-0005-0000-0000-00005E040000}"/>
    <cellStyle name="_FFF_S13001_040928 Profit_Tax_3Ax1Ax4" xfId="1168" xr:uid="{00000000-0005-0000-0000-00005F040000}"/>
    <cellStyle name="_FFF_S13001_Tax Input 5yr plan" xfId="1169" xr:uid="{00000000-0005-0000-0000-000060040000}"/>
    <cellStyle name="_FFF_S13001_Книга2" xfId="1170" xr:uid="{00000000-0005-0000-0000-000061040000}"/>
    <cellStyle name="_FFF_S13001_Налог_на_прибыль" xfId="1171" xr:uid="{00000000-0005-0000-0000-000062040000}"/>
    <cellStyle name="_FFF_Sheet1" xfId="1172" xr:uid="{00000000-0005-0000-0000-000063040000}"/>
    <cellStyle name="_FFF_Sheet1_~5055318" xfId="1173" xr:uid="{00000000-0005-0000-0000-000064040000}"/>
    <cellStyle name="_FFF_Sheet1_DCF030925_vat" xfId="1174" xr:uid="{00000000-0005-0000-0000-000065040000}"/>
    <cellStyle name="_FFF_Sheet1_DCF030925_vat_" xfId="1175" xr:uid="{00000000-0005-0000-0000-000066040000}"/>
    <cellStyle name="_FFF_Sheet1_DCFonly" xfId="1176" xr:uid="{00000000-0005-0000-0000-000067040000}"/>
    <cellStyle name="_FFF_SOFI" xfId="1177" xr:uid="{00000000-0005-0000-0000-000068040000}"/>
    <cellStyle name="_FFF_sofi - plan_AP270202ii" xfId="1178" xr:uid="{00000000-0005-0000-0000-000069040000}"/>
    <cellStyle name="_FFF_sofi - plan_AP270202ii_~5055318" xfId="1179" xr:uid="{00000000-0005-0000-0000-00006A040000}"/>
    <cellStyle name="_FFF_sofi - plan_AP270202ii_DCF030925_vat" xfId="1180" xr:uid="{00000000-0005-0000-0000-00006B040000}"/>
    <cellStyle name="_FFF_sofi - plan_AP270202ii_DCF030925_vat_" xfId="1181" xr:uid="{00000000-0005-0000-0000-00006C040000}"/>
    <cellStyle name="_FFF_sofi - plan_AP270202ii_DCFonly" xfId="1182" xr:uid="{00000000-0005-0000-0000-00006D040000}"/>
    <cellStyle name="_FFF_sofi - plan_AP270202iii" xfId="1183" xr:uid="{00000000-0005-0000-0000-00006E040000}"/>
    <cellStyle name="_FFF_sofi - plan_AP270202iii_~5055318" xfId="1184" xr:uid="{00000000-0005-0000-0000-00006F040000}"/>
    <cellStyle name="_FFF_sofi - plan_AP270202iii_DCF030925_vat" xfId="1185" xr:uid="{00000000-0005-0000-0000-000070040000}"/>
    <cellStyle name="_FFF_sofi - plan_AP270202iii_DCF030925_vat_" xfId="1186" xr:uid="{00000000-0005-0000-0000-000071040000}"/>
    <cellStyle name="_FFF_sofi - plan_AP270202iii_DCFonly" xfId="1187" xr:uid="{00000000-0005-0000-0000-000072040000}"/>
    <cellStyle name="_FFF_sofi - plan_AP270202iv" xfId="1188" xr:uid="{00000000-0005-0000-0000-000073040000}"/>
    <cellStyle name="_FFF_sofi - plan_AP270202iv_~5055318" xfId="1189" xr:uid="{00000000-0005-0000-0000-000074040000}"/>
    <cellStyle name="_FFF_sofi - plan_AP270202iv_DCF030925_vat" xfId="1190" xr:uid="{00000000-0005-0000-0000-000075040000}"/>
    <cellStyle name="_FFF_sofi - plan_AP270202iv_DCF030925_vat_" xfId="1191" xr:uid="{00000000-0005-0000-0000-000076040000}"/>
    <cellStyle name="_FFF_sofi - plan_AP270202iv_DCFonly" xfId="1192" xr:uid="{00000000-0005-0000-0000-000077040000}"/>
    <cellStyle name="_FFF_Sofi vs Sobi" xfId="1193" xr:uid="{00000000-0005-0000-0000-000078040000}"/>
    <cellStyle name="_FFF_Sofi vs Sobi_~5055318" xfId="1194" xr:uid="{00000000-0005-0000-0000-000079040000}"/>
    <cellStyle name="_FFF_Sofi vs Sobi_DCF030925_vat" xfId="1195" xr:uid="{00000000-0005-0000-0000-00007A040000}"/>
    <cellStyle name="_FFF_Sofi vs Sobi_DCF030925_vat_" xfId="1196" xr:uid="{00000000-0005-0000-0000-00007B040000}"/>
    <cellStyle name="_FFF_Sofi vs Sobi_DCFonly" xfId="1197" xr:uid="{00000000-0005-0000-0000-00007C040000}"/>
    <cellStyle name="_FFF_SOFI_~5055318" xfId="1198" xr:uid="{00000000-0005-0000-0000-00007D040000}"/>
    <cellStyle name="_FFF_Sofi_PBD 27-11-01" xfId="1199" xr:uid="{00000000-0005-0000-0000-00007E040000}"/>
    <cellStyle name="_FFF_Sofi_PBD 27-11-01_~5055318" xfId="1200" xr:uid="{00000000-0005-0000-0000-00007F040000}"/>
    <cellStyle name="_FFF_Sofi_PBD 27-11-01_DCF030925_vat" xfId="1201" xr:uid="{00000000-0005-0000-0000-000080040000}"/>
    <cellStyle name="_FFF_Sofi_PBD 27-11-01_DCF030925_vat_" xfId="1202" xr:uid="{00000000-0005-0000-0000-000081040000}"/>
    <cellStyle name="_FFF_Sofi_PBD 27-11-01_DCFonly" xfId="1203" xr:uid="{00000000-0005-0000-0000-000082040000}"/>
    <cellStyle name="_FFF_SOFI_TEPs_AOK_130902" xfId="1204" xr:uid="{00000000-0005-0000-0000-000083040000}"/>
    <cellStyle name="_FFF_SOFI_TEPs_AOK_130902_040822 Profit_Tax_(portal)" xfId="1205" xr:uid="{00000000-0005-0000-0000-000084040000}"/>
    <cellStyle name="_FFF_SOFI_TEPs_AOK_130902_040928 Profit_Tax_3Ax1Ax4" xfId="1206" xr:uid="{00000000-0005-0000-0000-000085040000}"/>
    <cellStyle name="_FFF_SOFI_TEPs_AOK_130902_Tax Input 5yr plan" xfId="1207" xr:uid="{00000000-0005-0000-0000-000086040000}"/>
    <cellStyle name="_FFF_SOFI_TEPs_AOK_130902_Книга2" xfId="1208" xr:uid="{00000000-0005-0000-0000-000087040000}"/>
    <cellStyle name="_FFF_SOFI_TEPs_AOK_130902_Налог_на_прибыль" xfId="1209" xr:uid="{00000000-0005-0000-0000-000088040000}"/>
    <cellStyle name="_FFF_Sofi145a" xfId="1210" xr:uid="{00000000-0005-0000-0000-000089040000}"/>
    <cellStyle name="_FFF_Sofi145a_~5055318" xfId="1211" xr:uid="{00000000-0005-0000-0000-00008A040000}"/>
    <cellStyle name="_FFF_Sofi145a_DCF030925_vat" xfId="1212" xr:uid="{00000000-0005-0000-0000-00008B040000}"/>
    <cellStyle name="_FFF_Sofi145a_DCF030925_vat_" xfId="1213" xr:uid="{00000000-0005-0000-0000-00008C040000}"/>
    <cellStyle name="_FFF_Sofi145a_DCFonly" xfId="1214" xr:uid="{00000000-0005-0000-0000-00008D040000}"/>
    <cellStyle name="_FFF_Sofi153" xfId="1215" xr:uid="{00000000-0005-0000-0000-00008E040000}"/>
    <cellStyle name="_FFF_Sofi153_~5055318" xfId="1216" xr:uid="{00000000-0005-0000-0000-00008F040000}"/>
    <cellStyle name="_FFF_Sofi153_DCF030925_vat" xfId="1217" xr:uid="{00000000-0005-0000-0000-000090040000}"/>
    <cellStyle name="_FFF_Sofi153_DCF030925_vat_" xfId="1218" xr:uid="{00000000-0005-0000-0000-000091040000}"/>
    <cellStyle name="_FFF_Sofi153_DCFonly" xfId="1219" xr:uid="{00000000-0005-0000-0000-000092040000}"/>
    <cellStyle name="_FFF_Summary" xfId="1220" xr:uid="{00000000-0005-0000-0000-000093040000}"/>
    <cellStyle name="_FFF_Summary_~5055318" xfId="1221" xr:uid="{00000000-0005-0000-0000-000094040000}"/>
    <cellStyle name="_FFF_Summary_DCF030925_vat" xfId="1222" xr:uid="{00000000-0005-0000-0000-000095040000}"/>
    <cellStyle name="_FFF_Summary_DCF030925_vat_" xfId="1223" xr:uid="{00000000-0005-0000-0000-000096040000}"/>
    <cellStyle name="_FFF_Summary_DCFonly" xfId="1224" xr:uid="{00000000-0005-0000-0000-000097040000}"/>
    <cellStyle name="_FFF_SXXXX_Express_c Links" xfId="1225" xr:uid="{00000000-0005-0000-0000-000098040000}"/>
    <cellStyle name="_FFF_SXXXX_Express_c Links_040822 Profit_Tax_(portal)" xfId="1226" xr:uid="{00000000-0005-0000-0000-000099040000}"/>
    <cellStyle name="_FFF_SXXXX_Express_c Links_040928 Profit_Tax_3Ax1Ax4" xfId="1227" xr:uid="{00000000-0005-0000-0000-00009A040000}"/>
    <cellStyle name="_FFF_SXXXX_Express_c Links_Tax Input 5yr plan" xfId="1228" xr:uid="{00000000-0005-0000-0000-00009B040000}"/>
    <cellStyle name="_FFF_SXXXX_Express_c Links_Книга2" xfId="1229" xr:uid="{00000000-0005-0000-0000-00009C040000}"/>
    <cellStyle name="_FFF_SXXXX_Express_c Links_Налог_на_прибыль" xfId="1230" xr:uid="{00000000-0005-0000-0000-00009D040000}"/>
    <cellStyle name="_FFF_Tax_form_1кв_3" xfId="1231" xr:uid="{00000000-0005-0000-0000-00009E040000}"/>
    <cellStyle name="_FFF_Tax_form_1кв_3_~5055318" xfId="1232" xr:uid="{00000000-0005-0000-0000-00009F040000}"/>
    <cellStyle name="_FFF_Tax_form_1кв_3_DCF030925_vat" xfId="1233" xr:uid="{00000000-0005-0000-0000-0000A0040000}"/>
    <cellStyle name="_FFF_Tax_form_1кв_3_DCF030925_vat_" xfId="1234" xr:uid="{00000000-0005-0000-0000-0000A1040000}"/>
    <cellStyle name="_FFF_Tax_form_1кв_3_DCFonly" xfId="1235" xr:uid="{00000000-0005-0000-0000-0000A2040000}"/>
    <cellStyle name="_FFF_test_11" xfId="1236" xr:uid="{00000000-0005-0000-0000-0000A3040000}"/>
    <cellStyle name="_FFF_test_11_~5055318" xfId="1237" xr:uid="{00000000-0005-0000-0000-0000A4040000}"/>
    <cellStyle name="_FFF_test_11_DCF030925_vat" xfId="1238" xr:uid="{00000000-0005-0000-0000-0000A5040000}"/>
    <cellStyle name="_FFF_test_11_DCF030925_vat_" xfId="1239" xr:uid="{00000000-0005-0000-0000-0000A6040000}"/>
    <cellStyle name="_FFF_test_11_DCFonly" xfId="1240" xr:uid="{00000000-0005-0000-0000-0000A7040000}"/>
    <cellStyle name="_FFF_БКЭ" xfId="1241" xr:uid="{00000000-0005-0000-0000-0000A8040000}"/>
    <cellStyle name="_FFF_БКЭ_~5055318" xfId="1242" xr:uid="{00000000-0005-0000-0000-0000A9040000}"/>
    <cellStyle name="_FFF_БКЭ_DCF030925_vat" xfId="1243" xr:uid="{00000000-0005-0000-0000-0000AA040000}"/>
    <cellStyle name="_FFF_БКЭ_DCF030925_vat_" xfId="1244" xr:uid="{00000000-0005-0000-0000-0000AB040000}"/>
    <cellStyle name="_FFF_БКЭ_DCFonly" xfId="1245" xr:uid="{00000000-0005-0000-0000-0000AC040000}"/>
    <cellStyle name="_FFF_для вставки в пакет за 2001" xfId="1246" xr:uid="{00000000-0005-0000-0000-0000AD040000}"/>
    <cellStyle name="_FFF_для вставки в пакет за 2001_~5055318" xfId="1247" xr:uid="{00000000-0005-0000-0000-0000AE040000}"/>
    <cellStyle name="_FFF_для вставки в пакет за 2001_DCF030925_vat" xfId="1248" xr:uid="{00000000-0005-0000-0000-0000AF040000}"/>
    <cellStyle name="_FFF_для вставки в пакет за 2001_DCF030925_vat_" xfId="1249" xr:uid="{00000000-0005-0000-0000-0000B0040000}"/>
    <cellStyle name="_FFF_для вставки в пакет за 2001_DCFonly" xfId="1250" xr:uid="{00000000-0005-0000-0000-0000B1040000}"/>
    <cellStyle name="_FFF_дляГалиныВ" xfId="1251" xr:uid="{00000000-0005-0000-0000-0000B2040000}"/>
    <cellStyle name="_FFF_дляГалиныВ_040822 Profit_Tax_(portal)" xfId="1252" xr:uid="{00000000-0005-0000-0000-0000B3040000}"/>
    <cellStyle name="_FFF_дляГалиныВ_040928 Profit_Tax_3Ax1Ax4" xfId="1253" xr:uid="{00000000-0005-0000-0000-0000B4040000}"/>
    <cellStyle name="_FFF_дляГалиныВ_Tax Input 5yr plan" xfId="1254" xr:uid="{00000000-0005-0000-0000-0000B5040000}"/>
    <cellStyle name="_FFF_дляГалиныВ_Книга2" xfId="1255" xr:uid="{00000000-0005-0000-0000-0000B6040000}"/>
    <cellStyle name="_FFF_дляГалиныВ_Налог_на_прибыль" xfId="1256" xr:uid="{00000000-0005-0000-0000-0000B7040000}"/>
    <cellStyle name="_FFF_Книга7" xfId="1257" xr:uid="{00000000-0005-0000-0000-0000B8040000}"/>
    <cellStyle name="_FFF_Книга7_~5055318" xfId="1258" xr:uid="{00000000-0005-0000-0000-0000B9040000}"/>
    <cellStyle name="_FFF_Книга7_DCF030925_vat" xfId="1259" xr:uid="{00000000-0005-0000-0000-0000BA040000}"/>
    <cellStyle name="_FFF_Книга7_DCF030925_vat_" xfId="1260" xr:uid="{00000000-0005-0000-0000-0000BB040000}"/>
    <cellStyle name="_FFF_Книга7_DCFonly" xfId="1261" xr:uid="{00000000-0005-0000-0000-0000BC040000}"/>
    <cellStyle name="_FFF_Лист1" xfId="1262" xr:uid="{00000000-0005-0000-0000-0000BD040000}"/>
    <cellStyle name="_FFF_Лист1_040822 Profit_Tax_(portal)" xfId="1263" xr:uid="{00000000-0005-0000-0000-0000BE040000}"/>
    <cellStyle name="_FFF_Лист1_040928 Profit_Tax_3Ax1Ax4" xfId="1264" xr:uid="{00000000-0005-0000-0000-0000BF040000}"/>
    <cellStyle name="_FFF_Лист1_Tax Input 5yr plan" xfId="1265" xr:uid="{00000000-0005-0000-0000-0000C0040000}"/>
    <cellStyle name="_FFF_Лист1_Книга2" xfId="1266" xr:uid="{00000000-0005-0000-0000-0000C1040000}"/>
    <cellStyle name="_FFF_Лист1_Налог_на_прибыль" xfId="1267" xr:uid="{00000000-0005-0000-0000-0000C2040000}"/>
    <cellStyle name="_FFF_ОСН. ДЕЯТ." xfId="1268" xr:uid="{00000000-0005-0000-0000-0000C3040000}"/>
    <cellStyle name="_FFF_ОСН. ДЕЯТ._~5055318" xfId="1269" xr:uid="{00000000-0005-0000-0000-0000C4040000}"/>
    <cellStyle name="_FFF_ОСН. ДЕЯТ._DCF030925_vat" xfId="1270" xr:uid="{00000000-0005-0000-0000-0000C5040000}"/>
    <cellStyle name="_FFF_ОСН. ДЕЯТ._DCF030925_vat_" xfId="1271" xr:uid="{00000000-0005-0000-0000-0000C6040000}"/>
    <cellStyle name="_FFF_ОСН. ДЕЯТ._DCFonly" xfId="1272" xr:uid="{00000000-0005-0000-0000-0000C7040000}"/>
    <cellStyle name="_FFF_Перечень названий форм" xfId="1273" xr:uid="{00000000-0005-0000-0000-0000C8040000}"/>
    <cellStyle name="_FFF_Перечень названий форм_~5055318" xfId="1274" xr:uid="{00000000-0005-0000-0000-0000C9040000}"/>
    <cellStyle name="_FFF_Подразделения" xfId="1275" xr:uid="{00000000-0005-0000-0000-0000CA040000}"/>
    <cellStyle name="_FFF_Подразделения_040822 Profit_Tax_(portal)" xfId="1276" xr:uid="{00000000-0005-0000-0000-0000CB040000}"/>
    <cellStyle name="_FFF_Подразделения_040928 Profit_Tax_3Ax1Ax4" xfId="1277" xr:uid="{00000000-0005-0000-0000-0000CC040000}"/>
    <cellStyle name="_FFF_Подразделения_Tax Input 5yr plan" xfId="1278" xr:uid="{00000000-0005-0000-0000-0000CD040000}"/>
    <cellStyle name="_FFF_Подразделения_Книга2" xfId="1279" xr:uid="{00000000-0005-0000-0000-0000CE040000}"/>
    <cellStyle name="_FFF_Подразделения_Налог_на_прибыль" xfId="1280" xr:uid="{00000000-0005-0000-0000-0000CF040000}"/>
    <cellStyle name="_FFF_Список тиражирования" xfId="1281" xr:uid="{00000000-0005-0000-0000-0000D0040000}"/>
    <cellStyle name="_FFF_Список тиражирования_040822 Profit_Tax_(portal)" xfId="1282" xr:uid="{00000000-0005-0000-0000-0000D1040000}"/>
    <cellStyle name="_FFF_Список тиражирования_040928 Profit_Tax_3Ax1Ax4" xfId="1283" xr:uid="{00000000-0005-0000-0000-0000D2040000}"/>
    <cellStyle name="_FFF_Список тиражирования_Tax Input 5yr plan" xfId="1284" xr:uid="{00000000-0005-0000-0000-0000D3040000}"/>
    <cellStyle name="_FFF_Список тиражирования_Книга2" xfId="1285" xr:uid="{00000000-0005-0000-0000-0000D4040000}"/>
    <cellStyle name="_FFF_Список тиражирования_Налог_на_прибыль" xfId="1286" xr:uid="{00000000-0005-0000-0000-0000D5040000}"/>
    <cellStyle name="_FFF_Форма 12 last" xfId="1287" xr:uid="{00000000-0005-0000-0000-0000D6040000}"/>
    <cellStyle name="_FFF_Форма 12 last_~5055318" xfId="1288" xr:uid="{00000000-0005-0000-0000-0000D7040000}"/>
    <cellStyle name="_FFF_Форма 12 last_DCF030925_vat" xfId="1289" xr:uid="{00000000-0005-0000-0000-0000D8040000}"/>
    <cellStyle name="_FFF_Форма 12 last_DCF030925_vat_" xfId="1290" xr:uid="{00000000-0005-0000-0000-0000D9040000}"/>
    <cellStyle name="_FFF_Форма 12 last_DCFonly" xfId="1291" xr:uid="{00000000-0005-0000-0000-0000DA040000}"/>
    <cellStyle name="_Final_Book_010301" xfId="1292" xr:uid="{00000000-0005-0000-0000-0000DB040000}"/>
    <cellStyle name="_Final_Book_010301_~5055318" xfId="1293" xr:uid="{00000000-0005-0000-0000-0000DC040000}"/>
    <cellStyle name="_Final_Book_010301_17_0" xfId="1294" xr:uid="{00000000-0005-0000-0000-0000DD040000}"/>
    <cellStyle name="_Final_Book_010301_17_0_~5055318" xfId="1295" xr:uid="{00000000-0005-0000-0000-0000DE040000}"/>
    <cellStyle name="_Final_Book_010301_17_0_1" xfId="1296" xr:uid="{00000000-0005-0000-0000-0000DF040000}"/>
    <cellStyle name="_Final_Book_010301_17_0_1_~5055318" xfId="1297" xr:uid="{00000000-0005-0000-0000-0000E0040000}"/>
    <cellStyle name="_Final_Book_010301_balance" xfId="1298" xr:uid="{00000000-0005-0000-0000-0000E1040000}"/>
    <cellStyle name="_Final_Book_010301_balance_~5055318" xfId="1299" xr:uid="{00000000-0005-0000-0000-0000E2040000}"/>
    <cellStyle name="_Final_Book_010301_Capex-new" xfId="1300" xr:uid="{00000000-0005-0000-0000-0000E3040000}"/>
    <cellStyle name="_Final_Book_010301_Capex-new_~5055318" xfId="1301" xr:uid="{00000000-0005-0000-0000-0000E4040000}"/>
    <cellStyle name="_Final_Book_010301_Capex-new_DCF030925_vat" xfId="1302" xr:uid="{00000000-0005-0000-0000-0000E5040000}"/>
    <cellStyle name="_Final_Book_010301_Capex-new_DCF030925_vat_" xfId="1303" xr:uid="{00000000-0005-0000-0000-0000E6040000}"/>
    <cellStyle name="_Final_Book_010301_Capex-new_DCFonly" xfId="1304" xr:uid="{00000000-0005-0000-0000-0000E7040000}"/>
    <cellStyle name="_Final_Book_010301_DCF030925_vat" xfId="1305" xr:uid="{00000000-0005-0000-0000-0000E8040000}"/>
    <cellStyle name="_Final_Book_010301_DCF030925_vat_" xfId="1306" xr:uid="{00000000-0005-0000-0000-0000E9040000}"/>
    <cellStyle name="_Final_Book_010301_DCFonly" xfId="1307" xr:uid="{00000000-0005-0000-0000-0000EA040000}"/>
    <cellStyle name="_Final_Book_010301_Financial Plan - final_2" xfId="1308" xr:uid="{00000000-0005-0000-0000-0000EB040000}"/>
    <cellStyle name="_Final_Book_010301_Financial Plan - final_2_~5055318" xfId="1309" xr:uid="{00000000-0005-0000-0000-0000EC040000}"/>
    <cellStyle name="_Final_Book_010301_Financial Plan - final_2_DCF030925_vat" xfId="1310" xr:uid="{00000000-0005-0000-0000-0000ED040000}"/>
    <cellStyle name="_Final_Book_010301_Financial Plan - final_2_DCF030925_vat_" xfId="1311" xr:uid="{00000000-0005-0000-0000-0000EE040000}"/>
    <cellStyle name="_Final_Book_010301_Financial Plan - final_2_DCFonly" xfId="1312" xr:uid="{00000000-0005-0000-0000-0000EF040000}"/>
    <cellStyle name="_Final_Book_010301_Form 01(MB)" xfId="1313" xr:uid="{00000000-0005-0000-0000-0000F0040000}"/>
    <cellStyle name="_Final_Book_010301_Form 01(MB)_040822 Profit_Tax_(portal)" xfId="1314" xr:uid="{00000000-0005-0000-0000-0000F1040000}"/>
    <cellStyle name="_Final_Book_010301_Form 01(MB)_040928 Profit_Tax_3Ax1Ax4" xfId="1315" xr:uid="{00000000-0005-0000-0000-0000F2040000}"/>
    <cellStyle name="_Final_Book_010301_Form 01(MB)_Tax Input 5yr plan" xfId="1316" xr:uid="{00000000-0005-0000-0000-0000F3040000}"/>
    <cellStyle name="_Final_Book_010301_Form 01(MB)_Книга2" xfId="1317" xr:uid="{00000000-0005-0000-0000-0000F4040000}"/>
    <cellStyle name="_Final_Book_010301_Form 01(MB)_Налог_на_прибыль" xfId="1318" xr:uid="{00000000-0005-0000-0000-0000F5040000}"/>
    <cellStyle name="_Final_Book_010301_Links_NK" xfId="1319" xr:uid="{00000000-0005-0000-0000-0000F6040000}"/>
    <cellStyle name="_Final_Book_010301_Links_NK_040822 Profit_Tax_(portal)" xfId="1320" xr:uid="{00000000-0005-0000-0000-0000F7040000}"/>
    <cellStyle name="_Final_Book_010301_Links_NK_040928 Profit_Tax_3Ax1Ax4" xfId="1321" xr:uid="{00000000-0005-0000-0000-0000F8040000}"/>
    <cellStyle name="_Final_Book_010301_Links_NK_Tax Input 5yr plan" xfId="1322" xr:uid="{00000000-0005-0000-0000-0000F9040000}"/>
    <cellStyle name="_Final_Book_010301_Links_NK_Книга2" xfId="1323" xr:uid="{00000000-0005-0000-0000-0000FA040000}"/>
    <cellStyle name="_Final_Book_010301_Links_NK_Налог_на_прибыль" xfId="1324" xr:uid="{00000000-0005-0000-0000-0000FB040000}"/>
    <cellStyle name="_Final_Book_010301_N20_5" xfId="1325" xr:uid="{00000000-0005-0000-0000-0000FC040000}"/>
    <cellStyle name="_Final_Book_010301_N20_5_~5055318" xfId="1326" xr:uid="{00000000-0005-0000-0000-0000FD040000}"/>
    <cellStyle name="_Final_Book_010301_N20_5_DCF030925_vat" xfId="1327" xr:uid="{00000000-0005-0000-0000-0000FE040000}"/>
    <cellStyle name="_Final_Book_010301_N20_5_DCF030925_vat_" xfId="1328" xr:uid="{00000000-0005-0000-0000-0000FF040000}"/>
    <cellStyle name="_Final_Book_010301_N20_5_DCFonly" xfId="1329" xr:uid="{00000000-0005-0000-0000-000000050000}"/>
    <cellStyle name="_Final_Book_010301_N20_6" xfId="1330" xr:uid="{00000000-0005-0000-0000-000001050000}"/>
    <cellStyle name="_Final_Book_010301_N20_6_~5055318" xfId="1331" xr:uid="{00000000-0005-0000-0000-000002050000}"/>
    <cellStyle name="_Final_Book_010301_N20_6_DCF030925_vat" xfId="1332" xr:uid="{00000000-0005-0000-0000-000003050000}"/>
    <cellStyle name="_Final_Book_010301_N20_6_DCF030925_vat_" xfId="1333" xr:uid="{00000000-0005-0000-0000-000004050000}"/>
    <cellStyle name="_Final_Book_010301_N20_6_DCFonly" xfId="1334" xr:uid="{00000000-0005-0000-0000-000005050000}"/>
    <cellStyle name="_Final_Book_010301_New Form10_2" xfId="1335" xr:uid="{00000000-0005-0000-0000-000006050000}"/>
    <cellStyle name="_Final_Book_010301_New Form10_2_~5055318" xfId="1336" xr:uid="{00000000-0005-0000-0000-000007050000}"/>
    <cellStyle name="_Final_Book_010301_New Form10_2_DCF030925_vat" xfId="1337" xr:uid="{00000000-0005-0000-0000-000008050000}"/>
    <cellStyle name="_Final_Book_010301_New Form10_2_DCF030925_vat_" xfId="1338" xr:uid="{00000000-0005-0000-0000-000009050000}"/>
    <cellStyle name="_Final_Book_010301_New Form10_2_DCFonly" xfId="1339" xr:uid="{00000000-0005-0000-0000-00000A050000}"/>
    <cellStyle name="_Final_Book_010301_Nsi" xfId="1340" xr:uid="{00000000-0005-0000-0000-00000B050000}"/>
    <cellStyle name="_Final_Book_010301_Nsi - last version" xfId="1341" xr:uid="{00000000-0005-0000-0000-00000C050000}"/>
    <cellStyle name="_Final_Book_010301_Nsi - last version for programming" xfId="1342" xr:uid="{00000000-0005-0000-0000-00000D050000}"/>
    <cellStyle name="_Final_Book_010301_Nsi - last version for programming_~5055318" xfId="1343" xr:uid="{00000000-0005-0000-0000-00000E050000}"/>
    <cellStyle name="_Final_Book_010301_Nsi - last version for programming_DCF030925_vat" xfId="1344" xr:uid="{00000000-0005-0000-0000-00000F050000}"/>
    <cellStyle name="_Final_Book_010301_Nsi - last version for programming_DCF030925_vat_" xfId="1345" xr:uid="{00000000-0005-0000-0000-000010050000}"/>
    <cellStyle name="_Final_Book_010301_Nsi - last version for programming_DCFonly" xfId="1346" xr:uid="{00000000-0005-0000-0000-000011050000}"/>
    <cellStyle name="_Final_Book_010301_Nsi - last version_~5055318" xfId="1347" xr:uid="{00000000-0005-0000-0000-000012050000}"/>
    <cellStyle name="_Final_Book_010301_Nsi - last version_DCF030925_vat" xfId="1348" xr:uid="{00000000-0005-0000-0000-000013050000}"/>
    <cellStyle name="_Final_Book_010301_Nsi - last version_DCF030925_vat_" xfId="1349" xr:uid="{00000000-0005-0000-0000-000014050000}"/>
    <cellStyle name="_Final_Book_010301_Nsi - last version_DCFonly" xfId="1350" xr:uid="{00000000-0005-0000-0000-000015050000}"/>
    <cellStyle name="_Final_Book_010301_Nsi - next_last version" xfId="1351" xr:uid="{00000000-0005-0000-0000-000016050000}"/>
    <cellStyle name="_Final_Book_010301_Nsi - next_last version_~5055318" xfId="1352" xr:uid="{00000000-0005-0000-0000-000017050000}"/>
    <cellStyle name="_Final_Book_010301_Nsi - next_last version_DCF030925_vat" xfId="1353" xr:uid="{00000000-0005-0000-0000-000018050000}"/>
    <cellStyle name="_Final_Book_010301_Nsi - next_last version_DCF030925_vat_" xfId="1354" xr:uid="{00000000-0005-0000-0000-000019050000}"/>
    <cellStyle name="_Final_Book_010301_Nsi - next_last version_DCFonly" xfId="1355" xr:uid="{00000000-0005-0000-0000-00001A050000}"/>
    <cellStyle name="_Final_Book_010301_Nsi - plan - final" xfId="1356" xr:uid="{00000000-0005-0000-0000-00001B050000}"/>
    <cellStyle name="_Final_Book_010301_Nsi - plan - final_~5055318" xfId="1357" xr:uid="{00000000-0005-0000-0000-00001C050000}"/>
    <cellStyle name="_Final_Book_010301_Nsi - plan - final_DCF030925_vat" xfId="1358" xr:uid="{00000000-0005-0000-0000-00001D050000}"/>
    <cellStyle name="_Final_Book_010301_Nsi - plan - final_DCF030925_vat_" xfId="1359" xr:uid="{00000000-0005-0000-0000-00001E050000}"/>
    <cellStyle name="_Final_Book_010301_Nsi - plan - final_DCFonly" xfId="1360" xr:uid="{00000000-0005-0000-0000-00001F050000}"/>
    <cellStyle name="_Final_Book_010301_Nsi -super_ last version" xfId="1361" xr:uid="{00000000-0005-0000-0000-000020050000}"/>
    <cellStyle name="_Final_Book_010301_Nsi -super_ last version_~5055318" xfId="1362" xr:uid="{00000000-0005-0000-0000-000021050000}"/>
    <cellStyle name="_Final_Book_010301_Nsi -super_ last version_DCF030925_vat" xfId="1363" xr:uid="{00000000-0005-0000-0000-000022050000}"/>
    <cellStyle name="_Final_Book_010301_Nsi -super_ last version_DCF030925_vat_" xfId="1364" xr:uid="{00000000-0005-0000-0000-000023050000}"/>
    <cellStyle name="_Final_Book_010301_Nsi -super_ last version_DCFonly" xfId="1365" xr:uid="{00000000-0005-0000-0000-000024050000}"/>
    <cellStyle name="_Final_Book_010301_Nsi(2)" xfId="1366" xr:uid="{00000000-0005-0000-0000-000025050000}"/>
    <cellStyle name="_Final_Book_010301_Nsi(2)_040822 Profit_Tax_(portal)" xfId="1367" xr:uid="{00000000-0005-0000-0000-000026050000}"/>
    <cellStyle name="_Final_Book_010301_Nsi(2)_040928 Profit_Tax_3Ax1Ax4" xfId="1368" xr:uid="{00000000-0005-0000-0000-000027050000}"/>
    <cellStyle name="_Final_Book_010301_Nsi(2)_Tax Input 5yr plan" xfId="1369" xr:uid="{00000000-0005-0000-0000-000028050000}"/>
    <cellStyle name="_Final_Book_010301_Nsi(2)_Книга2" xfId="1370" xr:uid="{00000000-0005-0000-0000-000029050000}"/>
    <cellStyle name="_Final_Book_010301_Nsi(2)_Налог_на_прибыль" xfId="1371" xr:uid="{00000000-0005-0000-0000-00002A050000}"/>
    <cellStyle name="_Final_Book_010301_Nsi_~5055318" xfId="1372" xr:uid="{00000000-0005-0000-0000-00002B050000}"/>
    <cellStyle name="_Final_Book_010301_Nsi_1" xfId="1373" xr:uid="{00000000-0005-0000-0000-00002C050000}"/>
    <cellStyle name="_Final_Book_010301_Nsi_1_~5055318" xfId="1374" xr:uid="{00000000-0005-0000-0000-00002D050000}"/>
    <cellStyle name="_Final_Book_010301_Nsi_1_DCF030925_vat" xfId="1375" xr:uid="{00000000-0005-0000-0000-00002E050000}"/>
    <cellStyle name="_Final_Book_010301_Nsi_1_DCF030925_vat_" xfId="1376" xr:uid="{00000000-0005-0000-0000-00002F050000}"/>
    <cellStyle name="_Final_Book_010301_Nsi_1_DCFonly" xfId="1377" xr:uid="{00000000-0005-0000-0000-000030050000}"/>
    <cellStyle name="_Final_Book_010301_Nsi_139" xfId="1378" xr:uid="{00000000-0005-0000-0000-000031050000}"/>
    <cellStyle name="_Final_Book_010301_Nsi_139_~5055318" xfId="1379" xr:uid="{00000000-0005-0000-0000-000032050000}"/>
    <cellStyle name="_Final_Book_010301_Nsi_139_DCF030925_vat" xfId="1380" xr:uid="{00000000-0005-0000-0000-000033050000}"/>
    <cellStyle name="_Final_Book_010301_Nsi_139_DCF030925_vat_" xfId="1381" xr:uid="{00000000-0005-0000-0000-000034050000}"/>
    <cellStyle name="_Final_Book_010301_Nsi_139_DCFonly" xfId="1382" xr:uid="{00000000-0005-0000-0000-000035050000}"/>
    <cellStyle name="_Final_Book_010301_Nsi_140" xfId="1383" xr:uid="{00000000-0005-0000-0000-000036050000}"/>
    <cellStyle name="_Final_Book_010301_Nsi_140(Зах)" xfId="1384" xr:uid="{00000000-0005-0000-0000-000037050000}"/>
    <cellStyle name="_Final_Book_010301_Nsi_140(Зах)_~5055318" xfId="1385" xr:uid="{00000000-0005-0000-0000-000038050000}"/>
    <cellStyle name="_Final_Book_010301_Nsi_140(Зах)_DCF030925_vat" xfId="1386" xr:uid="{00000000-0005-0000-0000-000039050000}"/>
    <cellStyle name="_Final_Book_010301_Nsi_140(Зах)_DCF030925_vat_" xfId="1387" xr:uid="{00000000-0005-0000-0000-00003A050000}"/>
    <cellStyle name="_Final_Book_010301_Nsi_140(Зах)_DCFonly" xfId="1388" xr:uid="{00000000-0005-0000-0000-00003B050000}"/>
    <cellStyle name="_Final_Book_010301_Nsi_140_~5055318" xfId="1389" xr:uid="{00000000-0005-0000-0000-00003C050000}"/>
    <cellStyle name="_Final_Book_010301_Nsi_140_DCF030925_vat" xfId="1390" xr:uid="{00000000-0005-0000-0000-00003D050000}"/>
    <cellStyle name="_Final_Book_010301_Nsi_140_DCF030925_vat_" xfId="1391" xr:uid="{00000000-0005-0000-0000-00003E050000}"/>
    <cellStyle name="_Final_Book_010301_Nsi_140_DCFonly" xfId="1392" xr:uid="{00000000-0005-0000-0000-00003F050000}"/>
    <cellStyle name="_Final_Book_010301_Nsi_140_mod" xfId="1393" xr:uid="{00000000-0005-0000-0000-000040050000}"/>
    <cellStyle name="_Final_Book_010301_Nsi_140_mod_~5055318" xfId="1394" xr:uid="{00000000-0005-0000-0000-000041050000}"/>
    <cellStyle name="_Final_Book_010301_Nsi_140_mod_DCF030925_vat" xfId="1395" xr:uid="{00000000-0005-0000-0000-000042050000}"/>
    <cellStyle name="_Final_Book_010301_Nsi_140_mod_DCF030925_vat_" xfId="1396" xr:uid="{00000000-0005-0000-0000-000043050000}"/>
    <cellStyle name="_Final_Book_010301_Nsi_140_mod_DCFonly" xfId="1397" xr:uid="{00000000-0005-0000-0000-000044050000}"/>
    <cellStyle name="_Final_Book_010301_Nsi_158" xfId="1398" xr:uid="{00000000-0005-0000-0000-000045050000}"/>
    <cellStyle name="_Final_Book_010301_Nsi_158_040822 Profit_Tax_(portal)" xfId="1399" xr:uid="{00000000-0005-0000-0000-000046050000}"/>
    <cellStyle name="_Final_Book_010301_Nsi_158_040928 Profit_Tax_3Ax1Ax4" xfId="1400" xr:uid="{00000000-0005-0000-0000-000047050000}"/>
    <cellStyle name="_Final_Book_010301_Nsi_158_Tax Input 5yr plan" xfId="1401" xr:uid="{00000000-0005-0000-0000-000048050000}"/>
    <cellStyle name="_Final_Book_010301_Nsi_158_Книга2" xfId="1402" xr:uid="{00000000-0005-0000-0000-000049050000}"/>
    <cellStyle name="_Final_Book_010301_Nsi_158_Налог_на_прибыль" xfId="1403" xr:uid="{00000000-0005-0000-0000-00004A050000}"/>
    <cellStyle name="_Final_Book_010301_Nsi_DCF030925_vat" xfId="1404" xr:uid="{00000000-0005-0000-0000-00004B050000}"/>
    <cellStyle name="_Final_Book_010301_Nsi_DCF030925_vat_" xfId="1405" xr:uid="{00000000-0005-0000-0000-00004C050000}"/>
    <cellStyle name="_Final_Book_010301_Nsi_DCFonly" xfId="1406" xr:uid="{00000000-0005-0000-0000-00004D050000}"/>
    <cellStyle name="_Final_Book_010301_Nsi_Express" xfId="1407" xr:uid="{00000000-0005-0000-0000-00004E050000}"/>
    <cellStyle name="_Final_Book_010301_Nsi_Express_040822 Profit_Tax_(portal)" xfId="1408" xr:uid="{00000000-0005-0000-0000-00004F050000}"/>
    <cellStyle name="_Final_Book_010301_Nsi_Express_040928 Profit_Tax_3Ax1Ax4" xfId="1409" xr:uid="{00000000-0005-0000-0000-000050050000}"/>
    <cellStyle name="_Final_Book_010301_Nsi_Express_Tax Input 5yr plan" xfId="1410" xr:uid="{00000000-0005-0000-0000-000051050000}"/>
    <cellStyle name="_Final_Book_010301_Nsi_Express_Книга2" xfId="1411" xr:uid="{00000000-0005-0000-0000-000052050000}"/>
    <cellStyle name="_Final_Book_010301_Nsi_Express_Налог_на_прибыль" xfId="1412" xr:uid="{00000000-0005-0000-0000-000053050000}"/>
    <cellStyle name="_Final_Book_010301_Nsi_Jan1" xfId="1413" xr:uid="{00000000-0005-0000-0000-000054050000}"/>
    <cellStyle name="_Final_Book_010301_Nsi_Jan1_~5055318" xfId="1414" xr:uid="{00000000-0005-0000-0000-000055050000}"/>
    <cellStyle name="_Final_Book_010301_Nsi_Jan1_DCF030925_vat" xfId="1415" xr:uid="{00000000-0005-0000-0000-000056050000}"/>
    <cellStyle name="_Final_Book_010301_Nsi_Jan1_DCF030925_vat_" xfId="1416" xr:uid="{00000000-0005-0000-0000-000057050000}"/>
    <cellStyle name="_Final_Book_010301_Nsi_Jan1_DCFonly" xfId="1417" xr:uid="{00000000-0005-0000-0000-000058050000}"/>
    <cellStyle name="_Final_Book_010301_Nsi_test" xfId="1418" xr:uid="{00000000-0005-0000-0000-000059050000}"/>
    <cellStyle name="_Final_Book_010301_Nsi_test_040822 Profit_Tax_(portal)" xfId="1419" xr:uid="{00000000-0005-0000-0000-00005A050000}"/>
    <cellStyle name="_Final_Book_010301_Nsi_test_040928 Profit_Tax_3Ax1Ax4" xfId="1420" xr:uid="{00000000-0005-0000-0000-00005B050000}"/>
    <cellStyle name="_Final_Book_010301_Nsi_test_Tax Input 5yr plan" xfId="1421" xr:uid="{00000000-0005-0000-0000-00005C050000}"/>
    <cellStyle name="_Final_Book_010301_Nsi_test_Книга2" xfId="1422" xr:uid="{00000000-0005-0000-0000-00005D050000}"/>
    <cellStyle name="_Final_Book_010301_Nsi_test_Налог_на_прибыль" xfId="1423" xr:uid="{00000000-0005-0000-0000-00005E050000}"/>
    <cellStyle name="_Final_Book_010301_Nsi2" xfId="1424" xr:uid="{00000000-0005-0000-0000-00005F050000}"/>
    <cellStyle name="_Final_Book_010301_Nsi2_~5055318" xfId="1425" xr:uid="{00000000-0005-0000-0000-000060050000}"/>
    <cellStyle name="_Final_Book_010301_Nsi2_DCF030925_vat" xfId="1426" xr:uid="{00000000-0005-0000-0000-000061050000}"/>
    <cellStyle name="_Final_Book_010301_Nsi2_DCF030925_vat_" xfId="1427" xr:uid="{00000000-0005-0000-0000-000062050000}"/>
    <cellStyle name="_Final_Book_010301_Nsi2_DCFonly" xfId="1428" xr:uid="{00000000-0005-0000-0000-000063050000}"/>
    <cellStyle name="_Final_Book_010301_Nsi-Services" xfId="1429" xr:uid="{00000000-0005-0000-0000-000064050000}"/>
    <cellStyle name="_Final_Book_010301_Nsi-Services_040822 Profit_Tax_(portal)" xfId="1430" xr:uid="{00000000-0005-0000-0000-000065050000}"/>
    <cellStyle name="_Final_Book_010301_Nsi-Services_040928 Profit_Tax_3Ax1Ax4" xfId="1431" xr:uid="{00000000-0005-0000-0000-000066050000}"/>
    <cellStyle name="_Final_Book_010301_Nsi-Services_Tax Input 5yr plan" xfId="1432" xr:uid="{00000000-0005-0000-0000-000067050000}"/>
    <cellStyle name="_Final_Book_010301_Nsi-Services_Книга2" xfId="1433" xr:uid="{00000000-0005-0000-0000-000068050000}"/>
    <cellStyle name="_Final_Book_010301_Nsi-Services_Налог_на_прибыль" xfId="1434" xr:uid="{00000000-0005-0000-0000-000069050000}"/>
    <cellStyle name="_Final_Book_010301_P&amp;L" xfId="1435" xr:uid="{00000000-0005-0000-0000-00006A050000}"/>
    <cellStyle name="_Final_Book_010301_P&amp;L_~5055318" xfId="1436" xr:uid="{00000000-0005-0000-0000-00006B050000}"/>
    <cellStyle name="_Final_Book_010301_P&amp;L_DCF030925_vat" xfId="1437" xr:uid="{00000000-0005-0000-0000-00006C050000}"/>
    <cellStyle name="_Final_Book_010301_P&amp;L_DCF030925_vat_" xfId="1438" xr:uid="{00000000-0005-0000-0000-00006D050000}"/>
    <cellStyle name="_Final_Book_010301_P&amp;L_DCFonly" xfId="1439" xr:uid="{00000000-0005-0000-0000-00006E050000}"/>
    <cellStyle name="_Final_Book_010301_S0400" xfId="1440" xr:uid="{00000000-0005-0000-0000-00006F050000}"/>
    <cellStyle name="_Final_Book_010301_S0400_040822 Profit_Tax_(portal)" xfId="1441" xr:uid="{00000000-0005-0000-0000-000070050000}"/>
    <cellStyle name="_Final_Book_010301_S0400_040928 Profit_Tax_3Ax1Ax4" xfId="1442" xr:uid="{00000000-0005-0000-0000-000071050000}"/>
    <cellStyle name="_Final_Book_010301_S0400_Tax Input 5yr plan" xfId="1443" xr:uid="{00000000-0005-0000-0000-000072050000}"/>
    <cellStyle name="_Final_Book_010301_S0400_Книга2" xfId="1444" xr:uid="{00000000-0005-0000-0000-000073050000}"/>
    <cellStyle name="_Final_Book_010301_S0400_Налог_на_прибыль" xfId="1445" xr:uid="{00000000-0005-0000-0000-000074050000}"/>
    <cellStyle name="_Final_Book_010301_S13001" xfId="1446" xr:uid="{00000000-0005-0000-0000-000075050000}"/>
    <cellStyle name="_Final_Book_010301_S13001_040822 Profit_Tax_(portal)" xfId="1447" xr:uid="{00000000-0005-0000-0000-000076050000}"/>
    <cellStyle name="_Final_Book_010301_S13001_040928 Profit_Tax_3Ax1Ax4" xfId="1448" xr:uid="{00000000-0005-0000-0000-000077050000}"/>
    <cellStyle name="_Final_Book_010301_S13001_Tax Input 5yr plan" xfId="1449" xr:uid="{00000000-0005-0000-0000-000078050000}"/>
    <cellStyle name="_Final_Book_010301_S13001_Книга2" xfId="1450" xr:uid="{00000000-0005-0000-0000-000079050000}"/>
    <cellStyle name="_Final_Book_010301_S13001_Налог_на_прибыль" xfId="1451" xr:uid="{00000000-0005-0000-0000-00007A050000}"/>
    <cellStyle name="_Final_Book_010301_Sheet1" xfId="1452" xr:uid="{00000000-0005-0000-0000-00007B050000}"/>
    <cellStyle name="_Final_Book_010301_Sheet1_~5055318" xfId="1453" xr:uid="{00000000-0005-0000-0000-00007C050000}"/>
    <cellStyle name="_Final_Book_010301_Sheet1_DCF030925_vat" xfId="1454" xr:uid="{00000000-0005-0000-0000-00007D050000}"/>
    <cellStyle name="_Final_Book_010301_Sheet1_DCF030925_vat_" xfId="1455" xr:uid="{00000000-0005-0000-0000-00007E050000}"/>
    <cellStyle name="_Final_Book_010301_Sheet1_DCFonly" xfId="1456" xr:uid="{00000000-0005-0000-0000-00007F050000}"/>
    <cellStyle name="_Final_Book_010301_SOFI" xfId="1457" xr:uid="{00000000-0005-0000-0000-000080050000}"/>
    <cellStyle name="_Final_Book_010301_sofi - plan_AP270202ii" xfId="1458" xr:uid="{00000000-0005-0000-0000-000081050000}"/>
    <cellStyle name="_Final_Book_010301_sofi - plan_AP270202ii_~5055318" xfId="1459" xr:uid="{00000000-0005-0000-0000-000082050000}"/>
    <cellStyle name="_Final_Book_010301_sofi - plan_AP270202ii_DCF030925_vat" xfId="1460" xr:uid="{00000000-0005-0000-0000-000083050000}"/>
    <cellStyle name="_Final_Book_010301_sofi - plan_AP270202ii_DCF030925_vat_" xfId="1461" xr:uid="{00000000-0005-0000-0000-000084050000}"/>
    <cellStyle name="_Final_Book_010301_sofi - plan_AP270202ii_DCFonly" xfId="1462" xr:uid="{00000000-0005-0000-0000-000085050000}"/>
    <cellStyle name="_Final_Book_010301_sofi - plan_AP270202iii" xfId="1463" xr:uid="{00000000-0005-0000-0000-000086050000}"/>
    <cellStyle name="_Final_Book_010301_sofi - plan_AP270202iii_~5055318" xfId="1464" xr:uid="{00000000-0005-0000-0000-000087050000}"/>
    <cellStyle name="_Final_Book_010301_sofi - plan_AP270202iii_DCF030925_vat" xfId="1465" xr:uid="{00000000-0005-0000-0000-000088050000}"/>
    <cellStyle name="_Final_Book_010301_sofi - plan_AP270202iii_DCF030925_vat_" xfId="1466" xr:uid="{00000000-0005-0000-0000-000089050000}"/>
    <cellStyle name="_Final_Book_010301_sofi - plan_AP270202iii_DCFonly" xfId="1467" xr:uid="{00000000-0005-0000-0000-00008A050000}"/>
    <cellStyle name="_Final_Book_010301_sofi - plan_AP270202iv" xfId="1468" xr:uid="{00000000-0005-0000-0000-00008B050000}"/>
    <cellStyle name="_Final_Book_010301_sofi - plan_AP270202iv_~5055318" xfId="1469" xr:uid="{00000000-0005-0000-0000-00008C050000}"/>
    <cellStyle name="_Final_Book_010301_sofi - plan_AP270202iv_DCF030925_vat" xfId="1470" xr:uid="{00000000-0005-0000-0000-00008D050000}"/>
    <cellStyle name="_Final_Book_010301_sofi - plan_AP270202iv_DCF030925_vat_" xfId="1471" xr:uid="{00000000-0005-0000-0000-00008E050000}"/>
    <cellStyle name="_Final_Book_010301_sofi - plan_AP270202iv_DCFonly" xfId="1472" xr:uid="{00000000-0005-0000-0000-00008F050000}"/>
    <cellStyle name="_Final_Book_010301_Sofi vs Sobi" xfId="1473" xr:uid="{00000000-0005-0000-0000-000090050000}"/>
    <cellStyle name="_Final_Book_010301_Sofi vs Sobi_~5055318" xfId="1474" xr:uid="{00000000-0005-0000-0000-000091050000}"/>
    <cellStyle name="_Final_Book_010301_Sofi vs Sobi_DCF030925_vat" xfId="1475" xr:uid="{00000000-0005-0000-0000-000092050000}"/>
    <cellStyle name="_Final_Book_010301_Sofi vs Sobi_DCF030925_vat_" xfId="1476" xr:uid="{00000000-0005-0000-0000-000093050000}"/>
    <cellStyle name="_Final_Book_010301_Sofi vs Sobi_DCFonly" xfId="1477" xr:uid="{00000000-0005-0000-0000-000094050000}"/>
    <cellStyle name="_Final_Book_010301_SOFI_~5055318" xfId="1478" xr:uid="{00000000-0005-0000-0000-000095050000}"/>
    <cellStyle name="_Final_Book_010301_Sofi_PBD 27-11-01" xfId="1479" xr:uid="{00000000-0005-0000-0000-000096050000}"/>
    <cellStyle name="_Final_Book_010301_Sofi_PBD 27-11-01_~5055318" xfId="1480" xr:uid="{00000000-0005-0000-0000-000097050000}"/>
    <cellStyle name="_Final_Book_010301_Sofi_PBD 27-11-01_DCF030925_vat" xfId="1481" xr:uid="{00000000-0005-0000-0000-000098050000}"/>
    <cellStyle name="_Final_Book_010301_Sofi_PBD 27-11-01_DCF030925_vat_" xfId="1482" xr:uid="{00000000-0005-0000-0000-000099050000}"/>
    <cellStyle name="_Final_Book_010301_Sofi_PBD 27-11-01_DCFonly" xfId="1483" xr:uid="{00000000-0005-0000-0000-00009A050000}"/>
    <cellStyle name="_Final_Book_010301_SOFI_TEPs_AOK_130902" xfId="1484" xr:uid="{00000000-0005-0000-0000-00009B050000}"/>
    <cellStyle name="_Final_Book_010301_SOFI_TEPs_AOK_130902_040822 Profit_Tax_(portal)" xfId="1485" xr:uid="{00000000-0005-0000-0000-00009C050000}"/>
    <cellStyle name="_Final_Book_010301_SOFI_TEPs_AOK_130902_040928 Profit_Tax_3Ax1Ax4" xfId="1486" xr:uid="{00000000-0005-0000-0000-00009D050000}"/>
    <cellStyle name="_Final_Book_010301_SOFI_TEPs_AOK_130902_Tax Input 5yr plan" xfId="1487" xr:uid="{00000000-0005-0000-0000-00009E050000}"/>
    <cellStyle name="_Final_Book_010301_SOFI_TEPs_AOK_130902_Книга2" xfId="1488" xr:uid="{00000000-0005-0000-0000-00009F050000}"/>
    <cellStyle name="_Final_Book_010301_SOFI_TEPs_AOK_130902_Налог_на_прибыль" xfId="1489" xr:uid="{00000000-0005-0000-0000-0000A0050000}"/>
    <cellStyle name="_Final_Book_010301_Sofi145a" xfId="1490" xr:uid="{00000000-0005-0000-0000-0000A1050000}"/>
    <cellStyle name="_Final_Book_010301_Sofi145a_~5055318" xfId="1491" xr:uid="{00000000-0005-0000-0000-0000A2050000}"/>
    <cellStyle name="_Final_Book_010301_Sofi145a_DCF030925_vat" xfId="1492" xr:uid="{00000000-0005-0000-0000-0000A3050000}"/>
    <cellStyle name="_Final_Book_010301_Sofi145a_DCF030925_vat_" xfId="1493" xr:uid="{00000000-0005-0000-0000-0000A4050000}"/>
    <cellStyle name="_Final_Book_010301_Sofi145a_DCFonly" xfId="1494" xr:uid="{00000000-0005-0000-0000-0000A5050000}"/>
    <cellStyle name="_Final_Book_010301_Sofi153" xfId="1495" xr:uid="{00000000-0005-0000-0000-0000A6050000}"/>
    <cellStyle name="_Final_Book_010301_Sofi153_~5055318" xfId="1496" xr:uid="{00000000-0005-0000-0000-0000A7050000}"/>
    <cellStyle name="_Final_Book_010301_Sofi153_DCF030925_vat" xfId="1497" xr:uid="{00000000-0005-0000-0000-0000A8050000}"/>
    <cellStyle name="_Final_Book_010301_Sofi153_DCF030925_vat_" xfId="1498" xr:uid="{00000000-0005-0000-0000-0000A9050000}"/>
    <cellStyle name="_Final_Book_010301_Sofi153_DCFonly" xfId="1499" xr:uid="{00000000-0005-0000-0000-0000AA050000}"/>
    <cellStyle name="_Final_Book_010301_Summary" xfId="1500" xr:uid="{00000000-0005-0000-0000-0000AB050000}"/>
    <cellStyle name="_Final_Book_010301_Summary_~5055318" xfId="1501" xr:uid="{00000000-0005-0000-0000-0000AC050000}"/>
    <cellStyle name="_Final_Book_010301_Summary_DCF030925_vat" xfId="1502" xr:uid="{00000000-0005-0000-0000-0000AD050000}"/>
    <cellStyle name="_Final_Book_010301_Summary_DCF030925_vat_" xfId="1503" xr:uid="{00000000-0005-0000-0000-0000AE050000}"/>
    <cellStyle name="_Final_Book_010301_Summary_DCFonly" xfId="1504" xr:uid="{00000000-0005-0000-0000-0000AF050000}"/>
    <cellStyle name="_Final_Book_010301_SXXXX_Express_c Links" xfId="1505" xr:uid="{00000000-0005-0000-0000-0000B0050000}"/>
    <cellStyle name="_Final_Book_010301_SXXXX_Express_c Links_040822 Profit_Tax_(portal)" xfId="1506" xr:uid="{00000000-0005-0000-0000-0000B1050000}"/>
    <cellStyle name="_Final_Book_010301_SXXXX_Express_c Links_040928 Profit_Tax_3Ax1Ax4" xfId="1507" xr:uid="{00000000-0005-0000-0000-0000B2050000}"/>
    <cellStyle name="_Final_Book_010301_SXXXX_Express_c Links_Tax Input 5yr plan" xfId="1508" xr:uid="{00000000-0005-0000-0000-0000B3050000}"/>
    <cellStyle name="_Final_Book_010301_SXXXX_Express_c Links_Книга2" xfId="1509" xr:uid="{00000000-0005-0000-0000-0000B4050000}"/>
    <cellStyle name="_Final_Book_010301_SXXXX_Express_c Links_Налог_на_прибыль" xfId="1510" xr:uid="{00000000-0005-0000-0000-0000B5050000}"/>
    <cellStyle name="_Final_Book_010301_Tax_form_1кв_3" xfId="1511" xr:uid="{00000000-0005-0000-0000-0000B6050000}"/>
    <cellStyle name="_Final_Book_010301_Tax_form_1кв_3_~5055318" xfId="1512" xr:uid="{00000000-0005-0000-0000-0000B7050000}"/>
    <cellStyle name="_Final_Book_010301_Tax_form_1кв_3_DCF030925_vat" xfId="1513" xr:uid="{00000000-0005-0000-0000-0000B8050000}"/>
    <cellStyle name="_Final_Book_010301_Tax_form_1кв_3_DCF030925_vat_" xfId="1514" xr:uid="{00000000-0005-0000-0000-0000B9050000}"/>
    <cellStyle name="_Final_Book_010301_Tax_form_1кв_3_DCFonly" xfId="1515" xr:uid="{00000000-0005-0000-0000-0000BA050000}"/>
    <cellStyle name="_Final_Book_010301_test_11" xfId="1516" xr:uid="{00000000-0005-0000-0000-0000BB050000}"/>
    <cellStyle name="_Final_Book_010301_test_11_~5055318" xfId="1517" xr:uid="{00000000-0005-0000-0000-0000BC050000}"/>
    <cellStyle name="_Final_Book_010301_test_11_DCF030925_vat" xfId="1518" xr:uid="{00000000-0005-0000-0000-0000BD050000}"/>
    <cellStyle name="_Final_Book_010301_test_11_DCF030925_vat_" xfId="1519" xr:uid="{00000000-0005-0000-0000-0000BE050000}"/>
    <cellStyle name="_Final_Book_010301_test_11_DCFonly" xfId="1520" xr:uid="{00000000-0005-0000-0000-0000BF050000}"/>
    <cellStyle name="_Final_Book_010301_БКЭ" xfId="1521" xr:uid="{00000000-0005-0000-0000-0000C0050000}"/>
    <cellStyle name="_Final_Book_010301_БКЭ_~5055318" xfId="1522" xr:uid="{00000000-0005-0000-0000-0000C1050000}"/>
    <cellStyle name="_Final_Book_010301_БКЭ_DCF030925_vat" xfId="1523" xr:uid="{00000000-0005-0000-0000-0000C2050000}"/>
    <cellStyle name="_Final_Book_010301_БКЭ_DCF030925_vat_" xfId="1524" xr:uid="{00000000-0005-0000-0000-0000C3050000}"/>
    <cellStyle name="_Final_Book_010301_БКЭ_DCFonly" xfId="1525" xr:uid="{00000000-0005-0000-0000-0000C4050000}"/>
    <cellStyle name="_Final_Book_010301_для вставки в пакет за 2001" xfId="1526" xr:uid="{00000000-0005-0000-0000-0000C5050000}"/>
    <cellStyle name="_Final_Book_010301_для вставки в пакет за 2001_~5055318" xfId="1527" xr:uid="{00000000-0005-0000-0000-0000C6050000}"/>
    <cellStyle name="_Final_Book_010301_для вставки в пакет за 2001_DCF030925_vat" xfId="1528" xr:uid="{00000000-0005-0000-0000-0000C7050000}"/>
    <cellStyle name="_Final_Book_010301_для вставки в пакет за 2001_DCF030925_vat_" xfId="1529" xr:uid="{00000000-0005-0000-0000-0000C8050000}"/>
    <cellStyle name="_Final_Book_010301_для вставки в пакет за 2001_DCFonly" xfId="1530" xr:uid="{00000000-0005-0000-0000-0000C9050000}"/>
    <cellStyle name="_Final_Book_010301_дляГалиныВ" xfId="1531" xr:uid="{00000000-0005-0000-0000-0000CA050000}"/>
    <cellStyle name="_Final_Book_010301_дляГалиныВ_040822 Profit_Tax_(portal)" xfId="1532" xr:uid="{00000000-0005-0000-0000-0000CB050000}"/>
    <cellStyle name="_Final_Book_010301_дляГалиныВ_040928 Profit_Tax_3Ax1Ax4" xfId="1533" xr:uid="{00000000-0005-0000-0000-0000CC050000}"/>
    <cellStyle name="_Final_Book_010301_дляГалиныВ_Tax Input 5yr plan" xfId="1534" xr:uid="{00000000-0005-0000-0000-0000CD050000}"/>
    <cellStyle name="_Final_Book_010301_дляГалиныВ_Книга2" xfId="1535" xr:uid="{00000000-0005-0000-0000-0000CE050000}"/>
    <cellStyle name="_Final_Book_010301_дляГалиныВ_Налог_на_прибыль" xfId="1536" xr:uid="{00000000-0005-0000-0000-0000CF050000}"/>
    <cellStyle name="_Final_Book_010301_Книга7" xfId="1537" xr:uid="{00000000-0005-0000-0000-0000D0050000}"/>
    <cellStyle name="_Final_Book_010301_Книга7_~5055318" xfId="1538" xr:uid="{00000000-0005-0000-0000-0000D1050000}"/>
    <cellStyle name="_Final_Book_010301_Книга7_DCF030925_vat" xfId="1539" xr:uid="{00000000-0005-0000-0000-0000D2050000}"/>
    <cellStyle name="_Final_Book_010301_Книга7_DCF030925_vat_" xfId="1540" xr:uid="{00000000-0005-0000-0000-0000D3050000}"/>
    <cellStyle name="_Final_Book_010301_Книга7_DCFonly" xfId="1541" xr:uid="{00000000-0005-0000-0000-0000D4050000}"/>
    <cellStyle name="_Final_Book_010301_Лист1" xfId="1542" xr:uid="{00000000-0005-0000-0000-0000D5050000}"/>
    <cellStyle name="_Final_Book_010301_Лист1_040822 Profit_Tax_(portal)" xfId="1543" xr:uid="{00000000-0005-0000-0000-0000D6050000}"/>
    <cellStyle name="_Final_Book_010301_Лист1_040928 Profit_Tax_3Ax1Ax4" xfId="1544" xr:uid="{00000000-0005-0000-0000-0000D7050000}"/>
    <cellStyle name="_Final_Book_010301_Лист1_Tax Input 5yr plan" xfId="1545" xr:uid="{00000000-0005-0000-0000-0000D8050000}"/>
    <cellStyle name="_Final_Book_010301_Лист1_Книга2" xfId="1546" xr:uid="{00000000-0005-0000-0000-0000D9050000}"/>
    <cellStyle name="_Final_Book_010301_Лист1_Налог_на_прибыль" xfId="1547" xr:uid="{00000000-0005-0000-0000-0000DA050000}"/>
    <cellStyle name="_Final_Book_010301_ОСН. ДЕЯТ." xfId="1548" xr:uid="{00000000-0005-0000-0000-0000DB050000}"/>
    <cellStyle name="_Final_Book_010301_ОСН. ДЕЯТ._~5055318" xfId="1549" xr:uid="{00000000-0005-0000-0000-0000DC050000}"/>
    <cellStyle name="_Final_Book_010301_ОСН. ДЕЯТ._DCF030925_vat" xfId="1550" xr:uid="{00000000-0005-0000-0000-0000DD050000}"/>
    <cellStyle name="_Final_Book_010301_ОСН. ДЕЯТ._DCF030925_vat_" xfId="1551" xr:uid="{00000000-0005-0000-0000-0000DE050000}"/>
    <cellStyle name="_Final_Book_010301_ОСН. ДЕЯТ._DCFonly" xfId="1552" xr:uid="{00000000-0005-0000-0000-0000DF050000}"/>
    <cellStyle name="_Final_Book_010301_Перечень названий форм" xfId="1553" xr:uid="{00000000-0005-0000-0000-0000E0050000}"/>
    <cellStyle name="_Final_Book_010301_Перечень названий форм_~5055318" xfId="1554" xr:uid="{00000000-0005-0000-0000-0000E1050000}"/>
    <cellStyle name="_Final_Book_010301_Подразделения" xfId="1555" xr:uid="{00000000-0005-0000-0000-0000E2050000}"/>
    <cellStyle name="_Final_Book_010301_Подразделения_040822 Profit_Tax_(portal)" xfId="1556" xr:uid="{00000000-0005-0000-0000-0000E3050000}"/>
    <cellStyle name="_Final_Book_010301_Подразделения_040928 Profit_Tax_3Ax1Ax4" xfId="1557" xr:uid="{00000000-0005-0000-0000-0000E4050000}"/>
    <cellStyle name="_Final_Book_010301_Подразделения_Tax Input 5yr plan" xfId="1558" xr:uid="{00000000-0005-0000-0000-0000E5050000}"/>
    <cellStyle name="_Final_Book_010301_Подразделения_Книга2" xfId="1559" xr:uid="{00000000-0005-0000-0000-0000E6050000}"/>
    <cellStyle name="_Final_Book_010301_Подразделения_Налог_на_прибыль" xfId="1560" xr:uid="{00000000-0005-0000-0000-0000E7050000}"/>
    <cellStyle name="_Final_Book_010301_Список тиражирования" xfId="1561" xr:uid="{00000000-0005-0000-0000-0000E8050000}"/>
    <cellStyle name="_Final_Book_010301_Список тиражирования_040822 Profit_Tax_(portal)" xfId="1562" xr:uid="{00000000-0005-0000-0000-0000E9050000}"/>
    <cellStyle name="_Final_Book_010301_Список тиражирования_040928 Profit_Tax_3Ax1Ax4" xfId="1563" xr:uid="{00000000-0005-0000-0000-0000EA050000}"/>
    <cellStyle name="_Final_Book_010301_Список тиражирования_Tax Input 5yr plan" xfId="1564" xr:uid="{00000000-0005-0000-0000-0000EB050000}"/>
    <cellStyle name="_Final_Book_010301_Список тиражирования_Книга2" xfId="1565" xr:uid="{00000000-0005-0000-0000-0000EC050000}"/>
    <cellStyle name="_Final_Book_010301_Список тиражирования_Налог_на_прибыль" xfId="1566" xr:uid="{00000000-0005-0000-0000-0000ED050000}"/>
    <cellStyle name="_Final_Book_010301_Форма 12 last" xfId="1567" xr:uid="{00000000-0005-0000-0000-0000EE050000}"/>
    <cellStyle name="_Final_Book_010301_Форма 12 last_~5055318" xfId="1568" xr:uid="{00000000-0005-0000-0000-0000EF050000}"/>
    <cellStyle name="_Final_Book_010301_Форма 12 last_DCF030925_vat" xfId="1569" xr:uid="{00000000-0005-0000-0000-0000F0050000}"/>
    <cellStyle name="_Final_Book_010301_Форма 12 last_DCF030925_vat_" xfId="1570" xr:uid="{00000000-0005-0000-0000-0000F1050000}"/>
    <cellStyle name="_Final_Book_010301_Форма 12 last_DCFonly" xfId="1571" xr:uid="{00000000-0005-0000-0000-0000F2050000}"/>
    <cellStyle name="_Finance 5YP 10.11.2004" xfId="1572" xr:uid="{00000000-0005-0000-0000-0000F3050000}"/>
    <cellStyle name="_Finance Input 5yr plan" xfId="1573" xr:uid="{00000000-0005-0000-0000-0000F4050000}"/>
    <cellStyle name="_Financial Framework_new-2" xfId="1574" xr:uid="{00000000-0005-0000-0000-0000F5050000}"/>
    <cellStyle name="_G&amp;A_Corporate_Services_last" xfId="1575" xr:uid="{00000000-0005-0000-0000-0000F6050000}"/>
    <cellStyle name="_G&amp;A_Corporate_Services_last_~5055318" xfId="1576" xr:uid="{00000000-0005-0000-0000-0000F7050000}"/>
    <cellStyle name="_G&amp;A_Corporate_Services_last_~5055318_debt reconciliation_10 11" xfId="1577" xr:uid="{00000000-0005-0000-0000-0000F8050000}"/>
    <cellStyle name="_G&amp;A_Corporate_Services_last_~5055318_EMTN accruals" xfId="1578" xr:uid="{00000000-0005-0000-0000-0000F9050000}"/>
    <cellStyle name="_G&amp;A_Corporate_Services_last_~5055318_report_LTD" xfId="1579" xr:uid="{00000000-0005-0000-0000-0000FA050000}"/>
    <cellStyle name="_G&amp;A_Corporate_Services_last_~5055318_schedule" xfId="1580" xr:uid="{00000000-0005-0000-0000-0000FB050000}"/>
    <cellStyle name="_getdata" xfId="1581" xr:uid="{00000000-0005-0000-0000-0000FC050000}"/>
    <cellStyle name="_GFO calc plus finplan 110305" xfId="1582" xr:uid="{00000000-0005-0000-0000-0000FD050000}"/>
    <cellStyle name="_GFO_Finance_Aug18" xfId="1583" xr:uid="{00000000-0005-0000-0000-0000FE050000}"/>
    <cellStyle name="_GFO_Sumbit_r_22.04.04" xfId="1584" xr:uid="{00000000-0005-0000-0000-0000FF050000}"/>
    <cellStyle name="_GFO_Sumbit_r_22.04.04_~5055318" xfId="1585" xr:uid="{00000000-0005-0000-0000-000000060000}"/>
    <cellStyle name="_GFO_Sumbit_r_22.04.04_~5055318_debt reconciliation_10 11" xfId="1586" xr:uid="{00000000-0005-0000-0000-000001060000}"/>
    <cellStyle name="_GFO_Sumbit_r_22.04.04_~5055318_EMTN accruals" xfId="1587" xr:uid="{00000000-0005-0000-0000-000002060000}"/>
    <cellStyle name="_GFO_Sumbit_r_22.04.04_~5055318_report_LTD" xfId="1588" xr:uid="{00000000-0005-0000-0000-000003060000}"/>
    <cellStyle name="_GFO_Sumbit_r_22.04.04_~5055318_schedule" xfId="1589" xr:uid="{00000000-0005-0000-0000-000004060000}"/>
    <cellStyle name="_Gila River - Bank Version 12-16" xfId="1590" xr:uid="{00000000-0005-0000-0000-000005060000}"/>
    <cellStyle name="_Gila River - Bank Version 12-16_Copy of CNL Consolidated model_v.FPL_v37" xfId="1591" xr:uid="{00000000-0005-0000-0000-000006060000}"/>
    <cellStyle name="_Gila River - Bank Version 12-16_Copy of CNL Consolidated model_v.FPL_v37_Exelon Power Fuel Forecast - Project P 6-11-2004 ver21" xfId="1592" xr:uid="{00000000-0005-0000-0000-000007060000}"/>
    <cellStyle name="_Gila River - Bank Version 12-16_Copy of CNL Consolidated model_v.FPL_v37_ML Outputs" xfId="1593" xr:uid="{00000000-0005-0000-0000-000008060000}"/>
    <cellStyle name="_Gila River - Bank Version 12-16_Copy of CNL Consolidated model_v.FPL_v37_Project Forest Pro Forma Model v58" xfId="1594" xr:uid="{00000000-0005-0000-0000-000009060000}"/>
    <cellStyle name="_Gila River - Bank Version 12-16_D_Consolidated2" xfId="1595" xr:uid="{00000000-0005-0000-0000-00000A060000}"/>
    <cellStyle name="_Gila River - Bank Version 12-16_Model v9.8" xfId="1596" xr:uid="{00000000-0005-0000-0000-00000B060000}"/>
    <cellStyle name="_Gila River - Bank Version 12-16_Mutilples Template2" xfId="1597" xr:uid="{00000000-0005-0000-0000-00000C060000}"/>
    <cellStyle name="_Gila River - Bank Version 12-16_Mutilples Template2_Exelon Power Fuel Forecast - Project P 6-11-2004 ver21" xfId="1598" xr:uid="{00000000-0005-0000-0000-00000D060000}"/>
    <cellStyle name="_Gila River - Bank Version 12-16_Mutilples Template2_ML Outputs" xfId="1599" xr:uid="{00000000-0005-0000-0000-00000E060000}"/>
    <cellStyle name="_Gila River - Bank Version 12-16_Mutilples Template2_Project Forest Pro Forma Model v58" xfId="1600" xr:uid="{00000000-0005-0000-0000-00000F060000}"/>
    <cellStyle name="_Gila River - Bank Version 12-16_pom consolidated v3" xfId="1601" xr:uid="{00000000-0005-0000-0000-000010060000}"/>
    <cellStyle name="_Gila River - Bank Version 12-16_pom consolidated v3_Exelon Power Fuel Forecast - Project P 6-11-2004 ver21" xfId="1602" xr:uid="{00000000-0005-0000-0000-000011060000}"/>
    <cellStyle name="_Gila River - Bank Version 12-16_pom consolidated v3_ML Outputs" xfId="1603" xr:uid="{00000000-0005-0000-0000-000012060000}"/>
    <cellStyle name="_Gila River - Bank Version 12-16_pom consolidated v3_Project Forest Pro Forma Model v58" xfId="1604" xr:uid="{00000000-0005-0000-0000-000013060000}"/>
    <cellStyle name="_Gila River 062600 v1" xfId="1605" xr:uid="{00000000-0005-0000-0000-000014060000}"/>
    <cellStyle name="_Gila River 062600 v1_Copy of CNL Consolidated model_v.FPL_v37" xfId="1606" xr:uid="{00000000-0005-0000-0000-000015060000}"/>
    <cellStyle name="_Gila River 062600 v1_Copy of CNL Consolidated model_v.FPL_v37_Exelon Power Fuel Forecast - Project P 6-11-2004 ver21" xfId="1607" xr:uid="{00000000-0005-0000-0000-000016060000}"/>
    <cellStyle name="_Gila River 062600 v1_Copy of CNL Consolidated model_v.FPL_v37_ML Outputs" xfId="1608" xr:uid="{00000000-0005-0000-0000-000017060000}"/>
    <cellStyle name="_Gila River 062600 v1_Copy of CNL Consolidated model_v.FPL_v37_Project Forest Pro Forma Model v58" xfId="1609" xr:uid="{00000000-0005-0000-0000-000018060000}"/>
    <cellStyle name="_Gila River 062600 v1_D_Consolidated2" xfId="1610" xr:uid="{00000000-0005-0000-0000-000019060000}"/>
    <cellStyle name="_Gila River 062600 v1_Model v9.8" xfId="1611" xr:uid="{00000000-0005-0000-0000-00001A060000}"/>
    <cellStyle name="_Gila River 062600 v1_Mutilples Template2" xfId="1612" xr:uid="{00000000-0005-0000-0000-00001B060000}"/>
    <cellStyle name="_Gila River 062600 v1_Mutilples Template2_Exelon Power Fuel Forecast - Project P 6-11-2004 ver21" xfId="1613" xr:uid="{00000000-0005-0000-0000-00001C060000}"/>
    <cellStyle name="_Gila River 062600 v1_Mutilples Template2_ML Outputs" xfId="1614" xr:uid="{00000000-0005-0000-0000-00001D060000}"/>
    <cellStyle name="_Gila River 062600 v1_Mutilples Template2_Project Forest Pro Forma Model v58" xfId="1615" xr:uid="{00000000-0005-0000-0000-00001E060000}"/>
    <cellStyle name="_Gila River 062600 v1_pom consolidated v3" xfId="1616" xr:uid="{00000000-0005-0000-0000-00001F060000}"/>
    <cellStyle name="_Gila River 062600 v1_pom consolidated v3_Exelon Power Fuel Forecast - Project P 6-11-2004 ver21" xfId="1617" xr:uid="{00000000-0005-0000-0000-000020060000}"/>
    <cellStyle name="_Gila River 062600 v1_pom consolidated v3_ML Outputs" xfId="1618" xr:uid="{00000000-0005-0000-0000-000021060000}"/>
    <cellStyle name="_Gila River 062600 v1_pom consolidated v3_Project Forest Pro Forma Model v58" xfId="1619" xr:uid="{00000000-0005-0000-0000-000022060000}"/>
    <cellStyle name="_Gila River 2-13.xls Chart 1149" xfId="1620" xr:uid="{00000000-0005-0000-0000-000023060000}"/>
    <cellStyle name="_Gila River 2-13.xls Chart 1149_Copy of CNL Consolidated model_v.FPL_v37" xfId="1621" xr:uid="{00000000-0005-0000-0000-000024060000}"/>
    <cellStyle name="_Gila River 2-13.xls Chart 1149_Copy of CNL Consolidated model_v.FPL_v37_Exelon Power Fuel Forecast - Project P 6-11-2004 ver21" xfId="1622" xr:uid="{00000000-0005-0000-0000-000025060000}"/>
    <cellStyle name="_Gila River 2-13.xls Chart 1149_Copy of CNL Consolidated model_v.FPL_v37_ML Outputs" xfId="1623" xr:uid="{00000000-0005-0000-0000-000026060000}"/>
    <cellStyle name="_Gila River 2-13.xls Chart 1149_Copy of CNL Consolidated model_v.FPL_v37_Project Forest Pro Forma Model v58" xfId="1624" xr:uid="{00000000-0005-0000-0000-000027060000}"/>
    <cellStyle name="_Gila River 2-13.xls Chart 1149_D_Consolidated2" xfId="1625" xr:uid="{00000000-0005-0000-0000-000028060000}"/>
    <cellStyle name="_Gila River 2-13.xls Chart 1149_Model v9.8" xfId="1626" xr:uid="{00000000-0005-0000-0000-000029060000}"/>
    <cellStyle name="_Gila River 2-13.xls Chart 1149_Mutilples Template2" xfId="1627" xr:uid="{00000000-0005-0000-0000-00002A060000}"/>
    <cellStyle name="_Gila River 2-13.xls Chart 1149_Mutilples Template2_Exelon Power Fuel Forecast - Project P 6-11-2004 ver21" xfId="1628" xr:uid="{00000000-0005-0000-0000-00002B060000}"/>
    <cellStyle name="_Gila River 2-13.xls Chart 1149_Mutilples Template2_ML Outputs" xfId="1629" xr:uid="{00000000-0005-0000-0000-00002C060000}"/>
    <cellStyle name="_Gila River 2-13.xls Chart 1149_Mutilples Template2_Project Forest Pro Forma Model v58" xfId="1630" xr:uid="{00000000-0005-0000-0000-00002D060000}"/>
    <cellStyle name="_Gila River 2-13.xls Chart 1149_pom consolidated v3" xfId="1631" xr:uid="{00000000-0005-0000-0000-00002E060000}"/>
    <cellStyle name="_Gila River 2-13.xls Chart 1149_pom consolidated v3_Exelon Power Fuel Forecast - Project P 6-11-2004 ver21" xfId="1632" xr:uid="{00000000-0005-0000-0000-00002F060000}"/>
    <cellStyle name="_Gila River 2-13.xls Chart 1149_pom consolidated v3_ML Outputs" xfId="1633" xr:uid="{00000000-0005-0000-0000-000030060000}"/>
    <cellStyle name="_Gila River 2-13.xls Chart 1149_pom consolidated v3_Project Forest Pro Forma Model v58" xfId="1634" xr:uid="{00000000-0005-0000-0000-000031060000}"/>
    <cellStyle name="_Gila River 3-29_25yr" xfId="1635" xr:uid="{00000000-0005-0000-0000-000032060000}"/>
    <cellStyle name="_Gila River 3-29_25yr_Copy of CNL Consolidated model_v.FPL_v37" xfId="1636" xr:uid="{00000000-0005-0000-0000-000033060000}"/>
    <cellStyle name="_Gila River 3-29_25yr_Copy of CNL Consolidated model_v.FPL_v37_Exelon Power Fuel Forecast - Project P 6-11-2004 ver21" xfId="1637" xr:uid="{00000000-0005-0000-0000-000034060000}"/>
    <cellStyle name="_Gila River 3-29_25yr_Copy of CNL Consolidated model_v.FPL_v37_ML Outputs" xfId="1638" xr:uid="{00000000-0005-0000-0000-000035060000}"/>
    <cellStyle name="_Gila River 3-29_25yr_Copy of CNL Consolidated model_v.FPL_v37_Project Forest Pro Forma Model v58" xfId="1639" xr:uid="{00000000-0005-0000-0000-000036060000}"/>
    <cellStyle name="_Gila River 3-29_25yr_D_Consolidated2" xfId="1640" xr:uid="{00000000-0005-0000-0000-000037060000}"/>
    <cellStyle name="_Gila River 3-29_25yr_Model v9.8" xfId="1641" xr:uid="{00000000-0005-0000-0000-000038060000}"/>
    <cellStyle name="_Gila River 3-29_25yr_Mutilples Template2" xfId="1642" xr:uid="{00000000-0005-0000-0000-000039060000}"/>
    <cellStyle name="_Gila River 3-29_25yr_Mutilples Template2_Exelon Power Fuel Forecast - Project P 6-11-2004 ver21" xfId="1643" xr:uid="{00000000-0005-0000-0000-00003A060000}"/>
    <cellStyle name="_Gila River 3-29_25yr_Mutilples Template2_ML Outputs" xfId="1644" xr:uid="{00000000-0005-0000-0000-00003B060000}"/>
    <cellStyle name="_Gila River 3-29_25yr_Mutilples Template2_Project Forest Pro Forma Model v58" xfId="1645" xr:uid="{00000000-0005-0000-0000-00003C060000}"/>
    <cellStyle name="_Gila River 3-29_25yr_pom consolidated v3" xfId="1646" xr:uid="{00000000-0005-0000-0000-00003D060000}"/>
    <cellStyle name="_Gila River 3-29_25yr_pom consolidated v3_Exelon Power Fuel Forecast - Project P 6-11-2004 ver21" xfId="1647" xr:uid="{00000000-0005-0000-0000-00003E060000}"/>
    <cellStyle name="_Gila River 3-29_25yr_pom consolidated v3_ML Outputs" xfId="1648" xr:uid="{00000000-0005-0000-0000-00003F060000}"/>
    <cellStyle name="_Gila River 3-29_25yr_pom consolidated v3_Project Forest Pro Forma Model v58" xfId="1649" xr:uid="{00000000-0005-0000-0000-000040060000}"/>
    <cellStyle name="_GOODWILL" xfId="1650" xr:uid="{00000000-0005-0000-0000-000041060000}"/>
    <cellStyle name="_GPL Upload spreadsheet LNT" xfId="1651" xr:uid="{00000000-0005-0000-0000-000042060000}"/>
    <cellStyle name="_Group GFO format14" xfId="1652" xr:uid="{00000000-0005-0000-0000-000043060000}"/>
    <cellStyle name="_Group GFO format14_~5055318" xfId="1653" xr:uid="{00000000-0005-0000-0000-000044060000}"/>
    <cellStyle name="_H-" xfId="1654" xr:uid="{00000000-0005-0000-0000-000045060000}"/>
    <cellStyle name="_Hamakua_refinance_042301" xfId="1655" xr:uid="{00000000-0005-0000-0000-000046060000}"/>
    <cellStyle name="_Hamakua_refinance_042301_Copy of CNL Consolidated model_v.FPL_v37" xfId="1656" xr:uid="{00000000-0005-0000-0000-000047060000}"/>
    <cellStyle name="_Hamakua_refinance_042301_Copy of CNL Consolidated model_v.FPL_v37_Exelon Power Fuel Forecast - Project P 6-11-2004 ver21" xfId="1657" xr:uid="{00000000-0005-0000-0000-000048060000}"/>
    <cellStyle name="_Hamakua_refinance_042301_Copy of CNL Consolidated model_v.FPL_v37_ML Outputs" xfId="1658" xr:uid="{00000000-0005-0000-0000-000049060000}"/>
    <cellStyle name="_Hamakua_refinance_042301_Copy of CNL Consolidated model_v.FPL_v37_Project Forest Pro Forma Model v58" xfId="1659" xr:uid="{00000000-0005-0000-0000-00004A060000}"/>
    <cellStyle name="_Hamakua_refinance_042301_D_Consolidated2" xfId="1660" xr:uid="{00000000-0005-0000-0000-00004B060000}"/>
    <cellStyle name="_Hamakua_refinance_042301_Model v9.8" xfId="1661" xr:uid="{00000000-0005-0000-0000-00004C060000}"/>
    <cellStyle name="_Hamakua_refinance_042301_Mutilples Template2" xfId="1662" xr:uid="{00000000-0005-0000-0000-00004D060000}"/>
    <cellStyle name="_Hamakua_refinance_042301_Mutilples Template2_Exelon Power Fuel Forecast - Project P 6-11-2004 ver21" xfId="1663" xr:uid="{00000000-0005-0000-0000-00004E060000}"/>
    <cellStyle name="_Hamakua_refinance_042301_Mutilples Template2_ML Outputs" xfId="1664" xr:uid="{00000000-0005-0000-0000-00004F060000}"/>
    <cellStyle name="_Hamakua_refinance_042301_Mutilples Template2_Project Forest Pro Forma Model v58" xfId="1665" xr:uid="{00000000-0005-0000-0000-000050060000}"/>
    <cellStyle name="_Hamakua_refinance_042301_pom consolidated v3" xfId="1666" xr:uid="{00000000-0005-0000-0000-000051060000}"/>
    <cellStyle name="_Hamakua_refinance_042301_pom consolidated v3_Exelon Power Fuel Forecast - Project P 6-11-2004 ver21" xfId="1667" xr:uid="{00000000-0005-0000-0000-000052060000}"/>
    <cellStyle name="_Hamakua_refinance_042301_pom consolidated v3_ML Outputs" xfId="1668" xr:uid="{00000000-0005-0000-0000-000053060000}"/>
    <cellStyle name="_Hamakua_refinance_042301_pom consolidated v3_Project Forest Pro Forma Model v58" xfId="1669" xr:uid="{00000000-0005-0000-0000-000054060000}"/>
    <cellStyle name="_Head Office" xfId="1670" xr:uid="{00000000-0005-0000-0000-000055060000}"/>
    <cellStyle name="_Head Office with inflation" xfId="1671" xr:uid="{00000000-0005-0000-0000-000056060000}"/>
    <cellStyle name="_headcount report" xfId="1672" xr:uid="{00000000-0005-0000-0000-000057060000}"/>
    <cellStyle name="_HeaderBlue" xfId="1673" xr:uid="{00000000-0005-0000-0000-000058060000}"/>
    <cellStyle name="_Heading" xfId="1674" xr:uid="{00000000-0005-0000-0000-000059060000}"/>
    <cellStyle name="_Heading 2" xfId="1675" xr:uid="{00000000-0005-0000-0000-00005A060000}"/>
    <cellStyle name="_hello" xfId="1676" xr:uid="{00000000-0005-0000-0000-00005B060000}"/>
    <cellStyle name="_Hh" xfId="1677" xr:uid="{00000000-0005-0000-0000-00005C060000}"/>
    <cellStyle name="_Highlight" xfId="1678" xr:uid="{00000000-0005-0000-0000-00005D060000}"/>
    <cellStyle name="_Highlight 2" xfId="1679" xr:uid="{00000000-0005-0000-0000-00005E060000}"/>
    <cellStyle name="_Highlight 3" xfId="1680" xr:uid="{00000000-0005-0000-0000-00005F060000}"/>
    <cellStyle name="_HR_additional" xfId="1681" xr:uid="{00000000-0005-0000-0000-000060060000}"/>
    <cellStyle name="_HR_additional_~5055318" xfId="1682" xr:uid="{00000000-0005-0000-0000-000061060000}"/>
    <cellStyle name="_HR_additional_~5055318_debt reconciliation_10 11" xfId="1683" xr:uid="{00000000-0005-0000-0000-000062060000}"/>
    <cellStyle name="_HR_additional_~5055318_EMTN accruals" xfId="1684" xr:uid="{00000000-0005-0000-0000-000063060000}"/>
    <cellStyle name="_HR_additional_~5055318_report_LTD" xfId="1685" xr:uid="{00000000-0005-0000-0000-000064060000}"/>
    <cellStyle name="_HR_additional_~5055318_schedule" xfId="1686" xr:uid="{00000000-0005-0000-0000-000065060000}"/>
    <cellStyle name="_Illinois 111100 v1" xfId="1687" xr:uid="{00000000-0005-0000-0000-000066060000}"/>
    <cellStyle name="_Illinois 111100 v1_Copy of CNL Consolidated model_v.FPL_v37" xfId="1688" xr:uid="{00000000-0005-0000-0000-000067060000}"/>
    <cellStyle name="_Illinois 111100 v1_Copy of CNL Consolidated model_v.FPL_v37_Exelon Power Fuel Forecast - Project P 6-11-2004 ver21" xfId="1689" xr:uid="{00000000-0005-0000-0000-000068060000}"/>
    <cellStyle name="_Illinois 111100 v1_Copy of CNL Consolidated model_v.FPL_v37_ML Outputs" xfId="1690" xr:uid="{00000000-0005-0000-0000-000069060000}"/>
    <cellStyle name="_Illinois 111100 v1_Copy of CNL Consolidated model_v.FPL_v37_Project Forest Pro Forma Model v58" xfId="1691" xr:uid="{00000000-0005-0000-0000-00006A060000}"/>
    <cellStyle name="_Illinois 111100 v1_D_Consolidated2" xfId="1692" xr:uid="{00000000-0005-0000-0000-00006B060000}"/>
    <cellStyle name="_Illinois 111100 v1_Model v9.8" xfId="1693" xr:uid="{00000000-0005-0000-0000-00006C060000}"/>
    <cellStyle name="_Illinois 111100 v1_Mutilples Template2" xfId="1694" xr:uid="{00000000-0005-0000-0000-00006D060000}"/>
    <cellStyle name="_Illinois 111100 v1_Mutilples Template2_Exelon Power Fuel Forecast - Project P 6-11-2004 ver21" xfId="1695" xr:uid="{00000000-0005-0000-0000-00006E060000}"/>
    <cellStyle name="_Illinois 111100 v1_Mutilples Template2_ML Outputs" xfId="1696" xr:uid="{00000000-0005-0000-0000-00006F060000}"/>
    <cellStyle name="_Illinois 111100 v1_Mutilples Template2_Project Forest Pro Forma Model v58" xfId="1697" xr:uid="{00000000-0005-0000-0000-000070060000}"/>
    <cellStyle name="_Illinois 111100 v1_pom consolidated v3" xfId="1698" xr:uid="{00000000-0005-0000-0000-000071060000}"/>
    <cellStyle name="_Illinois 111100 v1_pom consolidated v3_Exelon Power Fuel Forecast - Project P 6-11-2004 ver21" xfId="1699" xr:uid="{00000000-0005-0000-0000-000072060000}"/>
    <cellStyle name="_Illinois 111100 v1_pom consolidated v3_ML Outputs" xfId="1700" xr:uid="{00000000-0005-0000-0000-000073060000}"/>
    <cellStyle name="_Illinois 111100 v1_pom consolidated v3_Project Forest Pro Forma Model v58" xfId="1701" xr:uid="{00000000-0005-0000-0000-000074060000}"/>
    <cellStyle name="_IT_2004_from_Technology_last_II" xfId="1702" xr:uid="{00000000-0005-0000-0000-000075060000}"/>
    <cellStyle name="_IT_2004_from_Technology_last_II_~5055318" xfId="1703" xr:uid="{00000000-0005-0000-0000-000076060000}"/>
    <cellStyle name="_IT_2004_from_Technology_last_II_~5055318_debt reconciliation_10 11" xfId="1704" xr:uid="{00000000-0005-0000-0000-000077060000}"/>
    <cellStyle name="_IT_2004_from_Technology_last_II_~5055318_EMTN accruals" xfId="1705" xr:uid="{00000000-0005-0000-0000-000078060000}"/>
    <cellStyle name="_IT_2004_from_Technology_last_II_~5055318_report_LTD" xfId="1706" xr:uid="{00000000-0005-0000-0000-000079060000}"/>
    <cellStyle name="_IT_2004_from_Technology_last_II_~5055318_schedule" xfId="1707" xr:uid="{00000000-0005-0000-0000-00007A060000}"/>
    <cellStyle name="_junk" xfId="1708" xr:uid="{00000000-0005-0000-0000-00007B060000}"/>
    <cellStyle name="_KPI-5" xfId="1709" xr:uid="{00000000-0005-0000-0000-00007C060000}"/>
    <cellStyle name="_KPI-5_!!!!!! Total_HQ_2005_ver2" xfId="1710" xr:uid="{00000000-0005-0000-0000-00007D060000}"/>
    <cellStyle name="_KPI-5_~1310411" xfId="1711" xr:uid="{00000000-0005-0000-0000-00007E060000}"/>
    <cellStyle name="_KPI-5_~2119947" xfId="1712" xr:uid="{00000000-0005-0000-0000-00007F060000}"/>
    <cellStyle name="_KPI-5_~5055318" xfId="1713" xr:uid="{00000000-0005-0000-0000-000080060000}"/>
    <cellStyle name="_KPI-5_~5858712" xfId="1714" xr:uid="{00000000-0005-0000-0000-000081060000}"/>
    <cellStyle name="_KPI-5_~6460973" xfId="1715" xr:uid="{00000000-0005-0000-0000-000082060000}"/>
    <cellStyle name="_KPI-5_2005Budget_differences" xfId="1716" xr:uid="{00000000-0005-0000-0000-000083060000}"/>
    <cellStyle name="_KPI-5_2005Budget_differences_vs._ver3" xfId="1717" xr:uid="{00000000-0005-0000-0000-000084060000}"/>
    <cellStyle name="_KPI-5_5yearConsolidationModel" xfId="1718" xr:uid="{00000000-0005-0000-0000-000085060000}"/>
    <cellStyle name="_KPI-5_calcs алексей" xfId="1719" xr:uid="{00000000-0005-0000-0000-000086060000}"/>
    <cellStyle name="_KPI-5_Consolidation" xfId="1720" xr:uid="{00000000-0005-0000-0000-000087060000}"/>
    <cellStyle name="_KPI-5_Consolidation_040822 Profit_Tax_(portal)" xfId="1721" xr:uid="{00000000-0005-0000-0000-000088060000}"/>
    <cellStyle name="_KPI-5_Consolidation_040928 Profit_Tax_3Ax1Ax4" xfId="1722" xr:uid="{00000000-0005-0000-0000-000089060000}"/>
    <cellStyle name="_KPI-5_Consolidation_Tax Input 5yr plan" xfId="1723" xr:uid="{00000000-0005-0000-0000-00008A060000}"/>
    <cellStyle name="_KPI-5_Consolidation_Книга2" xfId="1724" xr:uid="{00000000-0005-0000-0000-00008B060000}"/>
    <cellStyle name="_KPI-5_Consolidation_Налог_на_прибыль" xfId="1725" xr:uid="{00000000-0005-0000-0000-00008C060000}"/>
    <cellStyle name="_KPI-5_CorporateCenter analysis 16.11.04" xfId="1726" xr:uid="{00000000-0005-0000-0000-00008D060000}"/>
    <cellStyle name="_KPI-5_DCF030925_vat" xfId="1727" xr:uid="{00000000-0005-0000-0000-00008E060000}"/>
    <cellStyle name="_KPI-5_DCF030925_vat_" xfId="1728" xr:uid="{00000000-0005-0000-0000-00008F060000}"/>
    <cellStyle name="_KPI-5_DCFonly" xfId="1729" xr:uid="{00000000-0005-0000-0000-000090060000}"/>
    <cellStyle name="_KPI-5_Debt 12m04 CFS 12m 2004" xfId="1730" xr:uid="{00000000-0005-0000-0000-000091060000}"/>
    <cellStyle name="_KPI-5_Debt 9m04 CFS 9m 2004 updated" xfId="1731" xr:uid="{00000000-0005-0000-0000-000092060000}"/>
    <cellStyle name="_KPI-5_Feb 02 Options" xfId="1732" xr:uid="{00000000-0005-0000-0000-000093060000}"/>
    <cellStyle name="_KPI-5_Form 01(MB)" xfId="1733" xr:uid="{00000000-0005-0000-0000-000094060000}"/>
    <cellStyle name="_KPI-5_Form 01(MB)_040822 Profit_Tax_(portal)" xfId="1734" xr:uid="{00000000-0005-0000-0000-000095060000}"/>
    <cellStyle name="_KPI-5_Form 01(MB)_040928 Profit_Tax_3Ax1Ax4" xfId="1735" xr:uid="{00000000-0005-0000-0000-000096060000}"/>
    <cellStyle name="_KPI-5_Form 01(MB)_Tax Input 5yr plan" xfId="1736" xr:uid="{00000000-0005-0000-0000-000097060000}"/>
    <cellStyle name="_KPI-5_Form 01(MB)_Книга2" xfId="1737" xr:uid="{00000000-0005-0000-0000-000098060000}"/>
    <cellStyle name="_KPI-5_Form 01(MB)_Налог_на_прибыль" xfId="1738" xr:uid="{00000000-0005-0000-0000-000099060000}"/>
    <cellStyle name="_KPI-5_Links_NK" xfId="1739" xr:uid="{00000000-0005-0000-0000-00009A060000}"/>
    <cellStyle name="_KPI-5_Links_NK_040822 Profit_Tax_(portal)" xfId="1740" xr:uid="{00000000-0005-0000-0000-00009B060000}"/>
    <cellStyle name="_KPI-5_Links_NK_040928 Profit_Tax_3Ax1Ax4" xfId="1741" xr:uid="{00000000-0005-0000-0000-00009C060000}"/>
    <cellStyle name="_KPI-5_Links_NK_Tax Input 5yr plan" xfId="1742" xr:uid="{00000000-0005-0000-0000-00009D060000}"/>
    <cellStyle name="_KPI-5_Links_NK_Книга2" xfId="1743" xr:uid="{00000000-0005-0000-0000-00009E060000}"/>
    <cellStyle name="_KPI-5_Links_NK_Налог_на_прибыль" xfId="1744" xr:uid="{00000000-0005-0000-0000-00009F060000}"/>
    <cellStyle name="_KPI-5_Model_2004_25$_approved_16.02" xfId="1745" xr:uid="{00000000-0005-0000-0000-0000A0060000}"/>
    <cellStyle name="_KPI-5_Model_2004_25$_approved_16.02_040822 Profit_Tax_(portal)" xfId="1746" xr:uid="{00000000-0005-0000-0000-0000A1060000}"/>
    <cellStyle name="_KPI-5_Model_2004_25$_approved_16.02_040928 Profit_Tax_3Ax1Ax4" xfId="1747" xr:uid="{00000000-0005-0000-0000-0000A2060000}"/>
    <cellStyle name="_KPI-5_Model_2004_25$_approved_16.02_Tax Input 5yr plan" xfId="1748" xr:uid="{00000000-0005-0000-0000-0000A3060000}"/>
    <cellStyle name="_KPI-5_Model_2004_25$_approved_16.02_Книга2" xfId="1749" xr:uid="{00000000-0005-0000-0000-0000A4060000}"/>
    <cellStyle name="_KPI-5_Model_2004_25$_approved_16.02_Налог_на_прибыль" xfId="1750" xr:uid="{00000000-0005-0000-0000-0000A5060000}"/>
    <cellStyle name="_KPI-5_Nsi" xfId="1751" xr:uid="{00000000-0005-0000-0000-0000A6060000}"/>
    <cellStyle name="_KPI-5_Nsi(2)" xfId="1752" xr:uid="{00000000-0005-0000-0000-0000A7060000}"/>
    <cellStyle name="_KPI-5_Nsi(2)_040822 Profit_Tax_(portal)" xfId="1753" xr:uid="{00000000-0005-0000-0000-0000A8060000}"/>
    <cellStyle name="_KPI-5_Nsi(2)_040928 Profit_Tax_3Ax1Ax4" xfId="1754" xr:uid="{00000000-0005-0000-0000-0000A9060000}"/>
    <cellStyle name="_KPI-5_Nsi(2)_Tax Input 5yr plan" xfId="1755" xr:uid="{00000000-0005-0000-0000-0000AA060000}"/>
    <cellStyle name="_KPI-5_Nsi(2)_Книга2" xfId="1756" xr:uid="{00000000-0005-0000-0000-0000AB060000}"/>
    <cellStyle name="_KPI-5_Nsi(2)_Налог_на_прибыль" xfId="1757" xr:uid="{00000000-0005-0000-0000-0000AC060000}"/>
    <cellStyle name="_KPI-5_Nsi_~5055318" xfId="1758" xr:uid="{00000000-0005-0000-0000-0000AD060000}"/>
    <cellStyle name="_KPI-5_Nsi_158" xfId="1759" xr:uid="{00000000-0005-0000-0000-0000AE060000}"/>
    <cellStyle name="_KPI-5_Nsi_158_040822 Profit_Tax_(portal)" xfId="1760" xr:uid="{00000000-0005-0000-0000-0000AF060000}"/>
    <cellStyle name="_KPI-5_Nsi_158_040928 Profit_Tax_3Ax1Ax4" xfId="1761" xr:uid="{00000000-0005-0000-0000-0000B0060000}"/>
    <cellStyle name="_KPI-5_Nsi_158_Tax Input 5yr plan" xfId="1762" xr:uid="{00000000-0005-0000-0000-0000B1060000}"/>
    <cellStyle name="_KPI-5_Nsi_158_Книга2" xfId="1763" xr:uid="{00000000-0005-0000-0000-0000B2060000}"/>
    <cellStyle name="_KPI-5_Nsi_158_Налог_на_прибыль" xfId="1764" xr:uid="{00000000-0005-0000-0000-0000B3060000}"/>
    <cellStyle name="_KPI-5_Nsi_DCF030925_vat" xfId="1765" xr:uid="{00000000-0005-0000-0000-0000B4060000}"/>
    <cellStyle name="_KPI-5_Nsi_DCF030925_vat_" xfId="1766" xr:uid="{00000000-0005-0000-0000-0000B5060000}"/>
    <cellStyle name="_KPI-5_Nsi_DCFonly" xfId="1767" xr:uid="{00000000-0005-0000-0000-0000B6060000}"/>
    <cellStyle name="_KPI-5_Nsi_Express" xfId="1768" xr:uid="{00000000-0005-0000-0000-0000B7060000}"/>
    <cellStyle name="_KPI-5_Nsi_Express_040822 Profit_Tax_(portal)" xfId="1769" xr:uid="{00000000-0005-0000-0000-0000B8060000}"/>
    <cellStyle name="_KPI-5_Nsi_Express_040928 Profit_Tax_3Ax1Ax4" xfId="1770" xr:uid="{00000000-0005-0000-0000-0000B9060000}"/>
    <cellStyle name="_KPI-5_Nsi_Express_Tax Input 5yr plan" xfId="1771" xr:uid="{00000000-0005-0000-0000-0000BA060000}"/>
    <cellStyle name="_KPI-5_Nsi_Express_Книга2" xfId="1772" xr:uid="{00000000-0005-0000-0000-0000BB060000}"/>
    <cellStyle name="_KPI-5_Nsi_Express_Налог_на_прибыль" xfId="1773" xr:uid="{00000000-0005-0000-0000-0000BC060000}"/>
    <cellStyle name="_KPI-5_Nsi_test" xfId="1774" xr:uid="{00000000-0005-0000-0000-0000BD060000}"/>
    <cellStyle name="_KPI-5_Nsi_test_040822 Profit_Tax_(portal)" xfId="1775" xr:uid="{00000000-0005-0000-0000-0000BE060000}"/>
    <cellStyle name="_KPI-5_Nsi_test_040928 Profit_Tax_3Ax1Ax4" xfId="1776" xr:uid="{00000000-0005-0000-0000-0000BF060000}"/>
    <cellStyle name="_KPI-5_Nsi_test_Tax Input 5yr plan" xfId="1777" xr:uid="{00000000-0005-0000-0000-0000C0060000}"/>
    <cellStyle name="_KPI-5_Nsi_test_Книга2" xfId="1778" xr:uid="{00000000-0005-0000-0000-0000C1060000}"/>
    <cellStyle name="_KPI-5_Nsi_test_Налог_на_прибыль" xfId="1779" xr:uid="{00000000-0005-0000-0000-0000C2060000}"/>
    <cellStyle name="_KPI-5_Nsi-Services" xfId="1780" xr:uid="{00000000-0005-0000-0000-0000C3060000}"/>
    <cellStyle name="_KPI-5_Nsi-Services_040822 Profit_Tax_(portal)" xfId="1781" xr:uid="{00000000-0005-0000-0000-0000C4060000}"/>
    <cellStyle name="_KPI-5_Nsi-Services_040928 Profit_Tax_3Ax1Ax4" xfId="1782" xr:uid="{00000000-0005-0000-0000-0000C5060000}"/>
    <cellStyle name="_KPI-5_Nsi-Services_Tax Input 5yr plan" xfId="1783" xr:uid="{00000000-0005-0000-0000-0000C6060000}"/>
    <cellStyle name="_KPI-5_Nsi-Services_Книга2" xfId="1784" xr:uid="{00000000-0005-0000-0000-0000C7060000}"/>
    <cellStyle name="_KPI-5_Nsi-Services_Налог_на_прибыль" xfId="1785" xr:uid="{00000000-0005-0000-0000-0000C8060000}"/>
    <cellStyle name="_KPI-5_OFS" xfId="1786" xr:uid="{00000000-0005-0000-0000-0000C9060000}"/>
    <cellStyle name="_KPI-5_OFS_new template" xfId="1787" xr:uid="{00000000-0005-0000-0000-0000CA060000}"/>
    <cellStyle name="_KPI-5_OFSSummaryReport_KPIs_02" xfId="1788" xr:uid="{00000000-0005-0000-0000-0000CB060000}"/>
    <cellStyle name="_KPI-5_OFSSummaryReport_Margin_02" xfId="1789" xr:uid="{00000000-0005-0000-0000-0000CC060000}"/>
    <cellStyle name="_KPI-5_Rospan_Kovykta" xfId="1790" xr:uid="{00000000-0005-0000-0000-0000CD060000}"/>
    <cellStyle name="_KPI-5_Rospan_Kovykta_Slavneft_Restructuring 11.11.04" xfId="1791" xr:uid="{00000000-0005-0000-0000-0000CE060000}"/>
    <cellStyle name="_KPI-5_S0400" xfId="1792" xr:uid="{00000000-0005-0000-0000-0000CF060000}"/>
    <cellStyle name="_KPI-5_S0400_040822 Profit_Tax_(portal)" xfId="1793" xr:uid="{00000000-0005-0000-0000-0000D0060000}"/>
    <cellStyle name="_KPI-5_S0400_040928 Profit_Tax_3Ax1Ax4" xfId="1794" xr:uid="{00000000-0005-0000-0000-0000D1060000}"/>
    <cellStyle name="_KPI-5_S0400_Tax Input 5yr plan" xfId="1795" xr:uid="{00000000-0005-0000-0000-0000D2060000}"/>
    <cellStyle name="_KPI-5_S0400_Книга2" xfId="1796" xr:uid="{00000000-0005-0000-0000-0000D3060000}"/>
    <cellStyle name="_KPI-5_S0400_Налог_на_прибыль" xfId="1797" xr:uid="{00000000-0005-0000-0000-0000D4060000}"/>
    <cellStyle name="_KPI-5_S13001" xfId="1798" xr:uid="{00000000-0005-0000-0000-0000D5060000}"/>
    <cellStyle name="_KPI-5_S13001_040822 Profit_Tax_(portal)" xfId="1799" xr:uid="{00000000-0005-0000-0000-0000D6060000}"/>
    <cellStyle name="_KPI-5_S13001_040928 Profit_Tax_3Ax1Ax4" xfId="1800" xr:uid="{00000000-0005-0000-0000-0000D7060000}"/>
    <cellStyle name="_KPI-5_S13001_Tax Input 5yr plan" xfId="1801" xr:uid="{00000000-0005-0000-0000-0000D8060000}"/>
    <cellStyle name="_KPI-5_S13001_Книга2" xfId="1802" xr:uid="{00000000-0005-0000-0000-0000D9060000}"/>
    <cellStyle name="_KPI-5_S13001_Налог_на_прибыль" xfId="1803" xr:uid="{00000000-0005-0000-0000-0000DA060000}"/>
    <cellStyle name="_KPI-5_SOBI_all(общий)" xfId="1804" xr:uid="{00000000-0005-0000-0000-0000DB060000}"/>
    <cellStyle name="_KPI-5_SOBI_all(общий)_040822 Profit_Tax_(portal)" xfId="1805" xr:uid="{00000000-0005-0000-0000-0000DC060000}"/>
    <cellStyle name="_KPI-5_SOBI_all(общий)_040928 Profit_Tax_3Ax1Ax4" xfId="1806" xr:uid="{00000000-0005-0000-0000-0000DD060000}"/>
    <cellStyle name="_KPI-5_SOBI_all(общий)_Tax Input 5yr plan" xfId="1807" xr:uid="{00000000-0005-0000-0000-0000DE060000}"/>
    <cellStyle name="_KPI-5_SOBI_all(общий)_Книга2" xfId="1808" xr:uid="{00000000-0005-0000-0000-0000DF060000}"/>
    <cellStyle name="_KPI-5_SOBI_all(общий)_Налог_на_прибыль" xfId="1809" xr:uid="{00000000-0005-0000-0000-0000E0060000}"/>
    <cellStyle name="_KPI-5_SOFI_TEPs_AOK_130902" xfId="1810" xr:uid="{00000000-0005-0000-0000-0000E1060000}"/>
    <cellStyle name="_KPI-5_SOFI_TEPs_AOK_130902_040822 Profit_Tax_(portal)" xfId="1811" xr:uid="{00000000-0005-0000-0000-0000E2060000}"/>
    <cellStyle name="_KPI-5_SOFI_TEPs_AOK_130902_040928 Profit_Tax_3Ax1Ax4" xfId="1812" xr:uid="{00000000-0005-0000-0000-0000E3060000}"/>
    <cellStyle name="_KPI-5_SOFI_TEPs_AOK_130902_Dogovora" xfId="1813" xr:uid="{00000000-0005-0000-0000-0000E4060000}"/>
    <cellStyle name="_KPI-5_SOFI_TEPs_AOK_130902_S14206_Akt_sverki" xfId="1814" xr:uid="{00000000-0005-0000-0000-0000E5060000}"/>
    <cellStyle name="_KPI-5_SOFI_TEPs_AOK_130902_S14206_Akt_sverki_S11111_Akt_sverki" xfId="1815" xr:uid="{00000000-0005-0000-0000-0000E6060000}"/>
    <cellStyle name="_KPI-5_SOFI_TEPs_AOK_130902_S14206_Akt_sverki_Договора_Express_4m2003_new" xfId="1816" xr:uid="{00000000-0005-0000-0000-0000E7060000}"/>
    <cellStyle name="_KPI-5_SOFI_TEPs_AOK_130902_S15202_Akt_sverki" xfId="1817" xr:uid="{00000000-0005-0000-0000-0000E8060000}"/>
    <cellStyle name="_KPI-5_SOFI_TEPs_AOK_130902_S15202_Akt_sverki_S11111_Akt_sverki" xfId="1818" xr:uid="{00000000-0005-0000-0000-0000E9060000}"/>
    <cellStyle name="_KPI-5_SOFI_TEPs_AOK_130902_S15202_Akt_sverki_Договора_Express_4m2003_new" xfId="1819" xr:uid="{00000000-0005-0000-0000-0000EA060000}"/>
    <cellStyle name="_KPI-5_SOFI_TEPs_AOK_130902_Tax Input 5yr plan" xfId="1820" xr:uid="{00000000-0005-0000-0000-0000EB060000}"/>
    <cellStyle name="_KPI-5_SOFI_TEPs_AOK_130902_Договора_Express_4m2003_new" xfId="1821" xr:uid="{00000000-0005-0000-0000-0000EC060000}"/>
    <cellStyle name="_KPI-5_SOFI_TEPs_AOK_130902_Книга1" xfId="1822" xr:uid="{00000000-0005-0000-0000-0000ED060000}"/>
    <cellStyle name="_KPI-5_SOFI_TEPs_AOK_130902_Книга2" xfId="1823" xr:uid="{00000000-0005-0000-0000-0000EE060000}"/>
    <cellStyle name="_KPI-5_SOFI_TEPs_AOK_130902_Налог_на_прибыль" xfId="1824" xr:uid="{00000000-0005-0000-0000-0000EF060000}"/>
    <cellStyle name="_KPI-5_SOFI_TEPs_AOK_130902_Общий свод от 20.02.04" xfId="1825" xr:uid="{00000000-0005-0000-0000-0000F0060000}"/>
    <cellStyle name="_KPI-5_Sofi145a" xfId="1826" xr:uid="{00000000-0005-0000-0000-0000F1060000}"/>
    <cellStyle name="_KPI-5_Sofi145a_~5055318" xfId="1827" xr:uid="{00000000-0005-0000-0000-0000F2060000}"/>
    <cellStyle name="_KPI-5_Sofi145a_DCF030925_vat" xfId="1828" xr:uid="{00000000-0005-0000-0000-0000F3060000}"/>
    <cellStyle name="_KPI-5_Sofi145a_DCF030925_vat_" xfId="1829" xr:uid="{00000000-0005-0000-0000-0000F4060000}"/>
    <cellStyle name="_KPI-5_Sofi145a_DCFonly" xfId="1830" xr:uid="{00000000-0005-0000-0000-0000F5060000}"/>
    <cellStyle name="_KPI-5_Sofi153" xfId="1831" xr:uid="{00000000-0005-0000-0000-0000F6060000}"/>
    <cellStyle name="_KPI-5_Sofi153_~5055318" xfId="1832" xr:uid="{00000000-0005-0000-0000-0000F7060000}"/>
    <cellStyle name="_KPI-5_Sofi153_DCF030925_vat" xfId="1833" xr:uid="{00000000-0005-0000-0000-0000F8060000}"/>
    <cellStyle name="_KPI-5_Sofi153_DCF030925_vat_" xfId="1834" xr:uid="{00000000-0005-0000-0000-0000F9060000}"/>
    <cellStyle name="_KPI-5_Sofi153_DCFonly" xfId="1835" xr:uid="{00000000-0005-0000-0000-0000FA060000}"/>
    <cellStyle name="_KPI-5_STLStandartWC" xfId="1836" xr:uid="{00000000-0005-0000-0000-0000FB060000}"/>
    <cellStyle name="_KPI-5_STLStandartWC_040822 Profit_Tax_(portal)" xfId="1837" xr:uid="{00000000-0005-0000-0000-0000FC060000}"/>
    <cellStyle name="_KPI-5_STLStandartWC_040928 Profit_Tax_3Ax1Ax4" xfId="1838" xr:uid="{00000000-0005-0000-0000-0000FD060000}"/>
    <cellStyle name="_KPI-5_STLStandartWC_Tax Input 5yr plan" xfId="1839" xr:uid="{00000000-0005-0000-0000-0000FE060000}"/>
    <cellStyle name="_KPI-5_STLStandartWC_Книга2" xfId="1840" xr:uid="{00000000-0005-0000-0000-0000FF060000}"/>
    <cellStyle name="_KPI-5_STLStandartWC_Налог_на_прибыль" xfId="1841" xr:uid="{00000000-0005-0000-0000-000000070000}"/>
    <cellStyle name="_KPI-5_SXXXX_Express_c Links" xfId="1842" xr:uid="{00000000-0005-0000-0000-000001070000}"/>
    <cellStyle name="_KPI-5_SXXXX_Express_c Links_040822 Profit_Tax_(portal)" xfId="1843" xr:uid="{00000000-0005-0000-0000-000002070000}"/>
    <cellStyle name="_KPI-5_SXXXX_Express_c Links_040928 Profit_Tax_3Ax1Ax4" xfId="1844" xr:uid="{00000000-0005-0000-0000-000003070000}"/>
    <cellStyle name="_KPI-5_SXXXX_Express_c Links_Tax Input 5yr plan" xfId="1845" xr:uid="{00000000-0005-0000-0000-000004070000}"/>
    <cellStyle name="_KPI-5_SXXXX_Express_c Links_Книга2" xfId="1846" xr:uid="{00000000-0005-0000-0000-000005070000}"/>
    <cellStyle name="_KPI-5_SXXXX_Express_c Links_Налог_на_прибыль" xfId="1847" xr:uid="{00000000-0005-0000-0000-000006070000}"/>
    <cellStyle name="_KPI-5_test_11" xfId="1848" xr:uid="{00000000-0005-0000-0000-000007070000}"/>
    <cellStyle name="_KPI-5_test_11_~5055318" xfId="1849" xr:uid="{00000000-0005-0000-0000-000008070000}"/>
    <cellStyle name="_KPI-5_test_11_DCF030925_vat" xfId="1850" xr:uid="{00000000-0005-0000-0000-000009070000}"/>
    <cellStyle name="_KPI-5_test_11_DCF030925_vat_" xfId="1851" xr:uid="{00000000-0005-0000-0000-00000A070000}"/>
    <cellStyle name="_KPI-5_test_11_DCFonly" xfId="1852" xr:uid="{00000000-0005-0000-0000-00000B070000}"/>
    <cellStyle name="_KPI-5_Total HO" xfId="1853" xr:uid="{00000000-0005-0000-0000-00000C070000}"/>
    <cellStyle name="_KPI-5_Total_HQ_2005_ver3" xfId="1854" xr:uid="{00000000-0005-0000-0000-00000D070000}"/>
    <cellStyle name="_KPI-5_Upstream_rev3" xfId="1855" xr:uid="{00000000-0005-0000-0000-00000E070000}"/>
    <cellStyle name="_KPI-5_Бюджет 2005 на консультантов_УВА" xfId="1856" xr:uid="{00000000-0005-0000-0000-00000F070000}"/>
    <cellStyle name="_KPI-5_Годовой бюджет функциональных расходов КЦ" xfId="1857" xr:uid="{00000000-0005-0000-0000-000010070000}"/>
    <cellStyle name="_KPI-5_для вставки в пакет за 2001" xfId="1858" xr:uid="{00000000-0005-0000-0000-000011070000}"/>
    <cellStyle name="_KPI-5_для вставки в пакет за 2001_~5055318" xfId="1859" xr:uid="{00000000-0005-0000-0000-000012070000}"/>
    <cellStyle name="_KPI-5_для вставки в пакет за 2001_DCF030925_vat" xfId="1860" xr:uid="{00000000-0005-0000-0000-000013070000}"/>
    <cellStyle name="_KPI-5_для вставки в пакет за 2001_DCF030925_vat_" xfId="1861" xr:uid="{00000000-0005-0000-0000-000014070000}"/>
    <cellStyle name="_KPI-5_для вставки в пакет за 2001_DCFonly" xfId="1862" xr:uid="{00000000-0005-0000-0000-000015070000}"/>
    <cellStyle name="_KPI-5_дляГалиныВ" xfId="1863" xr:uid="{00000000-0005-0000-0000-000016070000}"/>
    <cellStyle name="_KPI-5_дляГалиныВ_040822 Profit_Tax_(portal)" xfId="1864" xr:uid="{00000000-0005-0000-0000-000017070000}"/>
    <cellStyle name="_KPI-5_дляГалиныВ_040928 Profit_Tax_3Ax1Ax4" xfId="1865" xr:uid="{00000000-0005-0000-0000-000018070000}"/>
    <cellStyle name="_KPI-5_дляГалиныВ_Tax Input 5yr plan" xfId="1866" xr:uid="{00000000-0005-0000-0000-000019070000}"/>
    <cellStyle name="_KPI-5_дляГалиныВ_Книга2" xfId="1867" xr:uid="{00000000-0005-0000-0000-00001A070000}"/>
    <cellStyle name="_KPI-5_дляГалиныВ_Налог_на_прибыль" xfId="1868" xr:uid="{00000000-0005-0000-0000-00001B070000}"/>
    <cellStyle name="_KPI-5_Лист1" xfId="1869" xr:uid="{00000000-0005-0000-0000-00001C070000}"/>
    <cellStyle name="_KPI-5_Лист1_040822 Profit_Tax_(portal)" xfId="1870" xr:uid="{00000000-0005-0000-0000-00001D070000}"/>
    <cellStyle name="_KPI-5_Лист1_040928 Profit_Tax_3Ax1Ax4" xfId="1871" xr:uid="{00000000-0005-0000-0000-00001E070000}"/>
    <cellStyle name="_KPI-5_Лист1_Tax Input 5yr plan" xfId="1872" xr:uid="{00000000-0005-0000-0000-00001F070000}"/>
    <cellStyle name="_KPI-5_Лист1_Книга2" xfId="1873" xr:uid="{00000000-0005-0000-0000-000020070000}"/>
    <cellStyle name="_KPI-5_Лист1_Налог_на_прибыль" xfId="1874" xr:uid="{00000000-0005-0000-0000-000021070000}"/>
    <cellStyle name="_KPI-5_Оборотный капитал Формы на 2004 Панова" xfId="1875" xr:uid="{00000000-0005-0000-0000-000022070000}"/>
    <cellStyle name="_KPI-5_Оборотный капитал Формы на 2004 Панова_040822 Profit_Tax_(portal)" xfId="1876" xr:uid="{00000000-0005-0000-0000-000023070000}"/>
    <cellStyle name="_KPI-5_Оборотный капитал Формы на 2004 Панова_040928 Profit_Tax_3Ax1Ax4" xfId="1877" xr:uid="{00000000-0005-0000-0000-000024070000}"/>
    <cellStyle name="_KPI-5_Оборотный капитал Формы на 2004 Панова_Tax Input 5yr plan" xfId="1878" xr:uid="{00000000-0005-0000-0000-000025070000}"/>
    <cellStyle name="_KPI-5_Оборотный капитал Формы на 2004 Панова_Книга2" xfId="1879" xr:uid="{00000000-0005-0000-0000-000026070000}"/>
    <cellStyle name="_KPI-5_Оборотный капитал Формы на 2004 Панова_Налог_на_прибыль" xfId="1880" xr:uid="{00000000-0005-0000-0000-000027070000}"/>
    <cellStyle name="_KPI-5_Подразделения" xfId="1881" xr:uid="{00000000-0005-0000-0000-000028070000}"/>
    <cellStyle name="_KPI-5_Подразделения_040822 Profit_Tax_(portal)" xfId="1882" xr:uid="{00000000-0005-0000-0000-000029070000}"/>
    <cellStyle name="_KPI-5_Подразделения_040928 Profit_Tax_3Ax1Ax4" xfId="1883" xr:uid="{00000000-0005-0000-0000-00002A070000}"/>
    <cellStyle name="_KPI-5_Подразделения_Tax Input 5yr plan" xfId="1884" xr:uid="{00000000-0005-0000-0000-00002B070000}"/>
    <cellStyle name="_KPI-5_Подразделения_Книга2" xfId="1885" xr:uid="{00000000-0005-0000-0000-00002C070000}"/>
    <cellStyle name="_KPI-5_Подразделения_Налог_на_прибыль" xfId="1886" xr:uid="{00000000-0005-0000-0000-00002D070000}"/>
    <cellStyle name="_KPI-5_Свод по Фил Предст 2004" xfId="1887" xr:uid="{00000000-0005-0000-0000-00002E070000}"/>
    <cellStyle name="_KPI-5_Список тиражирования" xfId="1888" xr:uid="{00000000-0005-0000-0000-00002F070000}"/>
    <cellStyle name="_KPI-5_Список тиражирования_040822 Profit_Tax_(portal)" xfId="1889" xr:uid="{00000000-0005-0000-0000-000030070000}"/>
    <cellStyle name="_KPI-5_Список тиражирования_040928 Profit_Tax_3Ax1Ax4" xfId="1890" xr:uid="{00000000-0005-0000-0000-000031070000}"/>
    <cellStyle name="_KPI-5_Список тиражирования_Tax Input 5yr plan" xfId="1891" xr:uid="{00000000-0005-0000-0000-000032070000}"/>
    <cellStyle name="_KPI-5_Список тиражирования_Книга2" xfId="1892" xr:uid="{00000000-0005-0000-0000-000033070000}"/>
    <cellStyle name="_KPI-5_Список тиражирования_Налог_на_прибыль" xfId="1893" xr:uid="{00000000-0005-0000-0000-000034070000}"/>
    <cellStyle name="_KPI-5_Форма 12 last" xfId="1894" xr:uid="{00000000-0005-0000-0000-000035070000}"/>
    <cellStyle name="_KPI-5_Форма 12 last_~5055318" xfId="1895" xr:uid="{00000000-0005-0000-0000-000036070000}"/>
    <cellStyle name="_KPI-5_Форма 12 last_DCF030925_vat" xfId="1896" xr:uid="{00000000-0005-0000-0000-000037070000}"/>
    <cellStyle name="_KPI-5_Форма 12 last_DCF030925_vat_" xfId="1897" xr:uid="{00000000-0005-0000-0000-000038070000}"/>
    <cellStyle name="_KPI-5_Форма 12 last_DCFonly" xfId="1898" xr:uid="{00000000-0005-0000-0000-000039070000}"/>
    <cellStyle name="_KPI-5_Формы на 2004_1 " xfId="1899" xr:uid="{00000000-0005-0000-0000-00003A070000}"/>
    <cellStyle name="_KPI-5_Формы на 2004_1 _040822 Profit_Tax_(portal)" xfId="1900" xr:uid="{00000000-0005-0000-0000-00003B070000}"/>
    <cellStyle name="_KPI-5_Формы на 2004_1 _040928 Profit_Tax_3Ax1Ax4" xfId="1901" xr:uid="{00000000-0005-0000-0000-00003C070000}"/>
    <cellStyle name="_KPI-5_Формы на 2004_1 _Tax Input 5yr plan" xfId="1902" xr:uid="{00000000-0005-0000-0000-00003D070000}"/>
    <cellStyle name="_KPI-5_Формы на 2004_1 _Книга2" xfId="1903" xr:uid="{00000000-0005-0000-0000-00003E070000}"/>
    <cellStyle name="_KPI-5_Формы на 2004_1 _Налог_на_прибыль" xfId="1904" xr:uid="{00000000-0005-0000-0000-00003F070000}"/>
    <cellStyle name="_LatAm" xfId="1905" xr:uid="{00000000-0005-0000-0000-000040070000}"/>
    <cellStyle name="_LDC Rate Base Model_v5" xfId="1906" xr:uid="{00000000-0005-0000-0000-000041070000}"/>
    <cellStyle name="_LDC Rate Base Model_v5_Exelon Power Fuel Forecast - Project P 6-11-2004 ver21" xfId="1907" xr:uid="{00000000-0005-0000-0000-000042070000}"/>
    <cellStyle name="_LDC Rate Base Model_v5_ML Outputs" xfId="1908" xr:uid="{00000000-0005-0000-0000-000043070000}"/>
    <cellStyle name="_LDC Rate Base Model_v5_Project Forest Pro Forma Model v58" xfId="1909" xr:uid="{00000000-0005-0000-0000-000044070000}"/>
    <cellStyle name="_Live 2005_план_Svod_(5,3)_итоговый" xfId="1910" xr:uid="{00000000-0005-0000-0000-000045070000}"/>
    <cellStyle name="_Loan Draw Schedule" xfId="1911" xr:uid="{00000000-0005-0000-0000-000046070000}"/>
    <cellStyle name="_Loan Draw Schedule_Copy of CNL Consolidated model_v.FPL_v37" xfId="1912" xr:uid="{00000000-0005-0000-0000-000047070000}"/>
    <cellStyle name="_Loan Draw Schedule_Copy of CNL Consolidated model_v.FPL_v37_Exelon Power Fuel Forecast - Project P 6-11-2004 ver21" xfId="1913" xr:uid="{00000000-0005-0000-0000-000048070000}"/>
    <cellStyle name="_Loan Draw Schedule_Copy of CNL Consolidated model_v.FPL_v37_ML Outputs" xfId="1914" xr:uid="{00000000-0005-0000-0000-000049070000}"/>
    <cellStyle name="_Loan Draw Schedule_Copy of CNL Consolidated model_v.FPL_v37_Project Forest Pro Forma Model v58" xfId="1915" xr:uid="{00000000-0005-0000-0000-00004A070000}"/>
    <cellStyle name="_Loan Draw Schedule_D_Consolidated2" xfId="1916" xr:uid="{00000000-0005-0000-0000-00004B070000}"/>
    <cellStyle name="_Loan Draw Schedule_Model v9.8" xfId="1917" xr:uid="{00000000-0005-0000-0000-00004C070000}"/>
    <cellStyle name="_Loan Draw Schedule_Mutilples Template2" xfId="1918" xr:uid="{00000000-0005-0000-0000-00004D070000}"/>
    <cellStyle name="_Loan Draw Schedule_Mutilples Template2_Exelon Power Fuel Forecast - Project P 6-11-2004 ver21" xfId="1919" xr:uid="{00000000-0005-0000-0000-00004E070000}"/>
    <cellStyle name="_Loan Draw Schedule_Mutilples Template2_ML Outputs" xfId="1920" xr:uid="{00000000-0005-0000-0000-00004F070000}"/>
    <cellStyle name="_Loan Draw Schedule_Mutilples Template2_Project Forest Pro Forma Model v58" xfId="1921" xr:uid="{00000000-0005-0000-0000-000050070000}"/>
    <cellStyle name="_Loan Draw Schedule_pom consolidated v3" xfId="1922" xr:uid="{00000000-0005-0000-0000-000051070000}"/>
    <cellStyle name="_Loan Draw Schedule_pom consolidated v3_Exelon Power Fuel Forecast - Project P 6-11-2004 ver21" xfId="1923" xr:uid="{00000000-0005-0000-0000-000052070000}"/>
    <cellStyle name="_Loan Draw Schedule_pom consolidated v3_ML Outputs" xfId="1924" xr:uid="{00000000-0005-0000-0000-000053070000}"/>
    <cellStyle name="_Loan Draw Schedule_pom consolidated v3_Project Forest Pro Forma Model v58" xfId="1925" xr:uid="{00000000-0005-0000-0000-000054070000}"/>
    <cellStyle name="_Maintenance Unit Cost One-pagers" xfId="1926" xr:uid="{00000000-0005-0000-0000-000055070000}"/>
    <cellStyle name="_man swaps" xfId="1927" xr:uid="{00000000-0005-0000-0000-000056070000}"/>
    <cellStyle name="_March upd - Volume" xfId="1928" xr:uid="{00000000-0005-0000-0000-000057070000}"/>
    <cellStyle name="_Merger_PSEG_v9.2" xfId="1929" xr:uid="{00000000-0005-0000-0000-000058070000}"/>
    <cellStyle name="_Merger_PSEG_v9.2_Exelon Power Fuel Forecast - Project P 6-11-2004 ver21" xfId="1930" xr:uid="{00000000-0005-0000-0000-000059070000}"/>
    <cellStyle name="_Merger_PSEG_v9.2_ML Outputs" xfId="1931" xr:uid="{00000000-0005-0000-0000-00005A070000}"/>
    <cellStyle name="_Merger_PSEG_v9.2_Project Forest Pro Forma Model v58" xfId="1932" xr:uid="{00000000-0005-0000-0000-00005B070000}"/>
    <cellStyle name="_mir-2000-Nov-03_eod " xfId="1933" xr:uid="{00000000-0005-0000-0000-00005C070000}"/>
    <cellStyle name="_Missouri 0502 v6_TPS_PPA" xfId="1934" xr:uid="{00000000-0005-0000-0000-00005D070000}"/>
    <cellStyle name="_Missouri 0502 v6_TPS_PPA_Copy of CNL Consolidated model_v.FPL_v37" xfId="1935" xr:uid="{00000000-0005-0000-0000-00005E070000}"/>
    <cellStyle name="_Missouri 0502 v6_TPS_PPA_Copy of CNL Consolidated model_v.FPL_v37_Exelon Power Fuel Forecast - Project P 6-11-2004 ver21" xfId="1936" xr:uid="{00000000-0005-0000-0000-00005F070000}"/>
    <cellStyle name="_Missouri 0502 v6_TPS_PPA_Copy of CNL Consolidated model_v.FPL_v37_ML Outputs" xfId="1937" xr:uid="{00000000-0005-0000-0000-000060070000}"/>
    <cellStyle name="_Missouri 0502 v6_TPS_PPA_Copy of CNL Consolidated model_v.FPL_v37_Project Forest Pro Forma Model v58" xfId="1938" xr:uid="{00000000-0005-0000-0000-000061070000}"/>
    <cellStyle name="_Missouri 0502 v6_TPS_PPA_D_Consolidated2" xfId="1939" xr:uid="{00000000-0005-0000-0000-000062070000}"/>
    <cellStyle name="_Missouri 0502 v6_TPS_PPA_Model v9.8" xfId="1940" xr:uid="{00000000-0005-0000-0000-000063070000}"/>
    <cellStyle name="_Missouri 0502 v6_TPS_PPA_Mutilples Template2" xfId="1941" xr:uid="{00000000-0005-0000-0000-000064070000}"/>
    <cellStyle name="_Missouri 0502 v6_TPS_PPA_Mutilples Template2_Exelon Power Fuel Forecast - Project P 6-11-2004 ver21" xfId="1942" xr:uid="{00000000-0005-0000-0000-000065070000}"/>
    <cellStyle name="_Missouri 0502 v6_TPS_PPA_Mutilples Template2_ML Outputs" xfId="1943" xr:uid="{00000000-0005-0000-0000-000066070000}"/>
    <cellStyle name="_Missouri 0502 v6_TPS_PPA_Mutilples Template2_Project Forest Pro Forma Model v58" xfId="1944" xr:uid="{00000000-0005-0000-0000-000067070000}"/>
    <cellStyle name="_Missouri 0502 v6_TPS_PPA_pom consolidated v3" xfId="1945" xr:uid="{00000000-0005-0000-0000-000068070000}"/>
    <cellStyle name="_Missouri 0502 v6_TPS_PPA_pom consolidated v3_Exelon Power Fuel Forecast - Project P 6-11-2004 ver21" xfId="1946" xr:uid="{00000000-0005-0000-0000-000069070000}"/>
    <cellStyle name="_Missouri 0502 v6_TPS_PPA_pom consolidated v3_ML Outputs" xfId="1947" xr:uid="{00000000-0005-0000-0000-00006A070000}"/>
    <cellStyle name="_Missouri 0502 v6_TPS_PPA_pom consolidated v3_Project Forest Pro Forma Model v58" xfId="1948" xr:uid="{00000000-0005-0000-0000-00006B070000}"/>
    <cellStyle name="_ML Outputs" xfId="1949" xr:uid="{00000000-0005-0000-0000-00006C070000}"/>
    <cellStyle name="_Model v9.8" xfId="1950" xr:uid="{00000000-0005-0000-0000-00006D070000}"/>
    <cellStyle name="_Model_2004" xfId="1951" xr:uid="{00000000-0005-0000-0000-00006E070000}"/>
    <cellStyle name="_Model_2004_25$_22Dec_new" xfId="1952" xr:uid="{00000000-0005-0000-0000-00006F070000}"/>
    <cellStyle name="_Model_2004_25$_approved_16.02" xfId="1953" xr:uid="{00000000-0005-0000-0000-000070070000}"/>
    <cellStyle name="_Model_2004_new_production" xfId="1954" xr:uid="{00000000-0005-0000-0000-000071070000}"/>
    <cellStyle name="_Modelo RS v6" xfId="1955" xr:uid="{00000000-0005-0000-0000-000072070000}"/>
    <cellStyle name="_MR 2Q_2003" xfId="1956" xr:uid="{00000000-0005-0000-0000-000073070000}"/>
    <cellStyle name="_MR 2Q_2003_~5055318" xfId="1957" xr:uid="{00000000-0005-0000-0000-000074070000}"/>
    <cellStyle name="_MR Report_TNK Ukraine_Q12003" xfId="1958" xr:uid="{00000000-0005-0000-0000-000075070000}"/>
    <cellStyle name="_MR Report_TNK Ukraine_Q12003_~5055318" xfId="1959" xr:uid="{00000000-0005-0000-0000-000076070000}"/>
    <cellStyle name="_MR reports Aug GFO1" xfId="1960" xr:uid="{00000000-0005-0000-0000-000077070000}"/>
    <cellStyle name="_MR reports Aug GFO1_~5055318" xfId="1961" xr:uid="{00000000-0005-0000-0000-000078070000}"/>
    <cellStyle name="_Multiple" xfId="1962" xr:uid="{00000000-0005-0000-0000-000079070000}"/>
    <cellStyle name="_Multiple 2" xfId="1963" xr:uid="{00000000-0005-0000-0000-00007A070000}"/>
    <cellStyle name="_Multiple 3" xfId="1964" xr:uid="{00000000-0005-0000-0000-00007B070000}"/>
    <cellStyle name="_Multiple_Applicazione Multipli" xfId="1965" xr:uid="{00000000-0005-0000-0000-00007C070000}"/>
    <cellStyle name="_Multiple_AVP" xfId="1966" xr:uid="{00000000-0005-0000-0000-00007D070000}"/>
    <cellStyle name="_Multiple_bapv" xfId="1967" xr:uid="{00000000-0005-0000-0000-00007E070000}"/>
    <cellStyle name="_Multiple_Merger Plan 01" xfId="1968" xr:uid="{00000000-0005-0000-0000-00007F070000}"/>
    <cellStyle name="_Multiple_Ownership structure - UCI" xfId="1969" xr:uid="{00000000-0005-0000-0000-000080070000}"/>
    <cellStyle name="_Multiple_Summary LR1" xfId="1970" xr:uid="{00000000-0005-0000-0000-000081070000}"/>
    <cellStyle name="_Multiple_Valuation Summary" xfId="1971" xr:uid="{00000000-0005-0000-0000-000082070000}"/>
    <cellStyle name="_MultipleSpace" xfId="1972" xr:uid="{00000000-0005-0000-0000-000083070000}"/>
    <cellStyle name="_MultipleSpace 2" xfId="1973" xr:uid="{00000000-0005-0000-0000-000084070000}"/>
    <cellStyle name="_MultipleSpace 3" xfId="1974" xr:uid="{00000000-0005-0000-0000-000085070000}"/>
    <cellStyle name="_MultipleSpace_Analysis of Generali Offer" xfId="1975" xr:uid="{00000000-0005-0000-0000-000086070000}"/>
    <cellStyle name="_MultipleSpace_Applicazione Multipli" xfId="1976" xr:uid="{00000000-0005-0000-0000-000087070000}"/>
    <cellStyle name="_MultipleSpace_AVP" xfId="1977" xr:uid="{00000000-0005-0000-0000-000088070000}"/>
    <cellStyle name="_MultipleSpace_bapv" xfId="1978" xr:uid="{00000000-0005-0000-0000-000089070000}"/>
    <cellStyle name="_MultipleSpace_Merger Plan 01" xfId="1979" xr:uid="{00000000-0005-0000-0000-00008A070000}"/>
    <cellStyle name="_MultipleSpace_Ownership structure - UCI" xfId="1980" xr:uid="{00000000-0005-0000-0000-00008B070000}"/>
    <cellStyle name="_MultipleSpace_Share Prices" xfId="1981" xr:uid="{00000000-0005-0000-0000-00008C070000}"/>
    <cellStyle name="_MultipleSpace_Summary LR1" xfId="1982" xr:uid="{00000000-0005-0000-0000-00008D070000}"/>
    <cellStyle name="_MultipleSpace_valuation" xfId="1983" xr:uid="{00000000-0005-0000-0000-00008E070000}"/>
    <cellStyle name="_MultipleSpace_Valuation Summary" xfId="1984" xr:uid="{00000000-0005-0000-0000-00008F070000}"/>
    <cellStyle name="_MultipleSpace_Valuation_1" xfId="1985" xr:uid="{00000000-0005-0000-0000-000090070000}"/>
    <cellStyle name="_Mutilples Template2" xfId="1986" xr:uid="{00000000-0005-0000-0000-000091070000}"/>
    <cellStyle name="_Mutilples Template2_Exelon Power Fuel Forecast - Project P 6-11-2004 ver21" xfId="1987" xr:uid="{00000000-0005-0000-0000-000092070000}"/>
    <cellStyle name="_Mutilples Template2_ML Outputs" xfId="1988" xr:uid="{00000000-0005-0000-0000-000093070000}"/>
    <cellStyle name="_Mutilples Template2_Project Forest Pro Forma Model v58" xfId="1989" xr:uid="{00000000-0005-0000-0000-000094070000}"/>
    <cellStyle name="_Ne" xfId="1990" xr:uid="{00000000-0005-0000-0000-000095070000}"/>
    <cellStyle name="_New_Sofi" xfId="1991" xr:uid="{00000000-0005-0000-0000-000096070000}"/>
    <cellStyle name="_New_Sofi_~5055318" xfId="1992" xr:uid="{00000000-0005-0000-0000-000097070000}"/>
    <cellStyle name="_New_Sofi_17_0" xfId="1993" xr:uid="{00000000-0005-0000-0000-000098070000}"/>
    <cellStyle name="_New_Sofi_17_0_~5055318" xfId="1994" xr:uid="{00000000-0005-0000-0000-000099070000}"/>
    <cellStyle name="_New_Sofi_17_0_1" xfId="1995" xr:uid="{00000000-0005-0000-0000-00009A070000}"/>
    <cellStyle name="_New_Sofi_17_0_1_~5055318" xfId="1996" xr:uid="{00000000-0005-0000-0000-00009B070000}"/>
    <cellStyle name="_New_Sofi_balance" xfId="1997" xr:uid="{00000000-0005-0000-0000-00009C070000}"/>
    <cellStyle name="_New_Sofi_balance_~5055318" xfId="1998" xr:uid="{00000000-0005-0000-0000-00009D070000}"/>
    <cellStyle name="_New_Sofi_Capex-new" xfId="1999" xr:uid="{00000000-0005-0000-0000-00009E070000}"/>
    <cellStyle name="_New_Sofi_Capex-new_~5055318" xfId="2000" xr:uid="{00000000-0005-0000-0000-00009F070000}"/>
    <cellStyle name="_New_Sofi_Capex-new_DCF030925_vat" xfId="2001" xr:uid="{00000000-0005-0000-0000-0000A0070000}"/>
    <cellStyle name="_New_Sofi_Capex-new_DCF030925_vat_" xfId="2002" xr:uid="{00000000-0005-0000-0000-0000A1070000}"/>
    <cellStyle name="_New_Sofi_Capex-new_DCFonly" xfId="2003" xr:uid="{00000000-0005-0000-0000-0000A2070000}"/>
    <cellStyle name="_New_Sofi_DCF030925_vat" xfId="2004" xr:uid="{00000000-0005-0000-0000-0000A3070000}"/>
    <cellStyle name="_New_Sofi_DCF030925_vat_" xfId="2005" xr:uid="{00000000-0005-0000-0000-0000A4070000}"/>
    <cellStyle name="_New_Sofi_DCFonly" xfId="2006" xr:uid="{00000000-0005-0000-0000-0000A5070000}"/>
    <cellStyle name="_New_Sofi_FFF" xfId="2007" xr:uid="{00000000-0005-0000-0000-0000A6070000}"/>
    <cellStyle name="_New_Sofi_FFF_~5055318" xfId="2008" xr:uid="{00000000-0005-0000-0000-0000A7070000}"/>
    <cellStyle name="_New_Sofi_FFF_DCF030925_vat" xfId="2009" xr:uid="{00000000-0005-0000-0000-0000A8070000}"/>
    <cellStyle name="_New_Sofi_FFF_DCF030925_vat_" xfId="2010" xr:uid="{00000000-0005-0000-0000-0000A9070000}"/>
    <cellStyle name="_New_Sofi_FFF_DCFonly" xfId="2011" xr:uid="{00000000-0005-0000-0000-0000AA070000}"/>
    <cellStyle name="_New_Sofi_Financial Plan - final_2" xfId="2012" xr:uid="{00000000-0005-0000-0000-0000AB070000}"/>
    <cellStyle name="_New_Sofi_Financial Plan - final_2_~5055318" xfId="2013" xr:uid="{00000000-0005-0000-0000-0000AC070000}"/>
    <cellStyle name="_New_Sofi_Financial Plan - final_2_DCF030925_vat" xfId="2014" xr:uid="{00000000-0005-0000-0000-0000AD070000}"/>
    <cellStyle name="_New_Sofi_Financial Plan - final_2_DCF030925_vat_" xfId="2015" xr:uid="{00000000-0005-0000-0000-0000AE070000}"/>
    <cellStyle name="_New_Sofi_Financial Plan - final_2_DCFonly" xfId="2016" xr:uid="{00000000-0005-0000-0000-0000AF070000}"/>
    <cellStyle name="_New_Sofi_Form 01(MB)" xfId="2017" xr:uid="{00000000-0005-0000-0000-0000B0070000}"/>
    <cellStyle name="_New_Sofi_Form 01(MB)_040822 Profit_Tax_(portal)" xfId="2018" xr:uid="{00000000-0005-0000-0000-0000B1070000}"/>
    <cellStyle name="_New_Sofi_Form 01(MB)_040928 Profit_Tax_3Ax1Ax4" xfId="2019" xr:uid="{00000000-0005-0000-0000-0000B2070000}"/>
    <cellStyle name="_New_Sofi_Form 01(MB)_Tax Input 5yr plan" xfId="2020" xr:uid="{00000000-0005-0000-0000-0000B3070000}"/>
    <cellStyle name="_New_Sofi_Form 01(MB)_Книга2" xfId="2021" xr:uid="{00000000-0005-0000-0000-0000B4070000}"/>
    <cellStyle name="_New_Sofi_Form 01(MB)_Налог_на_прибыль" xfId="2022" xr:uid="{00000000-0005-0000-0000-0000B5070000}"/>
    <cellStyle name="_New_Sofi_Links_NK" xfId="2023" xr:uid="{00000000-0005-0000-0000-0000B6070000}"/>
    <cellStyle name="_New_Sofi_Links_NK_040822 Profit_Tax_(portal)" xfId="2024" xr:uid="{00000000-0005-0000-0000-0000B7070000}"/>
    <cellStyle name="_New_Sofi_Links_NK_040928 Profit_Tax_3Ax1Ax4" xfId="2025" xr:uid="{00000000-0005-0000-0000-0000B8070000}"/>
    <cellStyle name="_New_Sofi_Links_NK_Tax Input 5yr plan" xfId="2026" xr:uid="{00000000-0005-0000-0000-0000B9070000}"/>
    <cellStyle name="_New_Sofi_Links_NK_Книга2" xfId="2027" xr:uid="{00000000-0005-0000-0000-0000BA070000}"/>
    <cellStyle name="_New_Sofi_Links_NK_Налог_на_прибыль" xfId="2028" xr:uid="{00000000-0005-0000-0000-0000BB070000}"/>
    <cellStyle name="_New_Sofi_N20_5" xfId="2029" xr:uid="{00000000-0005-0000-0000-0000BC070000}"/>
    <cellStyle name="_New_Sofi_N20_5_~5055318" xfId="2030" xr:uid="{00000000-0005-0000-0000-0000BD070000}"/>
    <cellStyle name="_New_Sofi_N20_5_DCF030925_vat" xfId="2031" xr:uid="{00000000-0005-0000-0000-0000BE070000}"/>
    <cellStyle name="_New_Sofi_N20_5_DCF030925_vat_" xfId="2032" xr:uid="{00000000-0005-0000-0000-0000BF070000}"/>
    <cellStyle name="_New_Sofi_N20_5_DCFonly" xfId="2033" xr:uid="{00000000-0005-0000-0000-0000C0070000}"/>
    <cellStyle name="_New_Sofi_N20_6" xfId="2034" xr:uid="{00000000-0005-0000-0000-0000C1070000}"/>
    <cellStyle name="_New_Sofi_N20_6_~5055318" xfId="2035" xr:uid="{00000000-0005-0000-0000-0000C2070000}"/>
    <cellStyle name="_New_Sofi_N20_6_DCF030925_vat" xfId="2036" xr:uid="{00000000-0005-0000-0000-0000C3070000}"/>
    <cellStyle name="_New_Sofi_N20_6_DCF030925_vat_" xfId="2037" xr:uid="{00000000-0005-0000-0000-0000C4070000}"/>
    <cellStyle name="_New_Sofi_N20_6_DCFonly" xfId="2038" xr:uid="{00000000-0005-0000-0000-0000C5070000}"/>
    <cellStyle name="_New_Sofi_New Form10_2" xfId="2039" xr:uid="{00000000-0005-0000-0000-0000C6070000}"/>
    <cellStyle name="_New_Sofi_New Form10_2_~5055318" xfId="2040" xr:uid="{00000000-0005-0000-0000-0000C7070000}"/>
    <cellStyle name="_New_Sofi_New Form10_2_DCF030925_vat" xfId="2041" xr:uid="{00000000-0005-0000-0000-0000C8070000}"/>
    <cellStyle name="_New_Sofi_New Form10_2_DCF030925_vat_" xfId="2042" xr:uid="{00000000-0005-0000-0000-0000C9070000}"/>
    <cellStyle name="_New_Sofi_New Form10_2_DCFonly" xfId="2043" xr:uid="{00000000-0005-0000-0000-0000CA070000}"/>
    <cellStyle name="_New_Sofi_Nsi" xfId="2044" xr:uid="{00000000-0005-0000-0000-0000CB070000}"/>
    <cellStyle name="_New_Sofi_Nsi - last version" xfId="2045" xr:uid="{00000000-0005-0000-0000-0000CC070000}"/>
    <cellStyle name="_New_Sofi_Nsi - last version for programming" xfId="2046" xr:uid="{00000000-0005-0000-0000-0000CD070000}"/>
    <cellStyle name="_New_Sofi_Nsi - last version for programming_~5055318" xfId="2047" xr:uid="{00000000-0005-0000-0000-0000CE070000}"/>
    <cellStyle name="_New_Sofi_Nsi - last version for programming_DCF030925_vat" xfId="2048" xr:uid="{00000000-0005-0000-0000-0000CF070000}"/>
    <cellStyle name="_New_Sofi_Nsi - last version for programming_DCF030925_vat_" xfId="2049" xr:uid="{00000000-0005-0000-0000-0000D0070000}"/>
    <cellStyle name="_New_Sofi_Nsi - last version for programming_DCFonly" xfId="2050" xr:uid="{00000000-0005-0000-0000-0000D1070000}"/>
    <cellStyle name="_New_Sofi_Nsi - last version_~5055318" xfId="2051" xr:uid="{00000000-0005-0000-0000-0000D2070000}"/>
    <cellStyle name="_New_Sofi_Nsi - last version_DCF030925_vat" xfId="2052" xr:uid="{00000000-0005-0000-0000-0000D3070000}"/>
    <cellStyle name="_New_Sofi_Nsi - last version_DCF030925_vat_" xfId="2053" xr:uid="{00000000-0005-0000-0000-0000D4070000}"/>
    <cellStyle name="_New_Sofi_Nsi - last version_DCFonly" xfId="2054" xr:uid="{00000000-0005-0000-0000-0000D5070000}"/>
    <cellStyle name="_New_Sofi_Nsi - next_last version" xfId="2055" xr:uid="{00000000-0005-0000-0000-0000D6070000}"/>
    <cellStyle name="_New_Sofi_Nsi - next_last version_~5055318" xfId="2056" xr:uid="{00000000-0005-0000-0000-0000D7070000}"/>
    <cellStyle name="_New_Sofi_Nsi - next_last version_DCF030925_vat" xfId="2057" xr:uid="{00000000-0005-0000-0000-0000D8070000}"/>
    <cellStyle name="_New_Sofi_Nsi - next_last version_DCF030925_vat_" xfId="2058" xr:uid="{00000000-0005-0000-0000-0000D9070000}"/>
    <cellStyle name="_New_Sofi_Nsi - next_last version_DCFonly" xfId="2059" xr:uid="{00000000-0005-0000-0000-0000DA070000}"/>
    <cellStyle name="_New_Sofi_Nsi - plan - final" xfId="2060" xr:uid="{00000000-0005-0000-0000-0000DB070000}"/>
    <cellStyle name="_New_Sofi_Nsi - plan - final_~5055318" xfId="2061" xr:uid="{00000000-0005-0000-0000-0000DC070000}"/>
    <cellStyle name="_New_Sofi_Nsi - plan - final_DCF030925_vat" xfId="2062" xr:uid="{00000000-0005-0000-0000-0000DD070000}"/>
    <cellStyle name="_New_Sofi_Nsi - plan - final_DCF030925_vat_" xfId="2063" xr:uid="{00000000-0005-0000-0000-0000DE070000}"/>
    <cellStyle name="_New_Sofi_Nsi - plan - final_DCFonly" xfId="2064" xr:uid="{00000000-0005-0000-0000-0000DF070000}"/>
    <cellStyle name="_New_Sofi_Nsi -super_ last version" xfId="2065" xr:uid="{00000000-0005-0000-0000-0000E0070000}"/>
    <cellStyle name="_New_Sofi_Nsi -super_ last version_~5055318" xfId="2066" xr:uid="{00000000-0005-0000-0000-0000E1070000}"/>
    <cellStyle name="_New_Sofi_Nsi -super_ last version_DCF030925_vat" xfId="2067" xr:uid="{00000000-0005-0000-0000-0000E2070000}"/>
    <cellStyle name="_New_Sofi_Nsi -super_ last version_DCF030925_vat_" xfId="2068" xr:uid="{00000000-0005-0000-0000-0000E3070000}"/>
    <cellStyle name="_New_Sofi_Nsi -super_ last version_DCFonly" xfId="2069" xr:uid="{00000000-0005-0000-0000-0000E4070000}"/>
    <cellStyle name="_New_Sofi_Nsi(2)" xfId="2070" xr:uid="{00000000-0005-0000-0000-0000E5070000}"/>
    <cellStyle name="_New_Sofi_Nsi(2)_040822 Profit_Tax_(portal)" xfId="2071" xr:uid="{00000000-0005-0000-0000-0000E6070000}"/>
    <cellStyle name="_New_Sofi_Nsi(2)_040928 Profit_Tax_3Ax1Ax4" xfId="2072" xr:uid="{00000000-0005-0000-0000-0000E7070000}"/>
    <cellStyle name="_New_Sofi_Nsi(2)_Tax Input 5yr plan" xfId="2073" xr:uid="{00000000-0005-0000-0000-0000E8070000}"/>
    <cellStyle name="_New_Sofi_Nsi(2)_Книга2" xfId="2074" xr:uid="{00000000-0005-0000-0000-0000E9070000}"/>
    <cellStyle name="_New_Sofi_Nsi(2)_Налог_на_прибыль" xfId="2075" xr:uid="{00000000-0005-0000-0000-0000EA070000}"/>
    <cellStyle name="_New_Sofi_Nsi_~5055318" xfId="2076" xr:uid="{00000000-0005-0000-0000-0000EB070000}"/>
    <cellStyle name="_New_Sofi_Nsi_1" xfId="2077" xr:uid="{00000000-0005-0000-0000-0000EC070000}"/>
    <cellStyle name="_New_Sofi_Nsi_1_~5055318" xfId="2078" xr:uid="{00000000-0005-0000-0000-0000ED070000}"/>
    <cellStyle name="_New_Sofi_Nsi_1_DCF030925_vat" xfId="2079" xr:uid="{00000000-0005-0000-0000-0000EE070000}"/>
    <cellStyle name="_New_Sofi_Nsi_1_DCF030925_vat_" xfId="2080" xr:uid="{00000000-0005-0000-0000-0000EF070000}"/>
    <cellStyle name="_New_Sofi_Nsi_1_DCFonly" xfId="2081" xr:uid="{00000000-0005-0000-0000-0000F0070000}"/>
    <cellStyle name="_New_Sofi_Nsi_139" xfId="2082" xr:uid="{00000000-0005-0000-0000-0000F1070000}"/>
    <cellStyle name="_New_Sofi_Nsi_139_~5055318" xfId="2083" xr:uid="{00000000-0005-0000-0000-0000F2070000}"/>
    <cellStyle name="_New_Sofi_Nsi_139_DCF030925_vat" xfId="2084" xr:uid="{00000000-0005-0000-0000-0000F3070000}"/>
    <cellStyle name="_New_Sofi_Nsi_139_DCF030925_vat_" xfId="2085" xr:uid="{00000000-0005-0000-0000-0000F4070000}"/>
    <cellStyle name="_New_Sofi_Nsi_139_DCFonly" xfId="2086" xr:uid="{00000000-0005-0000-0000-0000F5070000}"/>
    <cellStyle name="_New_Sofi_Nsi_140" xfId="2087" xr:uid="{00000000-0005-0000-0000-0000F6070000}"/>
    <cellStyle name="_New_Sofi_Nsi_140(Зах)" xfId="2088" xr:uid="{00000000-0005-0000-0000-0000F7070000}"/>
    <cellStyle name="_New_Sofi_Nsi_140(Зах)_~5055318" xfId="2089" xr:uid="{00000000-0005-0000-0000-0000F8070000}"/>
    <cellStyle name="_New_Sofi_Nsi_140(Зах)_DCF030925_vat" xfId="2090" xr:uid="{00000000-0005-0000-0000-0000F9070000}"/>
    <cellStyle name="_New_Sofi_Nsi_140(Зах)_DCF030925_vat_" xfId="2091" xr:uid="{00000000-0005-0000-0000-0000FA070000}"/>
    <cellStyle name="_New_Sofi_Nsi_140(Зах)_DCFonly" xfId="2092" xr:uid="{00000000-0005-0000-0000-0000FB070000}"/>
    <cellStyle name="_New_Sofi_Nsi_140_~5055318" xfId="2093" xr:uid="{00000000-0005-0000-0000-0000FC070000}"/>
    <cellStyle name="_New_Sofi_Nsi_140_DCF030925_vat" xfId="2094" xr:uid="{00000000-0005-0000-0000-0000FD070000}"/>
    <cellStyle name="_New_Sofi_Nsi_140_DCF030925_vat_" xfId="2095" xr:uid="{00000000-0005-0000-0000-0000FE070000}"/>
    <cellStyle name="_New_Sofi_Nsi_140_DCFonly" xfId="2096" xr:uid="{00000000-0005-0000-0000-0000FF070000}"/>
    <cellStyle name="_New_Sofi_Nsi_140_mod" xfId="2097" xr:uid="{00000000-0005-0000-0000-000000080000}"/>
    <cellStyle name="_New_Sofi_Nsi_140_mod_~5055318" xfId="2098" xr:uid="{00000000-0005-0000-0000-000001080000}"/>
    <cellStyle name="_New_Sofi_Nsi_140_mod_DCF030925_vat" xfId="2099" xr:uid="{00000000-0005-0000-0000-000002080000}"/>
    <cellStyle name="_New_Sofi_Nsi_140_mod_DCF030925_vat_" xfId="2100" xr:uid="{00000000-0005-0000-0000-000003080000}"/>
    <cellStyle name="_New_Sofi_Nsi_140_mod_DCFonly" xfId="2101" xr:uid="{00000000-0005-0000-0000-000004080000}"/>
    <cellStyle name="_New_Sofi_Nsi_158" xfId="2102" xr:uid="{00000000-0005-0000-0000-000005080000}"/>
    <cellStyle name="_New_Sofi_Nsi_158_040822 Profit_Tax_(portal)" xfId="2103" xr:uid="{00000000-0005-0000-0000-000006080000}"/>
    <cellStyle name="_New_Sofi_Nsi_158_040928 Profit_Tax_3Ax1Ax4" xfId="2104" xr:uid="{00000000-0005-0000-0000-000007080000}"/>
    <cellStyle name="_New_Sofi_Nsi_158_Tax Input 5yr plan" xfId="2105" xr:uid="{00000000-0005-0000-0000-000008080000}"/>
    <cellStyle name="_New_Sofi_Nsi_158_Книга2" xfId="2106" xr:uid="{00000000-0005-0000-0000-000009080000}"/>
    <cellStyle name="_New_Sofi_Nsi_158_Налог_на_прибыль" xfId="2107" xr:uid="{00000000-0005-0000-0000-00000A080000}"/>
    <cellStyle name="_New_Sofi_Nsi_DCF030925_vat" xfId="2108" xr:uid="{00000000-0005-0000-0000-00000B080000}"/>
    <cellStyle name="_New_Sofi_Nsi_DCF030925_vat_" xfId="2109" xr:uid="{00000000-0005-0000-0000-00000C080000}"/>
    <cellStyle name="_New_Sofi_Nsi_DCFonly" xfId="2110" xr:uid="{00000000-0005-0000-0000-00000D080000}"/>
    <cellStyle name="_New_Sofi_Nsi_Express" xfId="2111" xr:uid="{00000000-0005-0000-0000-00000E080000}"/>
    <cellStyle name="_New_Sofi_Nsi_Express_040822 Profit_Tax_(portal)" xfId="2112" xr:uid="{00000000-0005-0000-0000-00000F080000}"/>
    <cellStyle name="_New_Sofi_Nsi_Express_040928 Profit_Tax_3Ax1Ax4" xfId="2113" xr:uid="{00000000-0005-0000-0000-000010080000}"/>
    <cellStyle name="_New_Sofi_Nsi_Express_Tax Input 5yr plan" xfId="2114" xr:uid="{00000000-0005-0000-0000-000011080000}"/>
    <cellStyle name="_New_Sofi_Nsi_Express_Книга2" xfId="2115" xr:uid="{00000000-0005-0000-0000-000012080000}"/>
    <cellStyle name="_New_Sofi_Nsi_Express_Налог_на_прибыль" xfId="2116" xr:uid="{00000000-0005-0000-0000-000013080000}"/>
    <cellStyle name="_New_Sofi_Nsi_Jan1" xfId="2117" xr:uid="{00000000-0005-0000-0000-000014080000}"/>
    <cellStyle name="_New_Sofi_Nsi_Jan1_~5055318" xfId="2118" xr:uid="{00000000-0005-0000-0000-000015080000}"/>
    <cellStyle name="_New_Sofi_Nsi_Jan1_DCF030925_vat" xfId="2119" xr:uid="{00000000-0005-0000-0000-000016080000}"/>
    <cellStyle name="_New_Sofi_Nsi_Jan1_DCF030925_vat_" xfId="2120" xr:uid="{00000000-0005-0000-0000-000017080000}"/>
    <cellStyle name="_New_Sofi_Nsi_Jan1_DCFonly" xfId="2121" xr:uid="{00000000-0005-0000-0000-000018080000}"/>
    <cellStyle name="_New_Sofi_Nsi_test" xfId="2122" xr:uid="{00000000-0005-0000-0000-000019080000}"/>
    <cellStyle name="_New_Sofi_Nsi_test_040822 Profit_Tax_(portal)" xfId="2123" xr:uid="{00000000-0005-0000-0000-00001A080000}"/>
    <cellStyle name="_New_Sofi_Nsi_test_040928 Profit_Tax_3Ax1Ax4" xfId="2124" xr:uid="{00000000-0005-0000-0000-00001B080000}"/>
    <cellStyle name="_New_Sofi_Nsi_test_Tax Input 5yr plan" xfId="2125" xr:uid="{00000000-0005-0000-0000-00001C080000}"/>
    <cellStyle name="_New_Sofi_Nsi_test_Книга2" xfId="2126" xr:uid="{00000000-0005-0000-0000-00001D080000}"/>
    <cellStyle name="_New_Sofi_Nsi_test_Налог_на_прибыль" xfId="2127" xr:uid="{00000000-0005-0000-0000-00001E080000}"/>
    <cellStyle name="_New_Sofi_Nsi2" xfId="2128" xr:uid="{00000000-0005-0000-0000-00001F080000}"/>
    <cellStyle name="_New_Sofi_Nsi2_~5055318" xfId="2129" xr:uid="{00000000-0005-0000-0000-000020080000}"/>
    <cellStyle name="_New_Sofi_Nsi2_DCF030925_vat" xfId="2130" xr:uid="{00000000-0005-0000-0000-000021080000}"/>
    <cellStyle name="_New_Sofi_Nsi2_DCF030925_vat_" xfId="2131" xr:uid="{00000000-0005-0000-0000-000022080000}"/>
    <cellStyle name="_New_Sofi_Nsi2_DCFonly" xfId="2132" xr:uid="{00000000-0005-0000-0000-000023080000}"/>
    <cellStyle name="_New_Sofi_Nsi-Services" xfId="2133" xr:uid="{00000000-0005-0000-0000-000024080000}"/>
    <cellStyle name="_New_Sofi_Nsi-Services_040822 Profit_Tax_(portal)" xfId="2134" xr:uid="{00000000-0005-0000-0000-000025080000}"/>
    <cellStyle name="_New_Sofi_Nsi-Services_040928 Profit_Tax_3Ax1Ax4" xfId="2135" xr:uid="{00000000-0005-0000-0000-000026080000}"/>
    <cellStyle name="_New_Sofi_Nsi-Services_Tax Input 5yr plan" xfId="2136" xr:uid="{00000000-0005-0000-0000-000027080000}"/>
    <cellStyle name="_New_Sofi_Nsi-Services_Книга2" xfId="2137" xr:uid="{00000000-0005-0000-0000-000028080000}"/>
    <cellStyle name="_New_Sofi_Nsi-Services_Налог_на_прибыль" xfId="2138" xr:uid="{00000000-0005-0000-0000-000029080000}"/>
    <cellStyle name="_New_Sofi_P&amp;L" xfId="2139" xr:uid="{00000000-0005-0000-0000-00002A080000}"/>
    <cellStyle name="_New_Sofi_P&amp;L_~5055318" xfId="2140" xr:uid="{00000000-0005-0000-0000-00002B080000}"/>
    <cellStyle name="_New_Sofi_P&amp;L_DCF030925_vat" xfId="2141" xr:uid="{00000000-0005-0000-0000-00002C080000}"/>
    <cellStyle name="_New_Sofi_P&amp;L_DCF030925_vat_" xfId="2142" xr:uid="{00000000-0005-0000-0000-00002D080000}"/>
    <cellStyle name="_New_Sofi_P&amp;L_DCFonly" xfId="2143" xr:uid="{00000000-0005-0000-0000-00002E080000}"/>
    <cellStyle name="_New_Sofi_S0400" xfId="2144" xr:uid="{00000000-0005-0000-0000-00002F080000}"/>
    <cellStyle name="_New_Sofi_S0400_040822 Profit_Tax_(portal)" xfId="2145" xr:uid="{00000000-0005-0000-0000-000030080000}"/>
    <cellStyle name="_New_Sofi_S0400_040928 Profit_Tax_3Ax1Ax4" xfId="2146" xr:uid="{00000000-0005-0000-0000-000031080000}"/>
    <cellStyle name="_New_Sofi_S0400_Tax Input 5yr plan" xfId="2147" xr:uid="{00000000-0005-0000-0000-000032080000}"/>
    <cellStyle name="_New_Sofi_S0400_Книга2" xfId="2148" xr:uid="{00000000-0005-0000-0000-000033080000}"/>
    <cellStyle name="_New_Sofi_S0400_Налог_на_прибыль" xfId="2149" xr:uid="{00000000-0005-0000-0000-000034080000}"/>
    <cellStyle name="_New_Sofi_S13001" xfId="2150" xr:uid="{00000000-0005-0000-0000-000035080000}"/>
    <cellStyle name="_New_Sofi_S13001_040822 Profit_Tax_(portal)" xfId="2151" xr:uid="{00000000-0005-0000-0000-000036080000}"/>
    <cellStyle name="_New_Sofi_S13001_040928 Profit_Tax_3Ax1Ax4" xfId="2152" xr:uid="{00000000-0005-0000-0000-000037080000}"/>
    <cellStyle name="_New_Sofi_S13001_Tax Input 5yr plan" xfId="2153" xr:uid="{00000000-0005-0000-0000-000038080000}"/>
    <cellStyle name="_New_Sofi_S13001_Книга2" xfId="2154" xr:uid="{00000000-0005-0000-0000-000039080000}"/>
    <cellStyle name="_New_Sofi_S13001_Налог_на_прибыль" xfId="2155" xr:uid="{00000000-0005-0000-0000-00003A080000}"/>
    <cellStyle name="_New_Sofi_Sheet1" xfId="2156" xr:uid="{00000000-0005-0000-0000-00003B080000}"/>
    <cellStyle name="_New_Sofi_Sheet1_~5055318" xfId="2157" xr:uid="{00000000-0005-0000-0000-00003C080000}"/>
    <cellStyle name="_New_Sofi_Sheet1_DCF030925_vat" xfId="2158" xr:uid="{00000000-0005-0000-0000-00003D080000}"/>
    <cellStyle name="_New_Sofi_Sheet1_DCF030925_vat_" xfId="2159" xr:uid="{00000000-0005-0000-0000-00003E080000}"/>
    <cellStyle name="_New_Sofi_Sheet1_DCFonly" xfId="2160" xr:uid="{00000000-0005-0000-0000-00003F080000}"/>
    <cellStyle name="_New_Sofi_SOFI" xfId="2161" xr:uid="{00000000-0005-0000-0000-000040080000}"/>
    <cellStyle name="_New_Sofi_sofi - plan_AP270202ii" xfId="2162" xr:uid="{00000000-0005-0000-0000-000041080000}"/>
    <cellStyle name="_New_Sofi_sofi - plan_AP270202ii_~5055318" xfId="2163" xr:uid="{00000000-0005-0000-0000-000042080000}"/>
    <cellStyle name="_New_Sofi_sofi - plan_AP270202ii_DCF030925_vat" xfId="2164" xr:uid="{00000000-0005-0000-0000-000043080000}"/>
    <cellStyle name="_New_Sofi_sofi - plan_AP270202ii_DCF030925_vat_" xfId="2165" xr:uid="{00000000-0005-0000-0000-000044080000}"/>
    <cellStyle name="_New_Sofi_sofi - plan_AP270202ii_DCFonly" xfId="2166" xr:uid="{00000000-0005-0000-0000-000045080000}"/>
    <cellStyle name="_New_Sofi_sofi - plan_AP270202iii" xfId="2167" xr:uid="{00000000-0005-0000-0000-000046080000}"/>
    <cellStyle name="_New_Sofi_sofi - plan_AP270202iii_~5055318" xfId="2168" xr:uid="{00000000-0005-0000-0000-000047080000}"/>
    <cellStyle name="_New_Sofi_sofi - plan_AP270202iii_DCF030925_vat" xfId="2169" xr:uid="{00000000-0005-0000-0000-000048080000}"/>
    <cellStyle name="_New_Sofi_sofi - plan_AP270202iii_DCF030925_vat_" xfId="2170" xr:uid="{00000000-0005-0000-0000-000049080000}"/>
    <cellStyle name="_New_Sofi_sofi - plan_AP270202iii_DCFonly" xfId="2171" xr:uid="{00000000-0005-0000-0000-00004A080000}"/>
    <cellStyle name="_New_Sofi_sofi - plan_AP270202iv" xfId="2172" xr:uid="{00000000-0005-0000-0000-00004B080000}"/>
    <cellStyle name="_New_Sofi_sofi - plan_AP270202iv_~5055318" xfId="2173" xr:uid="{00000000-0005-0000-0000-00004C080000}"/>
    <cellStyle name="_New_Sofi_sofi - plan_AP270202iv_DCF030925_vat" xfId="2174" xr:uid="{00000000-0005-0000-0000-00004D080000}"/>
    <cellStyle name="_New_Sofi_sofi - plan_AP270202iv_DCF030925_vat_" xfId="2175" xr:uid="{00000000-0005-0000-0000-00004E080000}"/>
    <cellStyle name="_New_Sofi_sofi - plan_AP270202iv_DCFonly" xfId="2176" xr:uid="{00000000-0005-0000-0000-00004F080000}"/>
    <cellStyle name="_New_Sofi_Sofi vs Sobi" xfId="2177" xr:uid="{00000000-0005-0000-0000-000050080000}"/>
    <cellStyle name="_New_Sofi_Sofi vs Sobi_~5055318" xfId="2178" xr:uid="{00000000-0005-0000-0000-000051080000}"/>
    <cellStyle name="_New_Sofi_Sofi vs Sobi_DCF030925_vat" xfId="2179" xr:uid="{00000000-0005-0000-0000-000052080000}"/>
    <cellStyle name="_New_Sofi_Sofi vs Sobi_DCF030925_vat_" xfId="2180" xr:uid="{00000000-0005-0000-0000-000053080000}"/>
    <cellStyle name="_New_Sofi_Sofi vs Sobi_DCFonly" xfId="2181" xr:uid="{00000000-0005-0000-0000-000054080000}"/>
    <cellStyle name="_New_Sofi_SOFI_~5055318" xfId="2182" xr:uid="{00000000-0005-0000-0000-000055080000}"/>
    <cellStyle name="_New_Sofi_Sofi_PBD 27-11-01" xfId="2183" xr:uid="{00000000-0005-0000-0000-000056080000}"/>
    <cellStyle name="_New_Sofi_Sofi_PBD 27-11-01_~5055318" xfId="2184" xr:uid="{00000000-0005-0000-0000-000057080000}"/>
    <cellStyle name="_New_Sofi_Sofi_PBD 27-11-01_DCF030925_vat" xfId="2185" xr:uid="{00000000-0005-0000-0000-000058080000}"/>
    <cellStyle name="_New_Sofi_Sofi_PBD 27-11-01_DCF030925_vat_" xfId="2186" xr:uid="{00000000-0005-0000-0000-000059080000}"/>
    <cellStyle name="_New_Sofi_Sofi_PBD 27-11-01_DCFonly" xfId="2187" xr:uid="{00000000-0005-0000-0000-00005A080000}"/>
    <cellStyle name="_New_Sofi_SOFI_TEPs_AOK_130902" xfId="2188" xr:uid="{00000000-0005-0000-0000-00005B080000}"/>
    <cellStyle name="_New_Sofi_SOFI_TEPs_AOK_130902_040822 Profit_Tax_(portal)" xfId="2189" xr:uid="{00000000-0005-0000-0000-00005C080000}"/>
    <cellStyle name="_New_Sofi_SOFI_TEPs_AOK_130902_040928 Profit_Tax_3Ax1Ax4" xfId="2190" xr:uid="{00000000-0005-0000-0000-00005D080000}"/>
    <cellStyle name="_New_Sofi_SOFI_TEPs_AOK_130902_Tax Input 5yr plan" xfId="2191" xr:uid="{00000000-0005-0000-0000-00005E080000}"/>
    <cellStyle name="_New_Sofi_SOFI_TEPs_AOK_130902_Книга2" xfId="2192" xr:uid="{00000000-0005-0000-0000-00005F080000}"/>
    <cellStyle name="_New_Sofi_SOFI_TEPs_AOK_130902_Налог_на_прибыль" xfId="2193" xr:uid="{00000000-0005-0000-0000-000060080000}"/>
    <cellStyle name="_New_Sofi_Sofi145a" xfId="2194" xr:uid="{00000000-0005-0000-0000-000061080000}"/>
    <cellStyle name="_New_Sofi_Sofi145a_~5055318" xfId="2195" xr:uid="{00000000-0005-0000-0000-000062080000}"/>
    <cellStyle name="_New_Sofi_Sofi145a_DCF030925_vat" xfId="2196" xr:uid="{00000000-0005-0000-0000-000063080000}"/>
    <cellStyle name="_New_Sofi_Sofi145a_DCF030925_vat_" xfId="2197" xr:uid="{00000000-0005-0000-0000-000064080000}"/>
    <cellStyle name="_New_Sofi_Sofi145a_DCFonly" xfId="2198" xr:uid="{00000000-0005-0000-0000-000065080000}"/>
    <cellStyle name="_New_Sofi_Sofi153" xfId="2199" xr:uid="{00000000-0005-0000-0000-000066080000}"/>
    <cellStyle name="_New_Sofi_Sofi153_~5055318" xfId="2200" xr:uid="{00000000-0005-0000-0000-000067080000}"/>
    <cellStyle name="_New_Sofi_Sofi153_DCF030925_vat" xfId="2201" xr:uid="{00000000-0005-0000-0000-000068080000}"/>
    <cellStyle name="_New_Sofi_Sofi153_DCF030925_vat_" xfId="2202" xr:uid="{00000000-0005-0000-0000-000069080000}"/>
    <cellStyle name="_New_Sofi_Sofi153_DCFonly" xfId="2203" xr:uid="{00000000-0005-0000-0000-00006A080000}"/>
    <cellStyle name="_New_Sofi_Summary" xfId="2204" xr:uid="{00000000-0005-0000-0000-00006B080000}"/>
    <cellStyle name="_New_Sofi_Summary_~5055318" xfId="2205" xr:uid="{00000000-0005-0000-0000-00006C080000}"/>
    <cellStyle name="_New_Sofi_Summary_DCF030925_vat" xfId="2206" xr:uid="{00000000-0005-0000-0000-00006D080000}"/>
    <cellStyle name="_New_Sofi_Summary_DCF030925_vat_" xfId="2207" xr:uid="{00000000-0005-0000-0000-00006E080000}"/>
    <cellStyle name="_New_Sofi_Summary_DCFonly" xfId="2208" xr:uid="{00000000-0005-0000-0000-00006F080000}"/>
    <cellStyle name="_New_Sofi_SXXXX_Express_c Links" xfId="2209" xr:uid="{00000000-0005-0000-0000-000070080000}"/>
    <cellStyle name="_New_Sofi_SXXXX_Express_c Links_040822 Profit_Tax_(portal)" xfId="2210" xr:uid="{00000000-0005-0000-0000-000071080000}"/>
    <cellStyle name="_New_Sofi_SXXXX_Express_c Links_040928 Profit_Tax_3Ax1Ax4" xfId="2211" xr:uid="{00000000-0005-0000-0000-000072080000}"/>
    <cellStyle name="_New_Sofi_SXXXX_Express_c Links_Tax Input 5yr plan" xfId="2212" xr:uid="{00000000-0005-0000-0000-000073080000}"/>
    <cellStyle name="_New_Sofi_SXXXX_Express_c Links_Книга2" xfId="2213" xr:uid="{00000000-0005-0000-0000-000074080000}"/>
    <cellStyle name="_New_Sofi_SXXXX_Express_c Links_Налог_на_прибыль" xfId="2214" xr:uid="{00000000-0005-0000-0000-000075080000}"/>
    <cellStyle name="_New_Sofi_Tax_form_1кв_3" xfId="2215" xr:uid="{00000000-0005-0000-0000-000076080000}"/>
    <cellStyle name="_New_Sofi_Tax_form_1кв_3_~5055318" xfId="2216" xr:uid="{00000000-0005-0000-0000-000077080000}"/>
    <cellStyle name="_New_Sofi_Tax_form_1кв_3_DCF030925_vat" xfId="2217" xr:uid="{00000000-0005-0000-0000-000078080000}"/>
    <cellStyle name="_New_Sofi_Tax_form_1кв_3_DCF030925_vat_" xfId="2218" xr:uid="{00000000-0005-0000-0000-000079080000}"/>
    <cellStyle name="_New_Sofi_Tax_form_1кв_3_DCFonly" xfId="2219" xr:uid="{00000000-0005-0000-0000-00007A080000}"/>
    <cellStyle name="_New_Sofi_test_11" xfId="2220" xr:uid="{00000000-0005-0000-0000-00007B080000}"/>
    <cellStyle name="_New_Sofi_test_11_~5055318" xfId="2221" xr:uid="{00000000-0005-0000-0000-00007C080000}"/>
    <cellStyle name="_New_Sofi_test_11_DCF030925_vat" xfId="2222" xr:uid="{00000000-0005-0000-0000-00007D080000}"/>
    <cellStyle name="_New_Sofi_test_11_DCF030925_vat_" xfId="2223" xr:uid="{00000000-0005-0000-0000-00007E080000}"/>
    <cellStyle name="_New_Sofi_test_11_DCFonly" xfId="2224" xr:uid="{00000000-0005-0000-0000-00007F080000}"/>
    <cellStyle name="_New_Sofi_БКЭ" xfId="2225" xr:uid="{00000000-0005-0000-0000-000080080000}"/>
    <cellStyle name="_New_Sofi_БКЭ_~5055318" xfId="2226" xr:uid="{00000000-0005-0000-0000-000081080000}"/>
    <cellStyle name="_New_Sofi_БКЭ_DCF030925_vat" xfId="2227" xr:uid="{00000000-0005-0000-0000-000082080000}"/>
    <cellStyle name="_New_Sofi_БКЭ_DCF030925_vat_" xfId="2228" xr:uid="{00000000-0005-0000-0000-000083080000}"/>
    <cellStyle name="_New_Sofi_БКЭ_DCFonly" xfId="2229" xr:uid="{00000000-0005-0000-0000-000084080000}"/>
    <cellStyle name="_New_Sofi_для вставки в пакет за 2001" xfId="2230" xr:uid="{00000000-0005-0000-0000-000085080000}"/>
    <cellStyle name="_New_Sofi_для вставки в пакет за 2001_~5055318" xfId="2231" xr:uid="{00000000-0005-0000-0000-000086080000}"/>
    <cellStyle name="_New_Sofi_для вставки в пакет за 2001_DCF030925_vat" xfId="2232" xr:uid="{00000000-0005-0000-0000-000087080000}"/>
    <cellStyle name="_New_Sofi_для вставки в пакет за 2001_DCF030925_vat_" xfId="2233" xr:uid="{00000000-0005-0000-0000-000088080000}"/>
    <cellStyle name="_New_Sofi_для вставки в пакет за 2001_DCFonly" xfId="2234" xr:uid="{00000000-0005-0000-0000-000089080000}"/>
    <cellStyle name="_New_Sofi_дляГалиныВ" xfId="2235" xr:uid="{00000000-0005-0000-0000-00008A080000}"/>
    <cellStyle name="_New_Sofi_дляГалиныВ_040822 Profit_Tax_(portal)" xfId="2236" xr:uid="{00000000-0005-0000-0000-00008B080000}"/>
    <cellStyle name="_New_Sofi_дляГалиныВ_040928 Profit_Tax_3Ax1Ax4" xfId="2237" xr:uid="{00000000-0005-0000-0000-00008C080000}"/>
    <cellStyle name="_New_Sofi_дляГалиныВ_Tax Input 5yr plan" xfId="2238" xr:uid="{00000000-0005-0000-0000-00008D080000}"/>
    <cellStyle name="_New_Sofi_дляГалиныВ_Книга2" xfId="2239" xr:uid="{00000000-0005-0000-0000-00008E080000}"/>
    <cellStyle name="_New_Sofi_дляГалиныВ_Налог_на_прибыль" xfId="2240" xr:uid="{00000000-0005-0000-0000-00008F080000}"/>
    <cellStyle name="_New_Sofi_Книга7" xfId="2241" xr:uid="{00000000-0005-0000-0000-000090080000}"/>
    <cellStyle name="_New_Sofi_Книга7_~5055318" xfId="2242" xr:uid="{00000000-0005-0000-0000-000091080000}"/>
    <cellStyle name="_New_Sofi_Книга7_DCF030925_vat" xfId="2243" xr:uid="{00000000-0005-0000-0000-000092080000}"/>
    <cellStyle name="_New_Sofi_Книга7_DCF030925_vat_" xfId="2244" xr:uid="{00000000-0005-0000-0000-000093080000}"/>
    <cellStyle name="_New_Sofi_Книга7_DCFonly" xfId="2245" xr:uid="{00000000-0005-0000-0000-000094080000}"/>
    <cellStyle name="_New_Sofi_Лист1" xfId="2246" xr:uid="{00000000-0005-0000-0000-000095080000}"/>
    <cellStyle name="_New_Sofi_Лист1_040822 Profit_Tax_(portal)" xfId="2247" xr:uid="{00000000-0005-0000-0000-000096080000}"/>
    <cellStyle name="_New_Sofi_Лист1_040928 Profit_Tax_3Ax1Ax4" xfId="2248" xr:uid="{00000000-0005-0000-0000-000097080000}"/>
    <cellStyle name="_New_Sofi_Лист1_Tax Input 5yr plan" xfId="2249" xr:uid="{00000000-0005-0000-0000-000098080000}"/>
    <cellStyle name="_New_Sofi_Лист1_Книга2" xfId="2250" xr:uid="{00000000-0005-0000-0000-000099080000}"/>
    <cellStyle name="_New_Sofi_Лист1_Налог_на_прибыль" xfId="2251" xr:uid="{00000000-0005-0000-0000-00009A080000}"/>
    <cellStyle name="_New_Sofi_ОСН. ДЕЯТ." xfId="2252" xr:uid="{00000000-0005-0000-0000-00009B080000}"/>
    <cellStyle name="_New_Sofi_ОСН. ДЕЯТ._~5055318" xfId="2253" xr:uid="{00000000-0005-0000-0000-00009C080000}"/>
    <cellStyle name="_New_Sofi_ОСН. ДЕЯТ._DCF030925_vat" xfId="2254" xr:uid="{00000000-0005-0000-0000-00009D080000}"/>
    <cellStyle name="_New_Sofi_ОСН. ДЕЯТ._DCF030925_vat_" xfId="2255" xr:uid="{00000000-0005-0000-0000-00009E080000}"/>
    <cellStyle name="_New_Sofi_ОСН. ДЕЯТ._DCFonly" xfId="2256" xr:uid="{00000000-0005-0000-0000-00009F080000}"/>
    <cellStyle name="_New_Sofi_Перечень названий форм" xfId="2257" xr:uid="{00000000-0005-0000-0000-0000A0080000}"/>
    <cellStyle name="_New_Sofi_Перечень названий форм_~5055318" xfId="2258" xr:uid="{00000000-0005-0000-0000-0000A1080000}"/>
    <cellStyle name="_New_Sofi_Подразделения" xfId="2259" xr:uid="{00000000-0005-0000-0000-0000A2080000}"/>
    <cellStyle name="_New_Sofi_Подразделения_040822 Profit_Tax_(portal)" xfId="2260" xr:uid="{00000000-0005-0000-0000-0000A3080000}"/>
    <cellStyle name="_New_Sofi_Подразделения_040928 Profit_Tax_3Ax1Ax4" xfId="2261" xr:uid="{00000000-0005-0000-0000-0000A4080000}"/>
    <cellStyle name="_New_Sofi_Подразделения_Tax Input 5yr plan" xfId="2262" xr:uid="{00000000-0005-0000-0000-0000A5080000}"/>
    <cellStyle name="_New_Sofi_Подразделения_Книга2" xfId="2263" xr:uid="{00000000-0005-0000-0000-0000A6080000}"/>
    <cellStyle name="_New_Sofi_Подразделения_Налог_на_прибыль" xfId="2264" xr:uid="{00000000-0005-0000-0000-0000A7080000}"/>
    <cellStyle name="_New_Sofi_Список тиражирования" xfId="2265" xr:uid="{00000000-0005-0000-0000-0000A8080000}"/>
    <cellStyle name="_New_Sofi_Список тиражирования_040822 Profit_Tax_(portal)" xfId="2266" xr:uid="{00000000-0005-0000-0000-0000A9080000}"/>
    <cellStyle name="_New_Sofi_Список тиражирования_040928 Profit_Tax_3Ax1Ax4" xfId="2267" xr:uid="{00000000-0005-0000-0000-0000AA080000}"/>
    <cellStyle name="_New_Sofi_Список тиражирования_Tax Input 5yr plan" xfId="2268" xr:uid="{00000000-0005-0000-0000-0000AB080000}"/>
    <cellStyle name="_New_Sofi_Список тиражирования_Книга2" xfId="2269" xr:uid="{00000000-0005-0000-0000-0000AC080000}"/>
    <cellStyle name="_New_Sofi_Список тиражирования_Налог_на_прибыль" xfId="2270" xr:uid="{00000000-0005-0000-0000-0000AD080000}"/>
    <cellStyle name="_New_Sofi_Форма 12 last" xfId="2271" xr:uid="{00000000-0005-0000-0000-0000AE080000}"/>
    <cellStyle name="_New_Sofi_Форма 12 last_~5055318" xfId="2272" xr:uid="{00000000-0005-0000-0000-0000AF080000}"/>
    <cellStyle name="_New_Sofi_Форма 12 last_DCF030925_vat" xfId="2273" xr:uid="{00000000-0005-0000-0000-0000B0080000}"/>
    <cellStyle name="_New_Sofi_Форма 12 last_DCF030925_vat_" xfId="2274" xr:uid="{00000000-0005-0000-0000-0000B1080000}"/>
    <cellStyle name="_New_Sofi_Форма 12 last_DCFonly" xfId="2275" xr:uid="{00000000-0005-0000-0000-0000B2080000}"/>
    <cellStyle name="_Nf" xfId="2276" xr:uid="{00000000-0005-0000-0000-0000B3080000}"/>
    <cellStyle name="_Ng" xfId="2277" xr:uid="{00000000-0005-0000-0000-0000B4080000}"/>
    <cellStyle name="_Nsi" xfId="2278" xr:uid="{00000000-0005-0000-0000-0000B5080000}"/>
    <cellStyle name="_Nsi_~5055318" xfId="2279" xr:uid="{00000000-0005-0000-0000-0000B6080000}"/>
    <cellStyle name="_Nsi_DCF030925_vat" xfId="2280" xr:uid="{00000000-0005-0000-0000-0000B7080000}"/>
    <cellStyle name="_Nsi_DCF030925_vat_" xfId="2281" xr:uid="{00000000-0005-0000-0000-0000B8080000}"/>
    <cellStyle name="_Nsi_DCFonly" xfId="2282" xr:uid="{00000000-0005-0000-0000-0000B9080000}"/>
    <cellStyle name="_o trade" xfId="2283" xr:uid="{00000000-0005-0000-0000-0000BA080000}"/>
    <cellStyle name="_Oa" xfId="2284" xr:uid="{00000000-0005-0000-0000-0000BB080000}"/>
    <cellStyle name="_Ob" xfId="2285" xr:uid="{00000000-0005-0000-0000-0000BC080000}"/>
    <cellStyle name="_Oc" xfId="2286" xr:uid="{00000000-0005-0000-0000-0000BD080000}"/>
    <cellStyle name="_Oct GFO v27B Mgt Brd Final Printable" xfId="2287" xr:uid="{00000000-0005-0000-0000-0000BE080000}"/>
    <cellStyle name="_October BP" xfId="2288" xr:uid="{00000000-0005-0000-0000-0000BF080000}"/>
    <cellStyle name="_October BP на 5 лет adjustments" xfId="2289" xr:uid="{00000000-0005-0000-0000-0000C0080000}"/>
    <cellStyle name="_OFS" xfId="2290" xr:uid="{00000000-0005-0000-0000-0000C1080000}"/>
    <cellStyle name="_OFS 3d party 23-09-04 " xfId="2291" xr:uid="{00000000-0005-0000-0000-0000C2080000}"/>
    <cellStyle name="_OFS 5 Year Plan_Scenario1" xfId="2292" xr:uid="{00000000-0005-0000-0000-0000C3080000}"/>
    <cellStyle name="_OFS 5 Year Plan_Scenario1_040822 Profit_Tax_(portal)" xfId="2293" xr:uid="{00000000-0005-0000-0000-0000C4080000}"/>
    <cellStyle name="_OFS 5 Year Plan_Scenario1_040822 Profit_Tax_(portal)_debt reconciliation_10 11" xfId="2294" xr:uid="{00000000-0005-0000-0000-0000C5080000}"/>
    <cellStyle name="_OFS 5 Year Plan_Scenario1_040822 Profit_Tax_(portal)_EMTN accruals" xfId="2295" xr:uid="{00000000-0005-0000-0000-0000C6080000}"/>
    <cellStyle name="_OFS 5 Year Plan_Scenario1_040822 Profit_Tax_(portal)_report_LTD" xfId="2296" xr:uid="{00000000-0005-0000-0000-0000C7080000}"/>
    <cellStyle name="_OFS 5 Year Plan_Scenario1_040822 Profit_Tax_(portal)_schedule" xfId="2297" xr:uid="{00000000-0005-0000-0000-0000C8080000}"/>
    <cellStyle name="_OFS 5 Year Plan_Scenario1_040928 Profit_Tax_3Ax1Ax4" xfId="2298" xr:uid="{00000000-0005-0000-0000-0000C9080000}"/>
    <cellStyle name="_OFS 5 Year Plan_Scenario1_040928 Profit_Tax_3Ax1Ax4_debt reconciliation_10 11" xfId="2299" xr:uid="{00000000-0005-0000-0000-0000CA080000}"/>
    <cellStyle name="_OFS 5 Year Plan_Scenario1_040928 Profit_Tax_3Ax1Ax4_EMTN accruals" xfId="2300" xr:uid="{00000000-0005-0000-0000-0000CB080000}"/>
    <cellStyle name="_OFS 5 Year Plan_Scenario1_040928 Profit_Tax_3Ax1Ax4_report_LTD" xfId="2301" xr:uid="{00000000-0005-0000-0000-0000CC080000}"/>
    <cellStyle name="_OFS 5 Year Plan_Scenario1_040928 Profit_Tax_3Ax1Ax4_schedule" xfId="2302" xr:uid="{00000000-0005-0000-0000-0000CD080000}"/>
    <cellStyle name="_OFS 5 Year Plan_Scenario1_Tax Input 5yr plan" xfId="2303" xr:uid="{00000000-0005-0000-0000-0000CE080000}"/>
    <cellStyle name="_OFS 5 Year Plan_Scenario1_Книга2" xfId="2304" xr:uid="{00000000-0005-0000-0000-0000CF080000}"/>
    <cellStyle name="_OFS 5 Year Plan_Scenario1_Налог_на_прибыль" xfId="2305" xr:uid="{00000000-0005-0000-0000-0000D0080000}"/>
    <cellStyle name="_OFS 5 Year Plan_Scenario1_Налог_на_прибыль_debt reconciliation_10 11" xfId="2306" xr:uid="{00000000-0005-0000-0000-0000D1080000}"/>
    <cellStyle name="_OFS 5 Year Plan_Scenario1_Налог_на_прибыль_EMTN accruals" xfId="2307" xr:uid="{00000000-0005-0000-0000-0000D2080000}"/>
    <cellStyle name="_OFS 5 Year Plan_Scenario1_Налог_на_прибыль_report_LTD" xfId="2308" xr:uid="{00000000-0005-0000-0000-0000D3080000}"/>
    <cellStyle name="_OFS 5 Year Plan_Scenario1_Налог_на_прибыль_schedule" xfId="2309" xr:uid="{00000000-0005-0000-0000-0000D4080000}"/>
    <cellStyle name="_OFS_master_file" xfId="2310" xr:uid="{00000000-0005-0000-0000-0000D5080000}"/>
    <cellStyle name="_OFS_master_file_040822 Profit_Tax_(portal)" xfId="2311" xr:uid="{00000000-0005-0000-0000-0000D6080000}"/>
    <cellStyle name="_OFS_master_file_040822 Profit_Tax_(portal)_debt reconciliation_10 11" xfId="2312" xr:uid="{00000000-0005-0000-0000-0000D7080000}"/>
    <cellStyle name="_OFS_master_file_040822 Profit_Tax_(portal)_EMTN accruals" xfId="2313" xr:uid="{00000000-0005-0000-0000-0000D8080000}"/>
    <cellStyle name="_OFS_master_file_040822 Profit_Tax_(portal)_report_LTD" xfId="2314" xr:uid="{00000000-0005-0000-0000-0000D9080000}"/>
    <cellStyle name="_OFS_master_file_040822 Profit_Tax_(portal)_schedule" xfId="2315" xr:uid="{00000000-0005-0000-0000-0000DA080000}"/>
    <cellStyle name="_OFS_master_file_040928 Profit_Tax_3Ax1Ax4" xfId="2316" xr:uid="{00000000-0005-0000-0000-0000DB080000}"/>
    <cellStyle name="_OFS_master_file_040928 Profit_Tax_3Ax1Ax4_debt reconciliation_10 11" xfId="2317" xr:uid="{00000000-0005-0000-0000-0000DC080000}"/>
    <cellStyle name="_OFS_master_file_040928 Profit_Tax_3Ax1Ax4_EMTN accruals" xfId="2318" xr:uid="{00000000-0005-0000-0000-0000DD080000}"/>
    <cellStyle name="_OFS_master_file_040928 Profit_Tax_3Ax1Ax4_report_LTD" xfId="2319" xr:uid="{00000000-0005-0000-0000-0000DE080000}"/>
    <cellStyle name="_OFS_master_file_040928 Profit_Tax_3Ax1Ax4_schedule" xfId="2320" xr:uid="{00000000-0005-0000-0000-0000DF080000}"/>
    <cellStyle name="_OFS_master_file_Книга2" xfId="2321" xr:uid="{00000000-0005-0000-0000-0000E0080000}"/>
    <cellStyle name="_OFS_master_file_Налог_на_прибыль" xfId="2322" xr:uid="{00000000-0005-0000-0000-0000E1080000}"/>
    <cellStyle name="_OFS_master_file_Налог_на_прибыль_debt reconciliation_10 11" xfId="2323" xr:uid="{00000000-0005-0000-0000-0000E2080000}"/>
    <cellStyle name="_OFS_master_file_Налог_на_прибыль_EMTN accruals" xfId="2324" xr:uid="{00000000-0005-0000-0000-0000E3080000}"/>
    <cellStyle name="_OFS_master_file_Налог_на_прибыль_report_LTD" xfId="2325" xr:uid="{00000000-0005-0000-0000-0000E4080000}"/>
    <cellStyle name="_OFS_master_file_Налог_на_прибыль_schedule" xfId="2326" xr:uid="{00000000-0005-0000-0000-0000E5080000}"/>
    <cellStyle name="_OFS_new template" xfId="2327" xr:uid="{00000000-0005-0000-0000-0000E6080000}"/>
    <cellStyle name="_OFSSummaryReport_KPIs_02" xfId="2328" xr:uid="{00000000-0005-0000-0000-0000E7080000}"/>
    <cellStyle name="_OFSSummaryReport_Margin_02" xfId="2329" xr:uid="{00000000-0005-0000-0000-0000E8080000}"/>
    <cellStyle name="_Oneta 052200 v1" xfId="2330" xr:uid="{00000000-0005-0000-0000-0000E9080000}"/>
    <cellStyle name="_Oneta 052200 v1_Copy of CNL Consolidated model_v.FPL_v37" xfId="2331" xr:uid="{00000000-0005-0000-0000-0000EA080000}"/>
    <cellStyle name="_Oneta 052200 v1_Copy of CNL Consolidated model_v.FPL_v37_Exelon Power Fuel Forecast - Project P 6-11-2004 ver21" xfId="2332" xr:uid="{00000000-0005-0000-0000-0000EB080000}"/>
    <cellStyle name="_Oneta 052200 v1_Copy of CNL Consolidated model_v.FPL_v37_ML Outputs" xfId="2333" xr:uid="{00000000-0005-0000-0000-0000EC080000}"/>
    <cellStyle name="_Oneta 052200 v1_Copy of CNL Consolidated model_v.FPL_v37_Project Forest Pro Forma Model v58" xfId="2334" xr:uid="{00000000-0005-0000-0000-0000ED080000}"/>
    <cellStyle name="_Oneta 052200 v1_D_Consolidated2" xfId="2335" xr:uid="{00000000-0005-0000-0000-0000EE080000}"/>
    <cellStyle name="_Oneta 052200 v1_Model v9.8" xfId="2336" xr:uid="{00000000-0005-0000-0000-0000EF080000}"/>
    <cellStyle name="_Oneta 052200 v1_Mutilples Template2" xfId="2337" xr:uid="{00000000-0005-0000-0000-0000F0080000}"/>
    <cellStyle name="_Oneta 052200 v1_Mutilples Template2_Exelon Power Fuel Forecast - Project P 6-11-2004 ver21" xfId="2338" xr:uid="{00000000-0005-0000-0000-0000F1080000}"/>
    <cellStyle name="_Oneta 052200 v1_Mutilples Template2_ML Outputs" xfId="2339" xr:uid="{00000000-0005-0000-0000-0000F2080000}"/>
    <cellStyle name="_Oneta 052200 v1_Mutilples Template2_Project Forest Pro Forma Model v58" xfId="2340" xr:uid="{00000000-0005-0000-0000-0000F3080000}"/>
    <cellStyle name="_Oneta 052200 v1_pom consolidated v3" xfId="2341" xr:uid="{00000000-0005-0000-0000-0000F4080000}"/>
    <cellStyle name="_Oneta 052200 v1_pom consolidated v3_Exelon Power Fuel Forecast - Project P 6-11-2004 ver21" xfId="2342" xr:uid="{00000000-0005-0000-0000-0000F5080000}"/>
    <cellStyle name="_Oneta 052200 v1_pom consolidated v3_ML Outputs" xfId="2343" xr:uid="{00000000-0005-0000-0000-0000F6080000}"/>
    <cellStyle name="_Oneta 052200 v1_pom consolidated v3_Project Forest Pro Forma Model v58" xfId="2344" xr:uid="{00000000-0005-0000-0000-0000F7080000}"/>
    <cellStyle name="_Oneta 061300" xfId="2345" xr:uid="{00000000-0005-0000-0000-0000F8080000}"/>
    <cellStyle name="_Oneta 061300_Copy of CNL Consolidated model_v.FPL_v37" xfId="2346" xr:uid="{00000000-0005-0000-0000-0000F9080000}"/>
    <cellStyle name="_Oneta 061300_Copy of CNL Consolidated model_v.FPL_v37_Exelon Power Fuel Forecast - Project P 6-11-2004 ver21" xfId="2347" xr:uid="{00000000-0005-0000-0000-0000FA080000}"/>
    <cellStyle name="_Oneta 061300_Copy of CNL Consolidated model_v.FPL_v37_ML Outputs" xfId="2348" xr:uid="{00000000-0005-0000-0000-0000FB080000}"/>
    <cellStyle name="_Oneta 061300_Copy of CNL Consolidated model_v.FPL_v37_Project Forest Pro Forma Model v58" xfId="2349" xr:uid="{00000000-0005-0000-0000-0000FC080000}"/>
    <cellStyle name="_Oneta 061300_D_Consolidated2" xfId="2350" xr:uid="{00000000-0005-0000-0000-0000FD080000}"/>
    <cellStyle name="_Oneta 061300_Model v9.8" xfId="2351" xr:uid="{00000000-0005-0000-0000-0000FE080000}"/>
    <cellStyle name="_Oneta 061300_Mutilples Template2" xfId="2352" xr:uid="{00000000-0005-0000-0000-0000FF080000}"/>
    <cellStyle name="_Oneta 061300_Mutilples Template2_Exelon Power Fuel Forecast - Project P 6-11-2004 ver21" xfId="2353" xr:uid="{00000000-0005-0000-0000-000000090000}"/>
    <cellStyle name="_Oneta 061300_Mutilples Template2_ML Outputs" xfId="2354" xr:uid="{00000000-0005-0000-0000-000001090000}"/>
    <cellStyle name="_Oneta 061300_Mutilples Template2_Project Forest Pro Forma Model v58" xfId="2355" xr:uid="{00000000-0005-0000-0000-000002090000}"/>
    <cellStyle name="_Oneta 061300_pom consolidated v3" xfId="2356" xr:uid="{00000000-0005-0000-0000-000003090000}"/>
    <cellStyle name="_Oneta 061300_pom consolidated v3_Exelon Power Fuel Forecast - Project P 6-11-2004 ver21" xfId="2357" xr:uid="{00000000-0005-0000-0000-000004090000}"/>
    <cellStyle name="_Oneta 061300_pom consolidated v3_ML Outputs" xfId="2358" xr:uid="{00000000-0005-0000-0000-000005090000}"/>
    <cellStyle name="_Oneta 061300_pom consolidated v3_Project Forest Pro Forma Model v58" xfId="2359" xr:uid="{00000000-0005-0000-0000-000006090000}"/>
    <cellStyle name="_Operations GM (E1)" xfId="2360" xr:uid="{00000000-0005-0000-0000-000007090000}"/>
    <cellStyle name="_Ops Division Action Log 291209" xfId="2361" xr:uid="{00000000-0005-0000-0000-000008090000}"/>
    <cellStyle name="_Options_02.02.2004" xfId="2362" xr:uid="{00000000-0005-0000-0000-000009090000}"/>
    <cellStyle name="_Orange Book 1 Page for Division and SPU_Jul08" xfId="2363" xr:uid="{00000000-0005-0000-0000-00000A090000}"/>
    <cellStyle name="_Orange Book 1 Page for Division and Unit_Jul08" xfId="2364" xr:uid="{00000000-0005-0000-0000-00000B090000}"/>
    <cellStyle name="_Orange Book 1 Page for Division and Unit_Jul08 (4)" xfId="2365" xr:uid="{00000000-0005-0000-0000-00000C090000}"/>
    <cellStyle name="_Orange BOOK_Jun08" xfId="2366" xr:uid="{00000000-0005-0000-0000-00000D090000}"/>
    <cellStyle name="_Orenburg-Saratov_BU___South_PU___Orenburgneft_2005_PLAN_(Var_1)" xfId="2367" xr:uid="{00000000-0005-0000-0000-00000E090000}"/>
    <cellStyle name="_Pa" xfId="2368" xr:uid="{00000000-0005-0000-0000-00000F090000}"/>
    <cellStyle name="_page q 2" xfId="2369" xr:uid="{00000000-0005-0000-0000-000010090000}"/>
    <cellStyle name="_pageO" xfId="2370" xr:uid="{00000000-0005-0000-0000-000011090000}"/>
    <cellStyle name="_Pasta1" xfId="2371" xr:uid="{00000000-0005-0000-0000-000012090000}"/>
    <cellStyle name="_PB 031129 RAP Costs vB" xfId="2372" xr:uid="{00000000-0005-0000-0000-000013090000}"/>
    <cellStyle name="_Percent" xfId="2373" xr:uid="{00000000-0005-0000-0000-000014090000}"/>
    <cellStyle name="_Percent_Analysis of Generali Offer" xfId="2374" xr:uid="{00000000-0005-0000-0000-000015090000}"/>
    <cellStyle name="_Percent_Share Prices" xfId="2375" xr:uid="{00000000-0005-0000-0000-000016090000}"/>
    <cellStyle name="_Percent_valuation" xfId="2376" xr:uid="{00000000-0005-0000-0000-000017090000}"/>
    <cellStyle name="_Percent_Valuation_1" xfId="2377" xr:uid="{00000000-0005-0000-0000-000018090000}"/>
    <cellStyle name="_PercentSpace" xfId="2378" xr:uid="{00000000-0005-0000-0000-000019090000}"/>
    <cellStyle name="_PercentSpace_Analysis of Generali Offer" xfId="2379" xr:uid="{00000000-0005-0000-0000-00001A090000}"/>
    <cellStyle name="_PercentSpace_Share Prices" xfId="2380" xr:uid="{00000000-0005-0000-0000-00001B090000}"/>
    <cellStyle name="_PercentSpace_valuation" xfId="2381" xr:uid="{00000000-0005-0000-0000-00001C090000}"/>
    <cellStyle name="_PercentSpace_Valuation_1" xfId="2382" xr:uid="{00000000-0005-0000-0000-00001D090000}"/>
    <cellStyle name="_Plan Production vB" xfId="2383" xr:uid="{00000000-0005-0000-0000-00001E090000}"/>
    <cellStyle name="_Plan Production vC" xfId="2384" xr:uid="{00000000-0005-0000-0000-00001F090000}"/>
    <cellStyle name="_pom consolidated v3" xfId="2385" xr:uid="{00000000-0005-0000-0000-000020090000}"/>
    <cellStyle name="_pom consolidated v3_Exelon Power Fuel Forecast - Project P 6-11-2004 ver21" xfId="2386" xr:uid="{00000000-0005-0000-0000-000021090000}"/>
    <cellStyle name="_pom consolidated v3_ML Outputs" xfId="2387" xr:uid="{00000000-0005-0000-0000-000022090000}"/>
    <cellStyle name="_pom consolidated v3_Project Forest Pro Forma Model v58" xfId="2388" xr:uid="{00000000-0005-0000-0000-000023090000}"/>
    <cellStyle name="_PPA Curve Analysis" xfId="2389" xr:uid="{00000000-0005-0000-0000-000024090000}"/>
    <cellStyle name="_PPA Curve Analysis_Copy of CNL Consolidated model_v.FPL_v37" xfId="2390" xr:uid="{00000000-0005-0000-0000-000025090000}"/>
    <cellStyle name="_PPA Curve Analysis_Copy of CNL Consolidated model_v.FPL_v37_Exelon Power Fuel Forecast - Project P 6-11-2004 ver21" xfId="2391" xr:uid="{00000000-0005-0000-0000-000026090000}"/>
    <cellStyle name="_PPA Curve Analysis_Copy of CNL Consolidated model_v.FPL_v37_ML Outputs" xfId="2392" xr:uid="{00000000-0005-0000-0000-000027090000}"/>
    <cellStyle name="_PPA Curve Analysis_Copy of CNL Consolidated model_v.FPL_v37_Project Forest Pro Forma Model v58" xfId="2393" xr:uid="{00000000-0005-0000-0000-000028090000}"/>
    <cellStyle name="_PPA Curve Analysis_D_Consolidated2" xfId="2394" xr:uid="{00000000-0005-0000-0000-000029090000}"/>
    <cellStyle name="_PPA Curve Analysis_Model v9.8" xfId="2395" xr:uid="{00000000-0005-0000-0000-00002A090000}"/>
    <cellStyle name="_PPA Curve Analysis_Mutilples Template2" xfId="2396" xr:uid="{00000000-0005-0000-0000-00002B090000}"/>
    <cellStyle name="_PPA Curve Analysis_Mutilples Template2_Exelon Power Fuel Forecast - Project P 6-11-2004 ver21" xfId="2397" xr:uid="{00000000-0005-0000-0000-00002C090000}"/>
    <cellStyle name="_PPA Curve Analysis_Mutilples Template2_ML Outputs" xfId="2398" xr:uid="{00000000-0005-0000-0000-00002D090000}"/>
    <cellStyle name="_PPA Curve Analysis_Mutilples Template2_Project Forest Pro Forma Model v58" xfId="2399" xr:uid="{00000000-0005-0000-0000-00002E090000}"/>
    <cellStyle name="_PPA Curve Analysis_pom consolidated v3" xfId="2400" xr:uid="{00000000-0005-0000-0000-00002F090000}"/>
    <cellStyle name="_PPA Curve Analysis_pom consolidated v3_Exelon Power Fuel Forecast - Project P 6-11-2004 ver21" xfId="2401" xr:uid="{00000000-0005-0000-0000-000030090000}"/>
    <cellStyle name="_PPA Curve Analysis_pom consolidated v3_ML Outputs" xfId="2402" xr:uid="{00000000-0005-0000-0000-000031090000}"/>
    <cellStyle name="_PPA Curve Analysis_pom consolidated v3_Project Forest Pro Forma Model v58" xfId="2403" xr:uid="{00000000-0005-0000-0000-000032090000}"/>
    <cellStyle name="_Preliminary CFO 3Q earnings from Baturkin" xfId="2404" xr:uid="{00000000-0005-0000-0000-000033090000}"/>
    <cellStyle name="_Preliminary CFO 3Q earnings from Baturkin_~5055318" xfId="2405" xr:uid="{00000000-0005-0000-0000-000034090000}"/>
    <cellStyle name="_Pre-Read Book" xfId="2406" xr:uid="{00000000-0005-0000-0000-000035090000}"/>
    <cellStyle name="_Project Forest Pro Forma Model v58" xfId="2407" xr:uid="{00000000-0005-0000-0000-000036090000}"/>
    <cellStyle name="_Project Model Form Links" xfId="2408" xr:uid="{00000000-0005-0000-0000-000037090000}"/>
    <cellStyle name="_Project Model Form Links_Copy of CNL Consolidated model_v.FPL_v37" xfId="2409" xr:uid="{00000000-0005-0000-0000-000038090000}"/>
    <cellStyle name="_Project Model Form Links_Copy of CNL Consolidated model_v.FPL_v37_Exelon Power Fuel Forecast - Project P 6-11-2004 ver21" xfId="2410" xr:uid="{00000000-0005-0000-0000-000039090000}"/>
    <cellStyle name="_Project Model Form Links_Copy of CNL Consolidated model_v.FPL_v37_ML Outputs" xfId="2411" xr:uid="{00000000-0005-0000-0000-00003A090000}"/>
    <cellStyle name="_Project Model Form Links_Copy of CNL Consolidated model_v.FPL_v37_Project Forest Pro Forma Model v58" xfId="2412" xr:uid="{00000000-0005-0000-0000-00003B090000}"/>
    <cellStyle name="_Project Model Form Links_D_Consolidated2" xfId="2413" xr:uid="{00000000-0005-0000-0000-00003C090000}"/>
    <cellStyle name="_Project Model Form Links_Model v9.8" xfId="2414" xr:uid="{00000000-0005-0000-0000-00003D090000}"/>
    <cellStyle name="_Project Model Form Links_Mutilples Template2" xfId="2415" xr:uid="{00000000-0005-0000-0000-00003E090000}"/>
    <cellStyle name="_Project Model Form Links_Mutilples Template2_Exelon Power Fuel Forecast - Project P 6-11-2004 ver21" xfId="2416" xr:uid="{00000000-0005-0000-0000-00003F090000}"/>
    <cellStyle name="_Project Model Form Links_Mutilples Template2_ML Outputs" xfId="2417" xr:uid="{00000000-0005-0000-0000-000040090000}"/>
    <cellStyle name="_Project Model Form Links_Mutilples Template2_Project Forest Pro Forma Model v58" xfId="2418" xr:uid="{00000000-0005-0000-0000-000041090000}"/>
    <cellStyle name="_Project Model Form Links_pom consolidated v3" xfId="2419" xr:uid="{00000000-0005-0000-0000-000042090000}"/>
    <cellStyle name="_Project Model Form Links_pom consolidated v3_Exelon Power Fuel Forecast - Project P 6-11-2004 ver21" xfId="2420" xr:uid="{00000000-0005-0000-0000-000043090000}"/>
    <cellStyle name="_Project Model Form Links_pom consolidated v3_ML Outputs" xfId="2421" xr:uid="{00000000-0005-0000-0000-000044090000}"/>
    <cellStyle name="_Project Model Form Links_pom consolidated v3_Project Forest Pro Forma Model v58" xfId="2422" xr:uid="{00000000-0005-0000-0000-000045090000}"/>
    <cellStyle name="_Projects  TARs August PreQPR" xfId="2423" xr:uid="{00000000-0005-0000-0000-000046090000}"/>
    <cellStyle name="_Prp5_ Bond_Prices" xfId="2424" xr:uid="{00000000-0005-0000-0000-000047090000}"/>
    <cellStyle name="_PSEG Consolidated Model ver 23" xfId="2425" xr:uid="{00000000-0005-0000-0000-000048090000}"/>
    <cellStyle name="_Qa" xfId="2426" xr:uid="{00000000-0005-0000-0000-000049090000}"/>
    <cellStyle name="_Qb" xfId="2427" xr:uid="{00000000-0005-0000-0000-00004A090000}"/>
    <cellStyle name="_Rating Agency Analysis v2" xfId="2428" xr:uid="{00000000-0005-0000-0000-00004B090000}"/>
    <cellStyle name="_Rating Agency Analysis v2_Copy of CNL Consolidated model_v.FPL_v37" xfId="2429" xr:uid="{00000000-0005-0000-0000-00004C090000}"/>
    <cellStyle name="_Rating Agency Analysis v2_Copy of CNL Consolidated model_v.FPL_v37_Exelon Power Fuel Forecast - Project P 6-11-2004 ver21" xfId="2430" xr:uid="{00000000-0005-0000-0000-00004D090000}"/>
    <cellStyle name="_Rating Agency Analysis v2_Copy of CNL Consolidated model_v.FPL_v37_ML Outputs" xfId="2431" xr:uid="{00000000-0005-0000-0000-00004E090000}"/>
    <cellStyle name="_Rating Agency Analysis v2_Copy of CNL Consolidated model_v.FPL_v37_Project Forest Pro Forma Model v58" xfId="2432" xr:uid="{00000000-0005-0000-0000-00004F090000}"/>
    <cellStyle name="_Rating Agency Analysis v2_D_Consolidated2" xfId="2433" xr:uid="{00000000-0005-0000-0000-000050090000}"/>
    <cellStyle name="_Rating Agency Analysis v2_Model v9.8" xfId="2434" xr:uid="{00000000-0005-0000-0000-000051090000}"/>
    <cellStyle name="_Rating Agency Analysis v2_Mutilples Template2" xfId="2435" xr:uid="{00000000-0005-0000-0000-000052090000}"/>
    <cellStyle name="_Rating Agency Analysis v2_Mutilples Template2_Exelon Power Fuel Forecast - Project P 6-11-2004 ver21" xfId="2436" xr:uid="{00000000-0005-0000-0000-000053090000}"/>
    <cellStyle name="_Rating Agency Analysis v2_Mutilples Template2_ML Outputs" xfId="2437" xr:uid="{00000000-0005-0000-0000-000054090000}"/>
    <cellStyle name="_Rating Agency Analysis v2_Mutilples Template2_Project Forest Pro Forma Model v58" xfId="2438" xr:uid="{00000000-0005-0000-0000-000055090000}"/>
    <cellStyle name="_Rating Agency Analysis v2_pom consolidated v3" xfId="2439" xr:uid="{00000000-0005-0000-0000-000056090000}"/>
    <cellStyle name="_Rating Agency Analysis v2_pom consolidated v3_Exelon Power Fuel Forecast - Project P 6-11-2004 ver21" xfId="2440" xr:uid="{00000000-0005-0000-0000-000057090000}"/>
    <cellStyle name="_Rating Agency Analysis v2_pom consolidated v3_ML Outputs" xfId="2441" xr:uid="{00000000-0005-0000-0000-000058090000}"/>
    <cellStyle name="_Rating Agency Analysis v2_pom consolidated v3_Project Forest Pro Forma Model v58" xfId="2442" xr:uid="{00000000-0005-0000-0000-000059090000}"/>
    <cellStyle name="_Raw Data" xfId="2443" xr:uid="{00000000-0005-0000-0000-00005A090000}"/>
    <cellStyle name="_Reuters Strip Curve" xfId="2444" xr:uid="{00000000-0005-0000-0000-00005B090000}"/>
    <cellStyle name="_risk" xfId="2445" xr:uid="{00000000-0005-0000-0000-00005C090000}"/>
    <cellStyle name="_ROCE template" xfId="2446" xr:uid="{00000000-0005-0000-0000-00005D090000}"/>
    <cellStyle name="_Rospan_Kovykta" xfId="2447" xr:uid="{00000000-0005-0000-0000-00005E090000}"/>
    <cellStyle name="_Rospan_Kovykta_Slavneft_Restructuring 11.11.04" xfId="2448" xr:uid="{00000000-0005-0000-0000-00005F090000}"/>
    <cellStyle name="_RUSIA" xfId="2449" xr:uid="{00000000-0005-0000-0000-000060090000}"/>
    <cellStyle name="_S&amp;T Sheet" xfId="2450" xr:uid="{00000000-0005-0000-0000-000061090000}"/>
    <cellStyle name="_S0110" xfId="2451" xr:uid="{00000000-0005-0000-0000-000062090000}"/>
    <cellStyle name="_S0110_040822 Profit_Tax_(portal)" xfId="2452" xr:uid="{00000000-0005-0000-0000-000063090000}"/>
    <cellStyle name="_S0110_040928 Profit_Tax_3Ax1Ax4" xfId="2453" xr:uid="{00000000-0005-0000-0000-000064090000}"/>
    <cellStyle name="_S0110_Tax Input 5yr plan" xfId="2454" xr:uid="{00000000-0005-0000-0000-000065090000}"/>
    <cellStyle name="_S0110_Книга2" xfId="2455" xr:uid="{00000000-0005-0000-0000-000066090000}"/>
    <cellStyle name="_S0110_Налог_на_прибыль" xfId="2456" xr:uid="{00000000-0005-0000-0000-000067090000}"/>
    <cellStyle name="_S0279" xfId="2457" xr:uid="{00000000-0005-0000-0000-000068090000}"/>
    <cellStyle name="_S0279_~5055318" xfId="2458" xr:uid="{00000000-0005-0000-0000-000069090000}"/>
    <cellStyle name="_S0279_DCF030925_vat" xfId="2459" xr:uid="{00000000-0005-0000-0000-00006A090000}"/>
    <cellStyle name="_S0279_DCF030925_vat_" xfId="2460" xr:uid="{00000000-0005-0000-0000-00006B090000}"/>
    <cellStyle name="_S0279_DCFonly" xfId="2461" xr:uid="{00000000-0005-0000-0000-00006C090000}"/>
    <cellStyle name="_S0513" xfId="2462" xr:uid="{00000000-0005-0000-0000-00006D090000}"/>
    <cellStyle name="_S0513_040822 Profit_Tax_(portal)" xfId="2463" xr:uid="{00000000-0005-0000-0000-00006E090000}"/>
    <cellStyle name="_S0513_040928 Profit_Tax_3Ax1Ax4" xfId="2464" xr:uid="{00000000-0005-0000-0000-00006F090000}"/>
    <cellStyle name="_S0513_Tax Input 5yr plan" xfId="2465" xr:uid="{00000000-0005-0000-0000-000070090000}"/>
    <cellStyle name="_S0513_Книга2" xfId="2466" xr:uid="{00000000-0005-0000-0000-000071090000}"/>
    <cellStyle name="_S0513_Налог_на_прибыль" xfId="2467" xr:uid="{00000000-0005-0000-0000-000072090000}"/>
    <cellStyle name="_S11401+++" xfId="2468" xr:uid="{00000000-0005-0000-0000-000073090000}"/>
    <cellStyle name="_S11401+++_040822 Profit_Tax_(portal)" xfId="2469" xr:uid="{00000000-0005-0000-0000-000074090000}"/>
    <cellStyle name="_S11401+++_040928 Profit_Tax_3Ax1Ax4" xfId="2470" xr:uid="{00000000-0005-0000-0000-000075090000}"/>
    <cellStyle name="_S11401+++_Tax Input 5yr plan" xfId="2471" xr:uid="{00000000-0005-0000-0000-000076090000}"/>
    <cellStyle name="_S11401+++_Книга2" xfId="2472" xr:uid="{00000000-0005-0000-0000-000077090000}"/>
    <cellStyle name="_S11401+++_Налог_на_прибыль" xfId="2473" xr:uid="{00000000-0005-0000-0000-000078090000}"/>
    <cellStyle name="_sales channels" xfId="2474" xr:uid="{00000000-0005-0000-0000-000079090000}"/>
    <cellStyle name="_Sensitivities for RA" xfId="2475" xr:uid="{00000000-0005-0000-0000-00007A090000}"/>
    <cellStyle name="_Sheet1" xfId="2476" xr:uid="{00000000-0005-0000-0000-00007B090000}"/>
    <cellStyle name="_Sidanco Services - Monthly Reporting v7.07.2003" xfId="2477" xr:uid="{00000000-0005-0000-0000-00007C090000}"/>
    <cellStyle name="_Sidanco Services - Monthly Reporting v7.07.2003_~5055318" xfId="2478" xr:uid="{00000000-0005-0000-0000-00007D090000}"/>
    <cellStyle name="_SMC" xfId="2479" xr:uid="{00000000-0005-0000-0000-00007E090000}"/>
    <cellStyle name="_SMC_~5055318" xfId="2480" xr:uid="{00000000-0005-0000-0000-00007F090000}"/>
    <cellStyle name="_SMC_DCF030925_vat" xfId="2481" xr:uid="{00000000-0005-0000-0000-000080090000}"/>
    <cellStyle name="_SMC_DCF030925_vat_" xfId="2482" xr:uid="{00000000-0005-0000-0000-000081090000}"/>
    <cellStyle name="_SMC_DCFonly" xfId="2483" xr:uid="{00000000-0005-0000-0000-000082090000}"/>
    <cellStyle name="_sobi_020807_blank_ds" xfId="2484" xr:uid="{00000000-0005-0000-0000-000083090000}"/>
    <cellStyle name="_sobi_020807_blank_ds_040822 Profit_Tax_(portal)" xfId="2485" xr:uid="{00000000-0005-0000-0000-000084090000}"/>
    <cellStyle name="_sobi_020807_blank_ds_040928 Profit_Tax_3Ax1Ax4" xfId="2486" xr:uid="{00000000-0005-0000-0000-000085090000}"/>
    <cellStyle name="_sobi_020807_blank_ds_Tax Input 5yr plan" xfId="2487" xr:uid="{00000000-0005-0000-0000-000086090000}"/>
    <cellStyle name="_sobi_020807_blank_ds_Книга2" xfId="2488" xr:uid="{00000000-0005-0000-0000-000087090000}"/>
    <cellStyle name="_sobi_020807_blank_ds_Налог_на_прибыль" xfId="2489" xr:uid="{00000000-0005-0000-0000-000088090000}"/>
    <cellStyle name="_SOBI_all(общий)" xfId="2490" xr:uid="{00000000-0005-0000-0000-000089090000}"/>
    <cellStyle name="_SOBI_all(общий)_040822 Profit_Tax_(portal)" xfId="2491" xr:uid="{00000000-0005-0000-0000-00008A090000}"/>
    <cellStyle name="_SOBI_all(общий)_040928 Profit_Tax_3Ax1Ax4" xfId="2492" xr:uid="{00000000-0005-0000-0000-00008B090000}"/>
    <cellStyle name="_SOBI_all(общий)_Tax Input 5yr plan" xfId="2493" xr:uid="{00000000-0005-0000-0000-00008C090000}"/>
    <cellStyle name="_SOBI_all(общий)_Книга2" xfId="2494" xr:uid="{00000000-0005-0000-0000-00008D090000}"/>
    <cellStyle name="_SOBI_all(общий)_Налог_на_прибыль" xfId="2495" xr:uid="{00000000-0005-0000-0000-00008E090000}"/>
    <cellStyle name="_sobi_rf_020715_blank" xfId="2496" xr:uid="{00000000-0005-0000-0000-00008F090000}"/>
    <cellStyle name="_sobi_rf_020715_blank_~5055318" xfId="2497" xr:uid="{00000000-0005-0000-0000-000090090000}"/>
    <cellStyle name="_sobi_rf_020715_blank_DCF030925_vat" xfId="2498" xr:uid="{00000000-0005-0000-0000-000091090000}"/>
    <cellStyle name="_sobi_rf_020715_blank_DCF030925_vat_" xfId="2499" xr:uid="{00000000-0005-0000-0000-000092090000}"/>
    <cellStyle name="_sobi_rf_020715_blank_DCFonly" xfId="2500" xr:uid="{00000000-0005-0000-0000-000093090000}"/>
    <cellStyle name="_Sofi_file" xfId="2501" xr:uid="{00000000-0005-0000-0000-000094090000}"/>
    <cellStyle name="_SOFI_TEPs_AOK_130902" xfId="2502" xr:uid="{00000000-0005-0000-0000-000095090000}"/>
    <cellStyle name="_SOFI_TEPs_AOK_130902_040822 Profit_Tax_(portal)" xfId="2503" xr:uid="{00000000-0005-0000-0000-000096090000}"/>
    <cellStyle name="_SOFI_TEPs_AOK_130902_040928 Profit_Tax_3Ax1Ax4" xfId="2504" xr:uid="{00000000-0005-0000-0000-000097090000}"/>
    <cellStyle name="_SOFI_TEPs_AOK_130902_Dogovora" xfId="2505" xr:uid="{00000000-0005-0000-0000-000098090000}"/>
    <cellStyle name="_SOFI_TEPs_AOK_130902_S14206_Akt_sverki" xfId="2506" xr:uid="{00000000-0005-0000-0000-000099090000}"/>
    <cellStyle name="_SOFI_TEPs_AOK_130902_S14206_Akt_sverki_S11111_Akt_sverki" xfId="2507" xr:uid="{00000000-0005-0000-0000-00009A090000}"/>
    <cellStyle name="_SOFI_TEPs_AOK_130902_S14206_Akt_sverki_Договора_Express_4m2003_new" xfId="2508" xr:uid="{00000000-0005-0000-0000-00009B090000}"/>
    <cellStyle name="_SOFI_TEPs_AOK_130902_S15202_Akt_sverki" xfId="2509" xr:uid="{00000000-0005-0000-0000-00009C090000}"/>
    <cellStyle name="_SOFI_TEPs_AOK_130902_S15202_Akt_sverki_S11111_Akt_sverki" xfId="2510" xr:uid="{00000000-0005-0000-0000-00009D090000}"/>
    <cellStyle name="_SOFI_TEPs_AOK_130902_S15202_Akt_sverki_Договора_Express_4m2003_new" xfId="2511" xr:uid="{00000000-0005-0000-0000-00009E090000}"/>
    <cellStyle name="_SOFI_TEPs_AOK_130902_Tax Input 5yr plan" xfId="2512" xr:uid="{00000000-0005-0000-0000-00009F090000}"/>
    <cellStyle name="_SOFI_TEPs_AOK_130902_Договора_Express_4m2003_new" xfId="2513" xr:uid="{00000000-0005-0000-0000-0000A0090000}"/>
    <cellStyle name="_SOFI_TEPs_AOK_130902_Книга1" xfId="2514" xr:uid="{00000000-0005-0000-0000-0000A1090000}"/>
    <cellStyle name="_SOFI_TEPs_AOK_130902_Книга2" xfId="2515" xr:uid="{00000000-0005-0000-0000-0000A2090000}"/>
    <cellStyle name="_SOFI_TEPs_AOK_130902_Налог_на_прибыль" xfId="2516" xr:uid="{00000000-0005-0000-0000-0000A3090000}"/>
    <cellStyle name="_SOFI_TEPs_AOK_130902_Общий свод от 20.02.04" xfId="2517" xr:uid="{00000000-0005-0000-0000-0000A4090000}"/>
    <cellStyle name="_SpecialBonds" xfId="2518" xr:uid="{00000000-0005-0000-0000-0000A5090000}"/>
    <cellStyle name="_SPU GM (E1a)" xfId="2519" xr:uid="{00000000-0005-0000-0000-0000A6090000}"/>
    <cellStyle name="_SPU OB Cover" xfId="2520" xr:uid="{00000000-0005-0000-0000-0000A7090000}"/>
    <cellStyle name="_SPUOB_End July08" xfId="2521" xr:uid="{00000000-0005-0000-0000-0000A8090000}"/>
    <cellStyle name="_SubHeading" xfId="2522" xr:uid="{00000000-0005-0000-0000-0000A9090000}"/>
    <cellStyle name="_SubHeading 2" xfId="2523" xr:uid="{00000000-0005-0000-0000-0000AA090000}"/>
    <cellStyle name="_SubHeading_prestemp" xfId="2524" xr:uid="{00000000-0005-0000-0000-0000AB090000}"/>
    <cellStyle name="_Svod" xfId="2525" xr:uid="{00000000-0005-0000-0000-0000AC090000}"/>
    <cellStyle name="_svod_10_11" xfId="2526" xr:uid="{00000000-0005-0000-0000-0000AD090000}"/>
    <cellStyle name="_SYN FX" xfId="2527" xr:uid="{00000000-0005-0000-0000-0000AE090000}"/>
    <cellStyle name="_TabExport" xfId="2528" xr:uid="{00000000-0005-0000-0000-0000AF090000}"/>
    <cellStyle name="_Table" xfId="2529" xr:uid="{00000000-0005-0000-0000-0000B0090000}"/>
    <cellStyle name="_Table 1 vA" xfId="2530" xr:uid="{00000000-0005-0000-0000-0000B1090000}"/>
    <cellStyle name="_Table 2" xfId="2531" xr:uid="{00000000-0005-0000-0000-0000B2090000}"/>
    <cellStyle name="_Table 2 10" xfId="2532" xr:uid="{00000000-0005-0000-0000-0000B3090000}"/>
    <cellStyle name="_Table 2 2" xfId="2533" xr:uid="{00000000-0005-0000-0000-0000B4090000}"/>
    <cellStyle name="_Table 2 3" xfId="2534" xr:uid="{00000000-0005-0000-0000-0000B5090000}"/>
    <cellStyle name="_Table 2 4" xfId="2535" xr:uid="{00000000-0005-0000-0000-0000B6090000}"/>
    <cellStyle name="_Table 2 5" xfId="2536" xr:uid="{00000000-0005-0000-0000-0000B7090000}"/>
    <cellStyle name="_Table 2 6" xfId="2537" xr:uid="{00000000-0005-0000-0000-0000B8090000}"/>
    <cellStyle name="_Table 2 7" xfId="2538" xr:uid="{00000000-0005-0000-0000-0000B9090000}"/>
    <cellStyle name="_Table 2 8" xfId="2539" xr:uid="{00000000-0005-0000-0000-0000BA090000}"/>
    <cellStyle name="_Table 2 9" xfId="2540" xr:uid="{00000000-0005-0000-0000-0000BB090000}"/>
    <cellStyle name="_Table_AVP" xfId="2541" xr:uid="{00000000-0005-0000-0000-0000BC090000}"/>
    <cellStyle name="_Table_AVP 10" xfId="2542" xr:uid="{00000000-0005-0000-0000-0000BD090000}"/>
    <cellStyle name="_Table_AVP 2" xfId="2543" xr:uid="{00000000-0005-0000-0000-0000BE090000}"/>
    <cellStyle name="_Table_AVP 3" xfId="2544" xr:uid="{00000000-0005-0000-0000-0000BF090000}"/>
    <cellStyle name="_Table_AVP 4" xfId="2545" xr:uid="{00000000-0005-0000-0000-0000C0090000}"/>
    <cellStyle name="_Table_AVP 5" xfId="2546" xr:uid="{00000000-0005-0000-0000-0000C1090000}"/>
    <cellStyle name="_Table_AVP 6" xfId="2547" xr:uid="{00000000-0005-0000-0000-0000C2090000}"/>
    <cellStyle name="_Table_AVP 7" xfId="2548" xr:uid="{00000000-0005-0000-0000-0000C3090000}"/>
    <cellStyle name="_Table_AVP 8" xfId="2549" xr:uid="{00000000-0005-0000-0000-0000C4090000}"/>
    <cellStyle name="_Table_AVP 9" xfId="2550" xr:uid="{00000000-0005-0000-0000-0000C5090000}"/>
    <cellStyle name="_Table_Contribution Analysis" xfId="2551" xr:uid="{00000000-0005-0000-0000-0000C6090000}"/>
    <cellStyle name="_Table_Contribution Analysis 10" xfId="2552" xr:uid="{00000000-0005-0000-0000-0000C7090000}"/>
    <cellStyle name="_Table_Contribution Analysis 2" xfId="2553" xr:uid="{00000000-0005-0000-0000-0000C8090000}"/>
    <cellStyle name="_Table_Contribution Analysis 3" xfId="2554" xr:uid="{00000000-0005-0000-0000-0000C9090000}"/>
    <cellStyle name="_Table_Contribution Analysis 4" xfId="2555" xr:uid="{00000000-0005-0000-0000-0000CA090000}"/>
    <cellStyle name="_Table_Contribution Analysis 5" xfId="2556" xr:uid="{00000000-0005-0000-0000-0000CB090000}"/>
    <cellStyle name="_Table_Contribution Analysis 6" xfId="2557" xr:uid="{00000000-0005-0000-0000-0000CC090000}"/>
    <cellStyle name="_Table_Contribution Analysis 7" xfId="2558" xr:uid="{00000000-0005-0000-0000-0000CD090000}"/>
    <cellStyle name="_Table_Contribution Analysis 8" xfId="2559" xr:uid="{00000000-0005-0000-0000-0000CE090000}"/>
    <cellStyle name="_Table_Contribution Analysis 9" xfId="2560" xr:uid="{00000000-0005-0000-0000-0000CF090000}"/>
    <cellStyle name="_Table_Merger Plan 01" xfId="2561" xr:uid="{00000000-0005-0000-0000-0000D0090000}"/>
    <cellStyle name="_Table_Merger Plan 01 10" xfId="2562" xr:uid="{00000000-0005-0000-0000-0000D1090000}"/>
    <cellStyle name="_Table_Merger Plan 01 2" xfId="2563" xr:uid="{00000000-0005-0000-0000-0000D2090000}"/>
    <cellStyle name="_Table_Merger Plan 01 2 2" xfId="2564" xr:uid="{00000000-0005-0000-0000-0000D3090000}"/>
    <cellStyle name="_Table_Merger Plan 01 2 2 2" xfId="2565" xr:uid="{00000000-0005-0000-0000-0000D4090000}"/>
    <cellStyle name="_Table_Merger Plan 01 2 2 2 2" xfId="2566" xr:uid="{00000000-0005-0000-0000-0000D5090000}"/>
    <cellStyle name="_Table_Merger Plan 01 2 2 2 2 2" xfId="2567" xr:uid="{00000000-0005-0000-0000-0000D6090000}"/>
    <cellStyle name="_Table_Merger Plan 01 2 2 2 3" xfId="2568" xr:uid="{00000000-0005-0000-0000-0000D7090000}"/>
    <cellStyle name="_Table_Merger Plan 01 2 2 3" xfId="2569" xr:uid="{00000000-0005-0000-0000-0000D8090000}"/>
    <cellStyle name="_Table_Merger Plan 01 2 2 3 2" xfId="2570" xr:uid="{00000000-0005-0000-0000-0000D9090000}"/>
    <cellStyle name="_Table_Merger Plan 01 2 2 4" xfId="2571" xr:uid="{00000000-0005-0000-0000-0000DA090000}"/>
    <cellStyle name="_Table_Merger Plan 01 2 3" xfId="2572" xr:uid="{00000000-0005-0000-0000-0000DB090000}"/>
    <cellStyle name="_Table_Merger Plan 01 2 3 2" xfId="2573" xr:uid="{00000000-0005-0000-0000-0000DC090000}"/>
    <cellStyle name="_Table_Merger Plan 01 2 3 2 2" xfId="2574" xr:uid="{00000000-0005-0000-0000-0000DD090000}"/>
    <cellStyle name="_Table_Merger Plan 01 2 3 3" xfId="2575" xr:uid="{00000000-0005-0000-0000-0000DE090000}"/>
    <cellStyle name="_Table_Merger Plan 01 2 4" xfId="2576" xr:uid="{00000000-0005-0000-0000-0000DF090000}"/>
    <cellStyle name="_Table_Merger Plan 01 2 4 2" xfId="2577" xr:uid="{00000000-0005-0000-0000-0000E0090000}"/>
    <cellStyle name="_Table_Merger Plan 01 2 5" xfId="2578" xr:uid="{00000000-0005-0000-0000-0000E1090000}"/>
    <cellStyle name="_Table_Merger Plan 01 3" xfId="2579" xr:uid="{00000000-0005-0000-0000-0000E2090000}"/>
    <cellStyle name="_Table_Merger Plan 01 3 2" xfId="2580" xr:uid="{00000000-0005-0000-0000-0000E3090000}"/>
    <cellStyle name="_Table_Merger Plan 01 3 2 2" xfId="2581" xr:uid="{00000000-0005-0000-0000-0000E4090000}"/>
    <cellStyle name="_Table_Merger Plan 01 3 2 2 2" xfId="2582" xr:uid="{00000000-0005-0000-0000-0000E5090000}"/>
    <cellStyle name="_Table_Merger Plan 01 3 2 2 2 2" xfId="2583" xr:uid="{00000000-0005-0000-0000-0000E6090000}"/>
    <cellStyle name="_Table_Merger Plan 01 3 2 2 3" xfId="2584" xr:uid="{00000000-0005-0000-0000-0000E7090000}"/>
    <cellStyle name="_Table_Merger Plan 01 3 2 3" xfId="2585" xr:uid="{00000000-0005-0000-0000-0000E8090000}"/>
    <cellStyle name="_Table_Merger Plan 01 3 2 3 2" xfId="2586" xr:uid="{00000000-0005-0000-0000-0000E9090000}"/>
    <cellStyle name="_Table_Merger Plan 01 3 2 4" xfId="2587" xr:uid="{00000000-0005-0000-0000-0000EA090000}"/>
    <cellStyle name="_Table_Merger Plan 01 3 3" xfId="2588" xr:uid="{00000000-0005-0000-0000-0000EB090000}"/>
    <cellStyle name="_Table_Merger Plan 01 3 3 2" xfId="2589" xr:uid="{00000000-0005-0000-0000-0000EC090000}"/>
    <cellStyle name="_Table_Merger Plan 01 3 3 2 2" xfId="2590" xr:uid="{00000000-0005-0000-0000-0000ED090000}"/>
    <cellStyle name="_Table_Merger Plan 01 3 3 3" xfId="2591" xr:uid="{00000000-0005-0000-0000-0000EE090000}"/>
    <cellStyle name="_Table_Merger Plan 01 3 4" xfId="2592" xr:uid="{00000000-0005-0000-0000-0000EF090000}"/>
    <cellStyle name="_Table_Merger Plan 01 3 4 2" xfId="2593" xr:uid="{00000000-0005-0000-0000-0000F0090000}"/>
    <cellStyle name="_Table_Merger Plan 01 3 5" xfId="2594" xr:uid="{00000000-0005-0000-0000-0000F1090000}"/>
    <cellStyle name="_Table_Merger Plan 01 4" xfId="2595" xr:uid="{00000000-0005-0000-0000-0000F2090000}"/>
    <cellStyle name="_Table_Merger Plan 01 4 2" xfId="2596" xr:uid="{00000000-0005-0000-0000-0000F3090000}"/>
    <cellStyle name="_Table_Merger Plan 01 4 2 2" xfId="2597" xr:uid="{00000000-0005-0000-0000-0000F4090000}"/>
    <cellStyle name="_Table_Merger Plan 01 4 2 2 2" xfId="2598" xr:uid="{00000000-0005-0000-0000-0000F5090000}"/>
    <cellStyle name="_Table_Merger Plan 01 4 2 2 2 2" xfId="2599" xr:uid="{00000000-0005-0000-0000-0000F6090000}"/>
    <cellStyle name="_Table_Merger Plan 01 4 2 2 3" xfId="2600" xr:uid="{00000000-0005-0000-0000-0000F7090000}"/>
    <cellStyle name="_Table_Merger Plan 01 4 2 3" xfId="2601" xr:uid="{00000000-0005-0000-0000-0000F8090000}"/>
    <cellStyle name="_Table_Merger Plan 01 4 2 3 2" xfId="2602" xr:uid="{00000000-0005-0000-0000-0000F9090000}"/>
    <cellStyle name="_Table_Merger Plan 01 4 2 4" xfId="2603" xr:uid="{00000000-0005-0000-0000-0000FA090000}"/>
    <cellStyle name="_Table_Merger Plan 01 4 3" xfId="2604" xr:uid="{00000000-0005-0000-0000-0000FB090000}"/>
    <cellStyle name="_Table_Merger Plan 01 4 3 2" xfId="2605" xr:uid="{00000000-0005-0000-0000-0000FC090000}"/>
    <cellStyle name="_Table_Merger Plan 01 4 3 2 2" xfId="2606" xr:uid="{00000000-0005-0000-0000-0000FD090000}"/>
    <cellStyle name="_Table_Merger Plan 01 4 3 3" xfId="2607" xr:uid="{00000000-0005-0000-0000-0000FE090000}"/>
    <cellStyle name="_Table_Merger Plan 01 4 4" xfId="2608" xr:uid="{00000000-0005-0000-0000-0000FF090000}"/>
    <cellStyle name="_Table_Merger Plan 01 4 4 2" xfId="2609" xr:uid="{00000000-0005-0000-0000-0000000A0000}"/>
    <cellStyle name="_Table_Merger Plan 01 4 5" xfId="2610" xr:uid="{00000000-0005-0000-0000-0000010A0000}"/>
    <cellStyle name="_Table_Merger Plan 01 5" xfId="2611" xr:uid="{00000000-0005-0000-0000-0000020A0000}"/>
    <cellStyle name="_Table_Merger Plan 01 5 2" xfId="2612" xr:uid="{00000000-0005-0000-0000-0000030A0000}"/>
    <cellStyle name="_Table_Merger Plan 01 5 2 2" xfId="2613" xr:uid="{00000000-0005-0000-0000-0000040A0000}"/>
    <cellStyle name="_Table_Merger Plan 01 5 2 2 2" xfId="2614" xr:uid="{00000000-0005-0000-0000-0000050A0000}"/>
    <cellStyle name="_Table_Merger Plan 01 5 2 2 2 2" xfId="2615" xr:uid="{00000000-0005-0000-0000-0000060A0000}"/>
    <cellStyle name="_Table_Merger Plan 01 5 2 2 3" xfId="2616" xr:uid="{00000000-0005-0000-0000-0000070A0000}"/>
    <cellStyle name="_Table_Merger Plan 01 5 2 3" xfId="2617" xr:uid="{00000000-0005-0000-0000-0000080A0000}"/>
    <cellStyle name="_Table_Merger Plan 01 5 2 3 2" xfId="2618" xr:uid="{00000000-0005-0000-0000-0000090A0000}"/>
    <cellStyle name="_Table_Merger Plan 01 5 2 4" xfId="2619" xr:uid="{00000000-0005-0000-0000-00000A0A0000}"/>
    <cellStyle name="_Table_Merger Plan 01 5 3" xfId="2620" xr:uid="{00000000-0005-0000-0000-00000B0A0000}"/>
    <cellStyle name="_Table_Merger Plan 01 5 3 2" xfId="2621" xr:uid="{00000000-0005-0000-0000-00000C0A0000}"/>
    <cellStyle name="_Table_Merger Plan 01 5 3 2 2" xfId="2622" xr:uid="{00000000-0005-0000-0000-00000D0A0000}"/>
    <cellStyle name="_Table_Merger Plan 01 5 3 3" xfId="2623" xr:uid="{00000000-0005-0000-0000-00000E0A0000}"/>
    <cellStyle name="_Table_Merger Plan 01 5 4" xfId="2624" xr:uid="{00000000-0005-0000-0000-00000F0A0000}"/>
    <cellStyle name="_Table_Merger Plan 01 5 4 2" xfId="2625" xr:uid="{00000000-0005-0000-0000-0000100A0000}"/>
    <cellStyle name="_Table_Merger Plan 01 5 5" xfId="2626" xr:uid="{00000000-0005-0000-0000-0000110A0000}"/>
    <cellStyle name="_Table_Merger Plan 01 6" xfId="2627" xr:uid="{00000000-0005-0000-0000-0000120A0000}"/>
    <cellStyle name="_Table_Merger Plan 01 6 2" xfId="2628" xr:uid="{00000000-0005-0000-0000-0000130A0000}"/>
    <cellStyle name="_Table_Merger Plan 01 6 2 2" xfId="2629" xr:uid="{00000000-0005-0000-0000-0000140A0000}"/>
    <cellStyle name="_Table_Merger Plan 01 6 2 2 2" xfId="2630" xr:uid="{00000000-0005-0000-0000-0000150A0000}"/>
    <cellStyle name="_Table_Merger Plan 01 6 2 2 2 2" xfId="2631" xr:uid="{00000000-0005-0000-0000-0000160A0000}"/>
    <cellStyle name="_Table_Merger Plan 01 6 2 2 3" xfId="2632" xr:uid="{00000000-0005-0000-0000-0000170A0000}"/>
    <cellStyle name="_Table_Merger Plan 01 6 2 3" xfId="2633" xr:uid="{00000000-0005-0000-0000-0000180A0000}"/>
    <cellStyle name="_Table_Merger Plan 01 6 2 3 2" xfId="2634" xr:uid="{00000000-0005-0000-0000-0000190A0000}"/>
    <cellStyle name="_Table_Merger Plan 01 6 2 4" xfId="2635" xr:uid="{00000000-0005-0000-0000-00001A0A0000}"/>
    <cellStyle name="_Table_Merger Plan 01 6 3" xfId="2636" xr:uid="{00000000-0005-0000-0000-00001B0A0000}"/>
    <cellStyle name="_Table_Merger Plan 01 6 3 2" xfId="2637" xr:uid="{00000000-0005-0000-0000-00001C0A0000}"/>
    <cellStyle name="_Table_Merger Plan 01 6 3 2 2" xfId="2638" xr:uid="{00000000-0005-0000-0000-00001D0A0000}"/>
    <cellStyle name="_Table_Merger Plan 01 6 3 3" xfId="2639" xr:uid="{00000000-0005-0000-0000-00001E0A0000}"/>
    <cellStyle name="_Table_Merger Plan 01 6 4" xfId="2640" xr:uid="{00000000-0005-0000-0000-00001F0A0000}"/>
    <cellStyle name="_Table_Merger Plan 01 6 4 2" xfId="2641" xr:uid="{00000000-0005-0000-0000-0000200A0000}"/>
    <cellStyle name="_Table_Merger Plan 01 6 5" xfId="2642" xr:uid="{00000000-0005-0000-0000-0000210A0000}"/>
    <cellStyle name="_Table_Merger Plan 01 7" xfId="2643" xr:uid="{00000000-0005-0000-0000-0000220A0000}"/>
    <cellStyle name="_Table_Merger Plan 01 7 2" xfId="2644" xr:uid="{00000000-0005-0000-0000-0000230A0000}"/>
    <cellStyle name="_Table_Merger Plan 01 7 2 2" xfId="2645" xr:uid="{00000000-0005-0000-0000-0000240A0000}"/>
    <cellStyle name="_Table_Merger Plan 01 7 2 2 2" xfId="2646" xr:uid="{00000000-0005-0000-0000-0000250A0000}"/>
    <cellStyle name="_Table_Merger Plan 01 7 2 3" xfId="2647" xr:uid="{00000000-0005-0000-0000-0000260A0000}"/>
    <cellStyle name="_Table_Merger Plan 01 7 3" xfId="2648" xr:uid="{00000000-0005-0000-0000-0000270A0000}"/>
    <cellStyle name="_Table_Merger Plan 01 7 3 2" xfId="2649" xr:uid="{00000000-0005-0000-0000-0000280A0000}"/>
    <cellStyle name="_Table_Merger Plan 01 7 4" xfId="2650" xr:uid="{00000000-0005-0000-0000-0000290A0000}"/>
    <cellStyle name="_Table_Merger Plan 01 8" xfId="2651" xr:uid="{00000000-0005-0000-0000-00002A0A0000}"/>
    <cellStyle name="_Table_Merger Plan 01 8 2" xfId="2652" xr:uid="{00000000-0005-0000-0000-00002B0A0000}"/>
    <cellStyle name="_Table_Merger Plan 01 8 2 2" xfId="2653" xr:uid="{00000000-0005-0000-0000-00002C0A0000}"/>
    <cellStyle name="_Table_Merger Plan 01 8 3" xfId="2654" xr:uid="{00000000-0005-0000-0000-00002D0A0000}"/>
    <cellStyle name="_Table_Merger Plan 01 9" xfId="2655" xr:uid="{00000000-0005-0000-0000-00002E0A0000}"/>
    <cellStyle name="_Table_Merger Plan 01 9 2" xfId="2656" xr:uid="{00000000-0005-0000-0000-00002F0A0000}"/>
    <cellStyle name="_Table_Merger Plan SP_CA" xfId="2657" xr:uid="{00000000-0005-0000-0000-0000300A0000}"/>
    <cellStyle name="_Table_Merger Plan SP_CA 10" xfId="2658" xr:uid="{00000000-0005-0000-0000-0000310A0000}"/>
    <cellStyle name="_Table_Merger Plan SP_CA 2" xfId="2659" xr:uid="{00000000-0005-0000-0000-0000320A0000}"/>
    <cellStyle name="_Table_Merger Plan SP_CA 3" xfId="2660" xr:uid="{00000000-0005-0000-0000-0000330A0000}"/>
    <cellStyle name="_Table_Merger Plan SP_CA 4" xfId="2661" xr:uid="{00000000-0005-0000-0000-0000340A0000}"/>
    <cellStyle name="_Table_Merger Plan SP_CA 5" xfId="2662" xr:uid="{00000000-0005-0000-0000-0000350A0000}"/>
    <cellStyle name="_Table_Merger Plan SP_CA 6" xfId="2663" xr:uid="{00000000-0005-0000-0000-0000360A0000}"/>
    <cellStyle name="_Table_Merger Plan SP_CA 7" xfId="2664" xr:uid="{00000000-0005-0000-0000-0000370A0000}"/>
    <cellStyle name="_Table_Merger Plan SP_CA 8" xfId="2665" xr:uid="{00000000-0005-0000-0000-0000380A0000}"/>
    <cellStyle name="_Table_Merger Plan SP_CA 9" xfId="2666" xr:uid="{00000000-0005-0000-0000-0000390A0000}"/>
    <cellStyle name="_Table_Ownership structure - UCI" xfId="2667" xr:uid="{00000000-0005-0000-0000-00003A0A0000}"/>
    <cellStyle name="_Table_Ownership structure - UCI 10" xfId="2668" xr:uid="{00000000-0005-0000-0000-00003B0A0000}"/>
    <cellStyle name="_Table_Ownership structure - UCI 2" xfId="2669" xr:uid="{00000000-0005-0000-0000-00003C0A0000}"/>
    <cellStyle name="_Table_Ownership structure - UCI 2 2" xfId="2670" xr:uid="{00000000-0005-0000-0000-00003D0A0000}"/>
    <cellStyle name="_Table_Ownership structure - UCI 2 2 2" xfId="2671" xr:uid="{00000000-0005-0000-0000-00003E0A0000}"/>
    <cellStyle name="_Table_Ownership structure - UCI 2 2 2 2" xfId="2672" xr:uid="{00000000-0005-0000-0000-00003F0A0000}"/>
    <cellStyle name="_Table_Ownership structure - UCI 2 2 2 2 2" xfId="2673" xr:uid="{00000000-0005-0000-0000-0000400A0000}"/>
    <cellStyle name="_Table_Ownership structure - UCI 2 2 2 3" xfId="2674" xr:uid="{00000000-0005-0000-0000-0000410A0000}"/>
    <cellStyle name="_Table_Ownership structure - UCI 2 2 3" xfId="2675" xr:uid="{00000000-0005-0000-0000-0000420A0000}"/>
    <cellStyle name="_Table_Ownership structure - UCI 2 2 3 2" xfId="2676" xr:uid="{00000000-0005-0000-0000-0000430A0000}"/>
    <cellStyle name="_Table_Ownership structure - UCI 2 2 4" xfId="2677" xr:uid="{00000000-0005-0000-0000-0000440A0000}"/>
    <cellStyle name="_Table_Ownership structure - UCI 2 3" xfId="2678" xr:uid="{00000000-0005-0000-0000-0000450A0000}"/>
    <cellStyle name="_Table_Ownership structure - UCI 2 3 2" xfId="2679" xr:uid="{00000000-0005-0000-0000-0000460A0000}"/>
    <cellStyle name="_Table_Ownership structure - UCI 2 3 2 2" xfId="2680" xr:uid="{00000000-0005-0000-0000-0000470A0000}"/>
    <cellStyle name="_Table_Ownership structure - UCI 2 3 3" xfId="2681" xr:uid="{00000000-0005-0000-0000-0000480A0000}"/>
    <cellStyle name="_Table_Ownership structure - UCI 2 4" xfId="2682" xr:uid="{00000000-0005-0000-0000-0000490A0000}"/>
    <cellStyle name="_Table_Ownership structure - UCI 2 4 2" xfId="2683" xr:uid="{00000000-0005-0000-0000-00004A0A0000}"/>
    <cellStyle name="_Table_Ownership structure - UCI 2 5" xfId="2684" xr:uid="{00000000-0005-0000-0000-00004B0A0000}"/>
    <cellStyle name="_Table_Ownership structure - UCI 3" xfId="2685" xr:uid="{00000000-0005-0000-0000-00004C0A0000}"/>
    <cellStyle name="_Table_Ownership structure - UCI 3 2" xfId="2686" xr:uid="{00000000-0005-0000-0000-00004D0A0000}"/>
    <cellStyle name="_Table_Ownership structure - UCI 3 2 2" xfId="2687" xr:uid="{00000000-0005-0000-0000-00004E0A0000}"/>
    <cellStyle name="_Table_Ownership structure - UCI 3 2 2 2" xfId="2688" xr:uid="{00000000-0005-0000-0000-00004F0A0000}"/>
    <cellStyle name="_Table_Ownership structure - UCI 3 2 2 2 2" xfId="2689" xr:uid="{00000000-0005-0000-0000-0000500A0000}"/>
    <cellStyle name="_Table_Ownership structure - UCI 3 2 2 3" xfId="2690" xr:uid="{00000000-0005-0000-0000-0000510A0000}"/>
    <cellStyle name="_Table_Ownership structure - UCI 3 2 3" xfId="2691" xr:uid="{00000000-0005-0000-0000-0000520A0000}"/>
    <cellStyle name="_Table_Ownership structure - UCI 3 2 3 2" xfId="2692" xr:uid="{00000000-0005-0000-0000-0000530A0000}"/>
    <cellStyle name="_Table_Ownership structure - UCI 3 2 4" xfId="2693" xr:uid="{00000000-0005-0000-0000-0000540A0000}"/>
    <cellStyle name="_Table_Ownership structure - UCI 3 3" xfId="2694" xr:uid="{00000000-0005-0000-0000-0000550A0000}"/>
    <cellStyle name="_Table_Ownership structure - UCI 3 3 2" xfId="2695" xr:uid="{00000000-0005-0000-0000-0000560A0000}"/>
    <cellStyle name="_Table_Ownership structure - UCI 3 3 2 2" xfId="2696" xr:uid="{00000000-0005-0000-0000-0000570A0000}"/>
    <cellStyle name="_Table_Ownership structure - UCI 3 3 3" xfId="2697" xr:uid="{00000000-0005-0000-0000-0000580A0000}"/>
    <cellStyle name="_Table_Ownership structure - UCI 3 4" xfId="2698" xr:uid="{00000000-0005-0000-0000-0000590A0000}"/>
    <cellStyle name="_Table_Ownership structure - UCI 3 4 2" xfId="2699" xr:uid="{00000000-0005-0000-0000-00005A0A0000}"/>
    <cellStyle name="_Table_Ownership structure - UCI 3 5" xfId="2700" xr:uid="{00000000-0005-0000-0000-00005B0A0000}"/>
    <cellStyle name="_Table_Ownership structure - UCI 4" xfId="2701" xr:uid="{00000000-0005-0000-0000-00005C0A0000}"/>
    <cellStyle name="_Table_Ownership structure - UCI 4 2" xfId="2702" xr:uid="{00000000-0005-0000-0000-00005D0A0000}"/>
    <cellStyle name="_Table_Ownership structure - UCI 4 2 2" xfId="2703" xr:uid="{00000000-0005-0000-0000-00005E0A0000}"/>
    <cellStyle name="_Table_Ownership structure - UCI 4 2 2 2" xfId="2704" xr:uid="{00000000-0005-0000-0000-00005F0A0000}"/>
    <cellStyle name="_Table_Ownership structure - UCI 4 2 2 2 2" xfId="2705" xr:uid="{00000000-0005-0000-0000-0000600A0000}"/>
    <cellStyle name="_Table_Ownership structure - UCI 4 2 2 3" xfId="2706" xr:uid="{00000000-0005-0000-0000-0000610A0000}"/>
    <cellStyle name="_Table_Ownership structure - UCI 4 2 3" xfId="2707" xr:uid="{00000000-0005-0000-0000-0000620A0000}"/>
    <cellStyle name="_Table_Ownership structure - UCI 4 2 3 2" xfId="2708" xr:uid="{00000000-0005-0000-0000-0000630A0000}"/>
    <cellStyle name="_Table_Ownership structure - UCI 4 2 4" xfId="2709" xr:uid="{00000000-0005-0000-0000-0000640A0000}"/>
    <cellStyle name="_Table_Ownership structure - UCI 4 3" xfId="2710" xr:uid="{00000000-0005-0000-0000-0000650A0000}"/>
    <cellStyle name="_Table_Ownership structure - UCI 4 3 2" xfId="2711" xr:uid="{00000000-0005-0000-0000-0000660A0000}"/>
    <cellStyle name="_Table_Ownership structure - UCI 4 3 2 2" xfId="2712" xr:uid="{00000000-0005-0000-0000-0000670A0000}"/>
    <cellStyle name="_Table_Ownership structure - UCI 4 3 3" xfId="2713" xr:uid="{00000000-0005-0000-0000-0000680A0000}"/>
    <cellStyle name="_Table_Ownership structure - UCI 4 4" xfId="2714" xr:uid="{00000000-0005-0000-0000-0000690A0000}"/>
    <cellStyle name="_Table_Ownership structure - UCI 4 4 2" xfId="2715" xr:uid="{00000000-0005-0000-0000-00006A0A0000}"/>
    <cellStyle name="_Table_Ownership structure - UCI 4 5" xfId="2716" xr:uid="{00000000-0005-0000-0000-00006B0A0000}"/>
    <cellStyle name="_Table_Ownership structure - UCI 5" xfId="2717" xr:uid="{00000000-0005-0000-0000-00006C0A0000}"/>
    <cellStyle name="_Table_Ownership structure - UCI 5 2" xfId="2718" xr:uid="{00000000-0005-0000-0000-00006D0A0000}"/>
    <cellStyle name="_Table_Ownership structure - UCI 5 2 2" xfId="2719" xr:uid="{00000000-0005-0000-0000-00006E0A0000}"/>
    <cellStyle name="_Table_Ownership structure - UCI 5 2 2 2" xfId="2720" xr:uid="{00000000-0005-0000-0000-00006F0A0000}"/>
    <cellStyle name="_Table_Ownership structure - UCI 5 2 2 2 2" xfId="2721" xr:uid="{00000000-0005-0000-0000-0000700A0000}"/>
    <cellStyle name="_Table_Ownership structure - UCI 5 2 2 3" xfId="2722" xr:uid="{00000000-0005-0000-0000-0000710A0000}"/>
    <cellStyle name="_Table_Ownership structure - UCI 5 2 3" xfId="2723" xr:uid="{00000000-0005-0000-0000-0000720A0000}"/>
    <cellStyle name="_Table_Ownership structure - UCI 5 2 3 2" xfId="2724" xr:uid="{00000000-0005-0000-0000-0000730A0000}"/>
    <cellStyle name="_Table_Ownership structure - UCI 5 2 4" xfId="2725" xr:uid="{00000000-0005-0000-0000-0000740A0000}"/>
    <cellStyle name="_Table_Ownership structure - UCI 5 3" xfId="2726" xr:uid="{00000000-0005-0000-0000-0000750A0000}"/>
    <cellStyle name="_Table_Ownership structure - UCI 5 3 2" xfId="2727" xr:uid="{00000000-0005-0000-0000-0000760A0000}"/>
    <cellStyle name="_Table_Ownership structure - UCI 5 3 2 2" xfId="2728" xr:uid="{00000000-0005-0000-0000-0000770A0000}"/>
    <cellStyle name="_Table_Ownership structure - UCI 5 3 3" xfId="2729" xr:uid="{00000000-0005-0000-0000-0000780A0000}"/>
    <cellStyle name="_Table_Ownership structure - UCI 5 4" xfId="2730" xr:uid="{00000000-0005-0000-0000-0000790A0000}"/>
    <cellStyle name="_Table_Ownership structure - UCI 5 4 2" xfId="2731" xr:uid="{00000000-0005-0000-0000-00007A0A0000}"/>
    <cellStyle name="_Table_Ownership structure - UCI 5 5" xfId="2732" xr:uid="{00000000-0005-0000-0000-00007B0A0000}"/>
    <cellStyle name="_Table_Ownership structure - UCI 6" xfId="2733" xr:uid="{00000000-0005-0000-0000-00007C0A0000}"/>
    <cellStyle name="_Table_Ownership structure - UCI 6 2" xfId="2734" xr:uid="{00000000-0005-0000-0000-00007D0A0000}"/>
    <cellStyle name="_Table_Ownership structure - UCI 6 2 2" xfId="2735" xr:uid="{00000000-0005-0000-0000-00007E0A0000}"/>
    <cellStyle name="_Table_Ownership structure - UCI 6 2 2 2" xfId="2736" xr:uid="{00000000-0005-0000-0000-00007F0A0000}"/>
    <cellStyle name="_Table_Ownership structure - UCI 6 2 2 2 2" xfId="2737" xr:uid="{00000000-0005-0000-0000-0000800A0000}"/>
    <cellStyle name="_Table_Ownership structure - UCI 6 2 2 3" xfId="2738" xr:uid="{00000000-0005-0000-0000-0000810A0000}"/>
    <cellStyle name="_Table_Ownership structure - UCI 6 2 3" xfId="2739" xr:uid="{00000000-0005-0000-0000-0000820A0000}"/>
    <cellStyle name="_Table_Ownership structure - UCI 6 2 3 2" xfId="2740" xr:uid="{00000000-0005-0000-0000-0000830A0000}"/>
    <cellStyle name="_Table_Ownership structure - UCI 6 2 4" xfId="2741" xr:uid="{00000000-0005-0000-0000-0000840A0000}"/>
    <cellStyle name="_Table_Ownership structure - UCI 6 3" xfId="2742" xr:uid="{00000000-0005-0000-0000-0000850A0000}"/>
    <cellStyle name="_Table_Ownership structure - UCI 6 3 2" xfId="2743" xr:uid="{00000000-0005-0000-0000-0000860A0000}"/>
    <cellStyle name="_Table_Ownership structure - UCI 6 3 2 2" xfId="2744" xr:uid="{00000000-0005-0000-0000-0000870A0000}"/>
    <cellStyle name="_Table_Ownership structure - UCI 6 3 3" xfId="2745" xr:uid="{00000000-0005-0000-0000-0000880A0000}"/>
    <cellStyle name="_Table_Ownership structure - UCI 6 4" xfId="2746" xr:uid="{00000000-0005-0000-0000-0000890A0000}"/>
    <cellStyle name="_Table_Ownership structure - UCI 6 4 2" xfId="2747" xr:uid="{00000000-0005-0000-0000-00008A0A0000}"/>
    <cellStyle name="_Table_Ownership structure - UCI 6 5" xfId="2748" xr:uid="{00000000-0005-0000-0000-00008B0A0000}"/>
    <cellStyle name="_Table_Ownership structure - UCI 7" xfId="2749" xr:uid="{00000000-0005-0000-0000-00008C0A0000}"/>
    <cellStyle name="_Table_Ownership structure - UCI 7 2" xfId="2750" xr:uid="{00000000-0005-0000-0000-00008D0A0000}"/>
    <cellStyle name="_Table_Ownership structure - UCI 7 2 2" xfId="2751" xr:uid="{00000000-0005-0000-0000-00008E0A0000}"/>
    <cellStyle name="_Table_Ownership structure - UCI 7 2 2 2" xfId="2752" xr:uid="{00000000-0005-0000-0000-00008F0A0000}"/>
    <cellStyle name="_Table_Ownership structure - UCI 7 2 3" xfId="2753" xr:uid="{00000000-0005-0000-0000-0000900A0000}"/>
    <cellStyle name="_Table_Ownership structure - UCI 7 3" xfId="2754" xr:uid="{00000000-0005-0000-0000-0000910A0000}"/>
    <cellStyle name="_Table_Ownership structure - UCI 7 3 2" xfId="2755" xr:uid="{00000000-0005-0000-0000-0000920A0000}"/>
    <cellStyle name="_Table_Ownership structure - UCI 7 4" xfId="2756" xr:uid="{00000000-0005-0000-0000-0000930A0000}"/>
    <cellStyle name="_Table_Ownership structure - UCI 8" xfId="2757" xr:uid="{00000000-0005-0000-0000-0000940A0000}"/>
    <cellStyle name="_Table_Ownership structure - UCI 8 2" xfId="2758" xr:uid="{00000000-0005-0000-0000-0000950A0000}"/>
    <cellStyle name="_Table_Ownership structure - UCI 8 2 2" xfId="2759" xr:uid="{00000000-0005-0000-0000-0000960A0000}"/>
    <cellStyle name="_Table_Ownership structure - UCI 8 3" xfId="2760" xr:uid="{00000000-0005-0000-0000-0000970A0000}"/>
    <cellStyle name="_Table_Ownership structure - UCI 9" xfId="2761" xr:uid="{00000000-0005-0000-0000-0000980A0000}"/>
    <cellStyle name="_Table_Ownership structure - UCI 9 2" xfId="2762" xr:uid="{00000000-0005-0000-0000-0000990A0000}"/>
    <cellStyle name="_TableHead" xfId="2763" xr:uid="{00000000-0005-0000-0000-00009A0A0000}"/>
    <cellStyle name="_TableHead 2" xfId="2764" xr:uid="{00000000-0005-0000-0000-00009B0A0000}"/>
    <cellStyle name="_TableHead 2 2" xfId="2765" xr:uid="{00000000-0005-0000-0000-00009C0A0000}"/>
    <cellStyle name="_TableHead 2 2 2" xfId="2766" xr:uid="{00000000-0005-0000-0000-00009D0A0000}"/>
    <cellStyle name="_TableRowHead" xfId="2767" xr:uid="{00000000-0005-0000-0000-00009E0A0000}"/>
    <cellStyle name="_TableSuperHead" xfId="2768" xr:uid="{00000000-0005-0000-0000-00009F0A0000}"/>
    <cellStyle name="_TableSuperHead_AVP" xfId="2769" xr:uid="{00000000-0005-0000-0000-0000A00A0000}"/>
    <cellStyle name="_TableSuperHead_Contribution Analysis" xfId="2770" xr:uid="{00000000-0005-0000-0000-0000A10A0000}"/>
    <cellStyle name="_TableSuperHead_Merger Plan 01" xfId="2771" xr:uid="{00000000-0005-0000-0000-0000A20A0000}"/>
    <cellStyle name="_TableSuperHead_Merger Plan SP_CA" xfId="2772" xr:uid="{00000000-0005-0000-0000-0000A30A0000}"/>
    <cellStyle name="_TableSuperHead_Ownership structure - UCI" xfId="2773" xr:uid="{00000000-0005-0000-0000-0000A40A0000}"/>
    <cellStyle name="_Tampa_Model_v3" xfId="2774" xr:uid="{00000000-0005-0000-0000-0000A50A0000}"/>
    <cellStyle name="_Tampa_Model_v3_Exelon Power Fuel Forecast - Project P 6-11-2004 ver21" xfId="2775" xr:uid="{00000000-0005-0000-0000-0000A60A0000}"/>
    <cellStyle name="_Tampa_Model_v3_ML Outputs" xfId="2776" xr:uid="{00000000-0005-0000-0000-0000A70A0000}"/>
    <cellStyle name="_Tampa_Model_v3_Project Forest Pro Forma Model v58" xfId="2777" xr:uid="{00000000-0005-0000-0000-0000A80A0000}"/>
    <cellStyle name="_Tax Input 5yr plan" xfId="2778" xr:uid="{00000000-0005-0000-0000-0000A90A0000}"/>
    <cellStyle name="_Tech Expl" xfId="2779" xr:uid="{00000000-0005-0000-0000-0000AA0A0000}"/>
    <cellStyle name="_Technology" xfId="2780" xr:uid="{00000000-0005-0000-0000-0000AB0A0000}"/>
    <cellStyle name="_Technology_~2170998" xfId="2781" xr:uid="{00000000-0005-0000-0000-0000AC0A0000}"/>
    <cellStyle name="_Technology_~2170998_~5055318" xfId="2782" xr:uid="{00000000-0005-0000-0000-0000AD0A0000}"/>
    <cellStyle name="_Technology_~5055318" xfId="2783" xr:uid="{00000000-0005-0000-0000-0000AE0A0000}"/>
    <cellStyle name="_Technology_~5055318_debt reconciliation_10 11" xfId="2784" xr:uid="{00000000-0005-0000-0000-0000AF0A0000}"/>
    <cellStyle name="_Technology_~5055318_EMTN accruals" xfId="2785" xr:uid="{00000000-0005-0000-0000-0000B00A0000}"/>
    <cellStyle name="_Technology_~5055318_report_LTD" xfId="2786" xr:uid="{00000000-0005-0000-0000-0000B10A0000}"/>
    <cellStyle name="_Technology_~5055318_schedule" xfId="2787" xr:uid="{00000000-0005-0000-0000-0000B20A0000}"/>
    <cellStyle name="_Technology_Budget_data" xfId="2788" xr:uid="{00000000-0005-0000-0000-0000B30A0000}"/>
    <cellStyle name="_Technology_Budget_data_~5055318" xfId="2789" xr:uid="{00000000-0005-0000-0000-0000B40A0000}"/>
    <cellStyle name="_Technology_GFO_Sumbit_r_22.04.04" xfId="2790" xr:uid="{00000000-0005-0000-0000-0000B50A0000}"/>
    <cellStyle name="_Technology_GFO_Sumbit_r_22.04.04_~5055318" xfId="2791" xr:uid="{00000000-0005-0000-0000-0000B60A0000}"/>
    <cellStyle name="_Technology27_10_04" xfId="2792" xr:uid="{00000000-0005-0000-0000-0000B70A0000}"/>
    <cellStyle name="_Teco Coal_5" xfId="2793" xr:uid="{00000000-0005-0000-0000-0000B80A0000}"/>
    <cellStyle name="_Teco Coal_5_Exelon Power Fuel Forecast - Project P 6-11-2004 ver21" xfId="2794" xr:uid="{00000000-0005-0000-0000-0000B90A0000}"/>
    <cellStyle name="_Teco Coal_5_ML Outputs" xfId="2795" xr:uid="{00000000-0005-0000-0000-0000BA0A0000}"/>
    <cellStyle name="_Teco Coal_5_Project Forest Pro Forma Model v58" xfId="2796" xr:uid="{00000000-0005-0000-0000-0000BB0A0000}"/>
    <cellStyle name="_TECO Combined Return Analysis NEW 01-23-01" xfId="2797" xr:uid="{00000000-0005-0000-0000-0000BC0A0000}"/>
    <cellStyle name="_TECO Combined Return Analysis NEW 01-23-01_Copy of CNL Consolidated model_v.FPL_v37" xfId="2798" xr:uid="{00000000-0005-0000-0000-0000BD0A0000}"/>
    <cellStyle name="_TECO Combined Return Analysis NEW 01-23-01_Copy of CNL Consolidated model_v.FPL_v37_Exelon Power Fuel Forecast - Project P 6-11-2004 ver21" xfId="2799" xr:uid="{00000000-0005-0000-0000-0000BE0A0000}"/>
    <cellStyle name="_TECO Combined Return Analysis NEW 01-23-01_Copy of CNL Consolidated model_v.FPL_v37_ML Outputs" xfId="2800" xr:uid="{00000000-0005-0000-0000-0000BF0A0000}"/>
    <cellStyle name="_TECO Combined Return Analysis NEW 01-23-01_Copy of CNL Consolidated model_v.FPL_v37_Project Forest Pro Forma Model v58" xfId="2801" xr:uid="{00000000-0005-0000-0000-0000C00A0000}"/>
    <cellStyle name="_TECO Combined Return Analysis NEW 01-23-01_D_Consolidated2" xfId="2802" xr:uid="{00000000-0005-0000-0000-0000C10A0000}"/>
    <cellStyle name="_TECO Combined Return Analysis NEW 01-23-01_Model v9.8" xfId="2803" xr:uid="{00000000-0005-0000-0000-0000C20A0000}"/>
    <cellStyle name="_TECO Combined Return Analysis NEW 01-23-01_Mutilples Template2" xfId="2804" xr:uid="{00000000-0005-0000-0000-0000C30A0000}"/>
    <cellStyle name="_TECO Combined Return Analysis NEW 01-23-01_Mutilples Template2_Exelon Power Fuel Forecast - Project P 6-11-2004 ver21" xfId="2805" xr:uid="{00000000-0005-0000-0000-0000C40A0000}"/>
    <cellStyle name="_TECO Combined Return Analysis NEW 01-23-01_Mutilples Template2_ML Outputs" xfId="2806" xr:uid="{00000000-0005-0000-0000-0000C50A0000}"/>
    <cellStyle name="_TECO Combined Return Analysis NEW 01-23-01_Mutilples Template2_Project Forest Pro Forma Model v58" xfId="2807" xr:uid="{00000000-0005-0000-0000-0000C60A0000}"/>
    <cellStyle name="_TECO Combined Return Analysis NEW 01-23-01_pom consolidated v3" xfId="2808" xr:uid="{00000000-0005-0000-0000-0000C70A0000}"/>
    <cellStyle name="_TECO Combined Return Analysis NEW 01-23-01_pom consolidated v3_Exelon Power Fuel Forecast - Project P 6-11-2004 ver21" xfId="2809" xr:uid="{00000000-0005-0000-0000-0000C80A0000}"/>
    <cellStyle name="_TECO Combined Return Analysis NEW 01-23-01_pom consolidated v3_ML Outputs" xfId="2810" xr:uid="{00000000-0005-0000-0000-0000C90A0000}"/>
    <cellStyle name="_TECO Combined Return Analysis NEW 01-23-01_pom consolidated v3_Project Forest Pro Forma Model v58" xfId="2811" xr:uid="{00000000-0005-0000-0000-0000CA0A0000}"/>
    <cellStyle name="_Teco Fuel Pro Forma 10-31-2001" xfId="2812" xr:uid="{00000000-0005-0000-0000-0000CB0A0000}"/>
    <cellStyle name="_Teco Fuel Pro Forma 10-31-2001_Copy of CNL Consolidated model_v.FPL_v37" xfId="2813" xr:uid="{00000000-0005-0000-0000-0000CC0A0000}"/>
    <cellStyle name="_Teco Fuel Pro Forma 10-31-2001_Copy of CNL Consolidated model_v.FPL_v37_Exelon Power Fuel Forecast - Project P 6-11-2004 ver21" xfId="2814" xr:uid="{00000000-0005-0000-0000-0000CD0A0000}"/>
    <cellStyle name="_Teco Fuel Pro Forma 10-31-2001_Copy of CNL Consolidated model_v.FPL_v37_ML Outputs" xfId="2815" xr:uid="{00000000-0005-0000-0000-0000CE0A0000}"/>
    <cellStyle name="_Teco Fuel Pro Forma 10-31-2001_Copy of CNL Consolidated model_v.FPL_v37_Project Forest Pro Forma Model v58" xfId="2816" xr:uid="{00000000-0005-0000-0000-0000CF0A0000}"/>
    <cellStyle name="_Teco Fuel Pro Forma 10-31-2001_D_Consolidated2" xfId="2817" xr:uid="{00000000-0005-0000-0000-0000D00A0000}"/>
    <cellStyle name="_Teco Fuel Pro Forma 10-31-2001_Model v9.8" xfId="2818" xr:uid="{00000000-0005-0000-0000-0000D10A0000}"/>
    <cellStyle name="_Teco Fuel Pro Forma 10-31-2001_Mutilples Template2" xfId="2819" xr:uid="{00000000-0005-0000-0000-0000D20A0000}"/>
    <cellStyle name="_Teco Fuel Pro Forma 10-31-2001_Mutilples Template2_Exelon Power Fuel Forecast - Project P 6-11-2004 ver21" xfId="2820" xr:uid="{00000000-0005-0000-0000-0000D30A0000}"/>
    <cellStyle name="_Teco Fuel Pro Forma 10-31-2001_Mutilples Template2_ML Outputs" xfId="2821" xr:uid="{00000000-0005-0000-0000-0000D40A0000}"/>
    <cellStyle name="_Teco Fuel Pro Forma 10-31-2001_Mutilples Template2_Project Forest Pro Forma Model v58" xfId="2822" xr:uid="{00000000-0005-0000-0000-0000D50A0000}"/>
    <cellStyle name="_Teco Fuel Pro Forma 10-31-2001_pom consolidated v3" xfId="2823" xr:uid="{00000000-0005-0000-0000-0000D60A0000}"/>
    <cellStyle name="_Teco Fuel Pro Forma 10-31-2001_pom consolidated v3_Exelon Power Fuel Forecast - Project P 6-11-2004 ver21" xfId="2824" xr:uid="{00000000-0005-0000-0000-0000D70A0000}"/>
    <cellStyle name="_Teco Fuel Pro Forma 10-31-2001_pom consolidated v3_ML Outputs" xfId="2825" xr:uid="{00000000-0005-0000-0000-0000D80A0000}"/>
    <cellStyle name="_Teco Fuel Pro Forma 10-31-2001_pom consolidated v3_Project Forest Pro Forma Model v58" xfId="2826" xr:uid="{00000000-0005-0000-0000-0000D90A0000}"/>
    <cellStyle name="_TECO Solutions" xfId="2827" xr:uid="{00000000-0005-0000-0000-0000DA0A0000}"/>
    <cellStyle name="_TECO Solutions_Exelon Power Fuel Forecast - Project P 6-11-2004 ver21" xfId="2828" xr:uid="{00000000-0005-0000-0000-0000DB0A0000}"/>
    <cellStyle name="_TECO Solutions_ML Outputs" xfId="2829" xr:uid="{00000000-0005-0000-0000-0000DC0A0000}"/>
    <cellStyle name="_TECO Solutions_Project Forest Pro Forma Model v58" xfId="2830" xr:uid="{00000000-0005-0000-0000-0000DD0A0000}"/>
    <cellStyle name="_Template for Finance" xfId="2831" xr:uid="{00000000-0005-0000-0000-0000DE0A0000}"/>
    <cellStyle name="_TGN DCF v10" xfId="2832" xr:uid="{00000000-0005-0000-0000-0000DF0A0000}"/>
    <cellStyle name="_TIE Consolidated 09-18-00 c2 Teco" xfId="2833" xr:uid="{00000000-0005-0000-0000-0000E00A0000}"/>
    <cellStyle name="_TIE Consolidated 09-18-00 c2 Teco_Copy of CNL Consolidated model_v.FPL_v37" xfId="2834" xr:uid="{00000000-0005-0000-0000-0000E10A0000}"/>
    <cellStyle name="_TIE Consolidated 09-18-00 c2 Teco_Copy of CNL Consolidated model_v.FPL_v37_Exelon Power Fuel Forecast - Project P 6-11-2004 ver21" xfId="2835" xr:uid="{00000000-0005-0000-0000-0000E20A0000}"/>
    <cellStyle name="_TIE Consolidated 09-18-00 c2 Teco_Copy of CNL Consolidated model_v.FPL_v37_ML Outputs" xfId="2836" xr:uid="{00000000-0005-0000-0000-0000E30A0000}"/>
    <cellStyle name="_TIE Consolidated 09-18-00 c2 Teco_Copy of CNL Consolidated model_v.FPL_v37_Project Forest Pro Forma Model v58" xfId="2837" xr:uid="{00000000-0005-0000-0000-0000E40A0000}"/>
    <cellStyle name="_TIE Consolidated 09-18-00 c2 Teco_D_Consolidated2" xfId="2838" xr:uid="{00000000-0005-0000-0000-0000E50A0000}"/>
    <cellStyle name="_TIE Consolidated 09-18-00 c2 Teco_Model v9.8" xfId="2839" xr:uid="{00000000-0005-0000-0000-0000E60A0000}"/>
    <cellStyle name="_TIE Consolidated 09-18-00 c2 Teco_Mutilples Template2" xfId="2840" xr:uid="{00000000-0005-0000-0000-0000E70A0000}"/>
    <cellStyle name="_TIE Consolidated 09-18-00 c2 Teco_Mutilples Template2_Exelon Power Fuel Forecast - Project P 6-11-2004 ver21" xfId="2841" xr:uid="{00000000-0005-0000-0000-0000E80A0000}"/>
    <cellStyle name="_TIE Consolidated 09-18-00 c2 Teco_Mutilples Template2_ML Outputs" xfId="2842" xr:uid="{00000000-0005-0000-0000-0000E90A0000}"/>
    <cellStyle name="_TIE Consolidated 09-18-00 c2 Teco_Mutilples Template2_Project Forest Pro Forma Model v58" xfId="2843" xr:uid="{00000000-0005-0000-0000-0000EA0A0000}"/>
    <cellStyle name="_TIE Consolidated 09-18-00 c2 Teco_pom consolidated v3" xfId="2844" xr:uid="{00000000-0005-0000-0000-0000EB0A0000}"/>
    <cellStyle name="_TIE Consolidated 09-18-00 c2 Teco_pom consolidated v3_Exelon Power Fuel Forecast - Project P 6-11-2004 ver21" xfId="2845" xr:uid="{00000000-0005-0000-0000-0000EC0A0000}"/>
    <cellStyle name="_TIE Consolidated 09-18-00 c2 Teco_pom consolidated v3_ML Outputs" xfId="2846" xr:uid="{00000000-0005-0000-0000-0000ED0A0000}"/>
    <cellStyle name="_TIE Consolidated 09-18-00 c2 Teco_pom consolidated v3_Project Forest Pro Forma Model v58" xfId="2847" xr:uid="{00000000-0005-0000-0000-0000EE0A0000}"/>
    <cellStyle name="_TNK 3Yr data3" xfId="2848" xr:uid="{00000000-0005-0000-0000-0000EF0A0000}"/>
    <cellStyle name="_Total_HQ_2005_ver3" xfId="2849" xr:uid="{00000000-0005-0000-0000-0000F00A0000}"/>
    <cellStyle name="_Transport Model_v6" xfId="2850" xr:uid="{00000000-0005-0000-0000-0000F10A0000}"/>
    <cellStyle name="_Transport Model_v6_Exelon Power Fuel Forecast - Project P 6-11-2004 ver21" xfId="2851" xr:uid="{00000000-0005-0000-0000-0000F20A0000}"/>
    <cellStyle name="_Transport Model_v6_ML Outputs" xfId="2852" xr:uid="{00000000-0005-0000-0000-0000F30A0000}"/>
    <cellStyle name="_Transport Model_v6_Project Forest Pro Forma Model v58" xfId="2853" xr:uid="{00000000-0005-0000-0000-0000F40A0000}"/>
    <cellStyle name="_TURKEYBALANCESHEET" xfId="2854" xr:uid="{00000000-0005-0000-0000-0000F50A0000}"/>
    <cellStyle name="_Upstream" xfId="2855" xr:uid="{00000000-0005-0000-0000-0000F60A0000}"/>
    <cellStyle name="_Upstream_2" xfId="2856" xr:uid="{00000000-0005-0000-0000-0000F70A0000}"/>
    <cellStyle name="_Upstream_no inflation" xfId="2857" xr:uid="{00000000-0005-0000-0000-0000F80A0000}"/>
    <cellStyle name="_Upstream_rev3" xfId="2858" xr:uid="{00000000-0005-0000-0000-0000F90A0000}"/>
    <cellStyle name="_Upstream_для_PPM_11_08_1вариант" xfId="2859" xr:uid="{00000000-0005-0000-0000-0000FA0A0000}"/>
    <cellStyle name="_Upstream_для_PPM_11_08_2вариант" xfId="2860" xr:uid="{00000000-0005-0000-0000-0000FB0A0000}"/>
    <cellStyle name="_Upstream_для_PPM_11_08_3вариант" xfId="2861" xr:uid="{00000000-0005-0000-0000-0000FC0A0000}"/>
    <cellStyle name="_Upstream_для_PPM_11_08_4вариант" xfId="2862" xr:uid="{00000000-0005-0000-0000-0000FD0A0000}"/>
    <cellStyle name="_Value Build Up" xfId="2863" xr:uid="{00000000-0005-0000-0000-0000FE0A0000}"/>
    <cellStyle name="_West Michigan 0800 v1 test" xfId="2864" xr:uid="{00000000-0005-0000-0000-0000FF0A0000}"/>
    <cellStyle name="_West Michigan 0800 v1 test_Copy of CNL Consolidated model_v.FPL_v37" xfId="2865" xr:uid="{00000000-0005-0000-0000-0000000B0000}"/>
    <cellStyle name="_West Michigan 0800 v1 test_Copy of CNL Consolidated model_v.FPL_v37_Exelon Power Fuel Forecast - Project P 6-11-2004 ver21" xfId="2866" xr:uid="{00000000-0005-0000-0000-0000010B0000}"/>
    <cellStyle name="_West Michigan 0800 v1 test_Copy of CNL Consolidated model_v.FPL_v37_ML Outputs" xfId="2867" xr:uid="{00000000-0005-0000-0000-0000020B0000}"/>
    <cellStyle name="_West Michigan 0800 v1 test_Copy of CNL Consolidated model_v.FPL_v37_Project Forest Pro Forma Model v58" xfId="2868" xr:uid="{00000000-0005-0000-0000-0000030B0000}"/>
    <cellStyle name="_West Michigan 0800 v1 test_D_Consolidated2" xfId="2869" xr:uid="{00000000-0005-0000-0000-0000040B0000}"/>
    <cellStyle name="_West Michigan 0800 v1 test_Model v9.8" xfId="2870" xr:uid="{00000000-0005-0000-0000-0000050B0000}"/>
    <cellStyle name="_West Michigan 0800 v1 test_Mutilples Template2" xfId="2871" xr:uid="{00000000-0005-0000-0000-0000060B0000}"/>
    <cellStyle name="_West Michigan 0800 v1 test_Mutilples Template2_Exelon Power Fuel Forecast - Project P 6-11-2004 ver21" xfId="2872" xr:uid="{00000000-0005-0000-0000-0000070B0000}"/>
    <cellStyle name="_West Michigan 0800 v1 test_Mutilples Template2_ML Outputs" xfId="2873" xr:uid="{00000000-0005-0000-0000-0000080B0000}"/>
    <cellStyle name="_West Michigan 0800 v1 test_Mutilples Template2_Project Forest Pro Forma Model v58" xfId="2874" xr:uid="{00000000-0005-0000-0000-0000090B0000}"/>
    <cellStyle name="_West Michigan 0800 v1 test_pom consolidated v3" xfId="2875" xr:uid="{00000000-0005-0000-0000-00000A0B0000}"/>
    <cellStyle name="_West Michigan 0800 v1 test_pom consolidated v3_Exelon Power Fuel Forecast - Project P 6-11-2004 ver21" xfId="2876" xr:uid="{00000000-0005-0000-0000-00000B0B0000}"/>
    <cellStyle name="_West Michigan 0800 v1 test_pom consolidated v3_ML Outputs" xfId="2877" xr:uid="{00000000-0005-0000-0000-00000C0B0000}"/>
    <cellStyle name="_West Michigan 0800 v1 test_pom consolidated v3_Project Forest Pro Forma Model v58" xfId="2878" xr:uid="{00000000-0005-0000-0000-00000D0B0000}"/>
    <cellStyle name="_WF November Scorecard" xfId="2879" xr:uid="{00000000-0005-0000-0000-00000E0B0000}"/>
    <cellStyle name="_Xx" xfId="2880" xr:uid="{00000000-0005-0000-0000-00000F0B0000}"/>
    <cellStyle name="_Xx_~temp~014017642a" xfId="2881" xr:uid="{00000000-0005-0000-0000-0000100B0000}"/>
    <cellStyle name="_Xx_~temp~014017642a_1" xfId="2882" xr:uid="{00000000-0005-0000-0000-0000110B0000}"/>
    <cellStyle name="_Xx_~temp~045352757a" xfId="2883" xr:uid="{00000000-0005-0000-0000-0000120B0000}"/>
    <cellStyle name="_Xx_~temp~301948011a" xfId="2884" xr:uid="{00000000-0005-0000-0000-0000130B0000}"/>
    <cellStyle name="_Xx_~temp~301948011a_1" xfId="2885" xr:uid="{00000000-0005-0000-0000-0000140B0000}"/>
    <cellStyle name="_Xx_~temp~579518616a" xfId="2886" xr:uid="{00000000-0005-0000-0000-0000150B0000}"/>
    <cellStyle name="_Xx_~temp~579518616a_1" xfId="2887" xr:uid="{00000000-0005-0000-0000-0000160B0000}"/>
    <cellStyle name="_Xx_~temp~705547512a" xfId="2888" xr:uid="{00000000-0005-0000-0000-0000170B0000}"/>
    <cellStyle name="_Xx_~temp~705547512a_1" xfId="2889" xr:uid="{00000000-0005-0000-0000-0000180B0000}"/>
    <cellStyle name="_Xx_~temp~814490020a" xfId="2890" xr:uid="{00000000-0005-0000-0000-0000190B0000}"/>
    <cellStyle name="_Xx_~temp~814490020a_1" xfId="2891" xr:uid="{00000000-0005-0000-0000-00001A0B0000}"/>
    <cellStyle name="_Xx_~temp~862619340a" xfId="2892" xr:uid="{00000000-0005-0000-0000-00001B0B0000}"/>
    <cellStyle name="_Xx_A -  Config" xfId="2893" xr:uid="{00000000-0005-0000-0000-00001C0B0000}"/>
    <cellStyle name="_Xx_A - Misc" xfId="2894" xr:uid="{00000000-0005-0000-0000-00001D0B0000}"/>
    <cellStyle name="_Xx_Ac" xfId="2895" xr:uid="{00000000-0005-0000-0000-00001E0B0000}"/>
    <cellStyle name="_Xx_ARCDV01_New" xfId="2896" xr:uid="{00000000-0005-0000-0000-00001F0B0000}"/>
    <cellStyle name="_Xx_ArvindReutersCurvesxls2" xfId="2897" xr:uid="{00000000-0005-0000-0000-0000200B0000}"/>
    <cellStyle name="_Xx_base" xfId="2898" xr:uid="{00000000-0005-0000-0000-0000210B0000}"/>
    <cellStyle name="_Xx_baseFxVol" xfId="2899" xr:uid="{00000000-0005-0000-0000-0000220B0000}"/>
    <cellStyle name="_Xx_baseProductControl" xfId="2900" xr:uid="{00000000-0005-0000-0000-0000230B0000}"/>
    <cellStyle name="_Xx_Bn" xfId="2901" xr:uid="{00000000-0005-0000-0000-0000240B0000}"/>
    <cellStyle name="_Xx_By" xfId="2902" xr:uid="{00000000-0005-0000-0000-0000250B0000}"/>
    <cellStyle name="_Xx_Bz" xfId="2903" xr:uid="{00000000-0005-0000-0000-0000260B0000}"/>
    <cellStyle name="_Xx_Bz_1" xfId="2904" xr:uid="{00000000-0005-0000-0000-0000270B0000}"/>
    <cellStyle name="_Xx_Ca" xfId="2905" xr:uid="{00000000-0005-0000-0000-0000280B0000}"/>
    <cellStyle name="_Xx_Cf" xfId="2906" xr:uid="{00000000-0005-0000-0000-0000290B0000}"/>
    <cellStyle name="_Xx_ENAP" xfId="2907" xr:uid="{00000000-0005-0000-0000-00002A0B0000}"/>
    <cellStyle name="_Xx_LTN" xfId="2908" xr:uid="{00000000-0005-0000-0000-00002B0B0000}"/>
    <cellStyle name="_Xx_Posicao IPCA" xfId="2909" xr:uid="{00000000-0005-0000-0000-00002C0B0000}"/>
    <cellStyle name="_Xx_Sms" xfId="2910" xr:uid="{00000000-0005-0000-0000-00002D0B0000}"/>
    <cellStyle name="_Xx_temp705547512a" xfId="2911" xr:uid="{00000000-0005-0000-0000-00002E0B0000}"/>
    <cellStyle name="_Xx_Xx" xfId="2912" xr:uid="{00000000-0005-0000-0000-00002F0B0000}"/>
    <cellStyle name="_Xx_Yc" xfId="2913" xr:uid="{00000000-0005-0000-0000-0000300B0000}"/>
    <cellStyle name="_Xy" xfId="2914" xr:uid="{00000000-0005-0000-0000-0000310B0000}"/>
    <cellStyle name="_Ya" xfId="2915" xr:uid="{00000000-0005-0000-0000-0000320B0000}"/>
    <cellStyle name="_Ya_1" xfId="2916" xr:uid="{00000000-0005-0000-0000-0000330B0000}"/>
    <cellStyle name="_Yn" xfId="2917" xr:uid="{00000000-0005-0000-0000-0000340B0000}"/>
    <cellStyle name="_Z_FRONT" xfId="2918" xr:uid="{00000000-0005-0000-0000-0000350B0000}"/>
    <cellStyle name="_Za" xfId="2919" xr:uid="{00000000-0005-0000-0000-0000360B0000}"/>
    <cellStyle name="_Zz" xfId="2920" xr:uid="{00000000-0005-0000-0000-0000370B0000}"/>
    <cellStyle name="_Аренда 2005-2009годы" xfId="2921" xr:uid="{00000000-0005-0000-0000-0000380B0000}"/>
    <cellStyle name="_АСУ сравнить" xfId="2922" xr:uid="{00000000-0005-0000-0000-0000390B0000}"/>
    <cellStyle name="_АСУ сравнить_040822 Profit_Tax_(portal)" xfId="2923" xr:uid="{00000000-0005-0000-0000-00003A0B0000}"/>
    <cellStyle name="_АСУ сравнить_040822 Profit_Tax_(portal)_debt reconciliation_10 11" xfId="2924" xr:uid="{00000000-0005-0000-0000-00003B0B0000}"/>
    <cellStyle name="_АСУ сравнить_040822 Profit_Tax_(portal)_EMTN accruals" xfId="2925" xr:uid="{00000000-0005-0000-0000-00003C0B0000}"/>
    <cellStyle name="_АСУ сравнить_040822 Profit_Tax_(portal)_report_LTD" xfId="2926" xr:uid="{00000000-0005-0000-0000-00003D0B0000}"/>
    <cellStyle name="_АСУ сравнить_040822 Profit_Tax_(portal)_schedule" xfId="2927" xr:uid="{00000000-0005-0000-0000-00003E0B0000}"/>
    <cellStyle name="_АСУ сравнить_040928 Profit_Tax_3Ax1Ax4" xfId="2928" xr:uid="{00000000-0005-0000-0000-00003F0B0000}"/>
    <cellStyle name="_АСУ сравнить_040928 Profit_Tax_3Ax1Ax4_debt reconciliation_10 11" xfId="2929" xr:uid="{00000000-0005-0000-0000-0000400B0000}"/>
    <cellStyle name="_АСУ сравнить_040928 Profit_Tax_3Ax1Ax4_EMTN accruals" xfId="2930" xr:uid="{00000000-0005-0000-0000-0000410B0000}"/>
    <cellStyle name="_АСУ сравнить_040928 Profit_Tax_3Ax1Ax4_report_LTD" xfId="2931" xr:uid="{00000000-0005-0000-0000-0000420B0000}"/>
    <cellStyle name="_АСУ сравнить_040928 Profit_Tax_3Ax1Ax4_schedule" xfId="2932" xr:uid="{00000000-0005-0000-0000-0000430B0000}"/>
    <cellStyle name="_АСУ сравнить_Tax Input 5yr plan" xfId="2933" xr:uid="{00000000-0005-0000-0000-0000440B0000}"/>
    <cellStyle name="_АСУ сравнить_Книга2" xfId="2934" xr:uid="{00000000-0005-0000-0000-0000450B0000}"/>
    <cellStyle name="_АСУ сравнить_Налог_на_прибыль" xfId="2935" xr:uid="{00000000-0005-0000-0000-0000460B0000}"/>
    <cellStyle name="_АСУ сравнить_Налог_на_прибыль_debt reconciliation_10 11" xfId="2936" xr:uid="{00000000-0005-0000-0000-0000470B0000}"/>
    <cellStyle name="_АСУ сравнить_Налог_на_прибыль_EMTN accruals" xfId="2937" xr:uid="{00000000-0005-0000-0000-0000480B0000}"/>
    <cellStyle name="_АСУ сравнить_Налог_на_прибыль_report_LTD" xfId="2938" xr:uid="{00000000-0005-0000-0000-0000490B0000}"/>
    <cellStyle name="_АСУ сравнить_Налог_на_прибыль_schedule" xfId="2939" xr:uid="{00000000-0005-0000-0000-00004A0B0000}"/>
    <cellStyle name="_Б.план 2003 г.изм.6, 26.09.02" xfId="2940" xr:uid="{00000000-0005-0000-0000-00004B0B0000}"/>
    <cellStyle name="_Б.план 2003 г.изм.6, 26.09.02_040822 Profit_Tax_(portal)" xfId="2941" xr:uid="{00000000-0005-0000-0000-00004C0B0000}"/>
    <cellStyle name="_Б.план 2003 г.изм.6, 26.09.02_040928 Profit_Tax_3Ax1Ax4" xfId="2942" xr:uid="{00000000-0005-0000-0000-00004D0B0000}"/>
    <cellStyle name="_Б.план 2003 г.изм.6, 26.09.02_Tax Input 5yr plan" xfId="2943" xr:uid="{00000000-0005-0000-0000-00004E0B0000}"/>
    <cellStyle name="_Б.план 2003 г.изм.6, 26.09.02_Книга2" xfId="2944" xr:uid="{00000000-0005-0000-0000-00004F0B0000}"/>
    <cellStyle name="_Б.план 2003 г.изм.6, 26.09.02_Налог_на_прибыль" xfId="2945" xr:uid="{00000000-0005-0000-0000-0000500B0000}"/>
    <cellStyle name="_ББК  5.08.02" xfId="2946" xr:uid="{00000000-0005-0000-0000-0000510B0000}"/>
    <cellStyle name="_ББК  5.08.02_040822 Profit_Tax_(portal)" xfId="2947" xr:uid="{00000000-0005-0000-0000-0000520B0000}"/>
    <cellStyle name="_ББК  5.08.02_040928 Profit_Tax_3Ax1Ax4" xfId="2948" xr:uid="{00000000-0005-0000-0000-0000530B0000}"/>
    <cellStyle name="_ББК  5.08.02_Tax Input 5yr plan" xfId="2949" xr:uid="{00000000-0005-0000-0000-0000540B0000}"/>
    <cellStyle name="_ББК  5.08.02_Книга2" xfId="2950" xr:uid="{00000000-0005-0000-0000-0000550B0000}"/>
    <cellStyle name="_ББК  5.08.02_Налог_на_прибыль" xfId="2951" xr:uid="{00000000-0005-0000-0000-0000560B0000}"/>
    <cellStyle name="_БИЗНЕС   2003" xfId="2952" xr:uid="{00000000-0005-0000-0000-0000570B0000}"/>
    <cellStyle name="_БИЗНЕС   2003_040822 Profit_Tax_(portal)" xfId="2953" xr:uid="{00000000-0005-0000-0000-0000580B0000}"/>
    <cellStyle name="_БИЗНЕС   2003_040928 Profit_Tax_3Ax1Ax4" xfId="2954" xr:uid="{00000000-0005-0000-0000-0000590B0000}"/>
    <cellStyle name="_БИЗНЕС   2003_Tax Input 5yr plan" xfId="2955" xr:uid="{00000000-0005-0000-0000-00005A0B0000}"/>
    <cellStyle name="_БИЗНЕС   2003_Книга2" xfId="2956" xr:uid="{00000000-0005-0000-0000-00005B0B0000}"/>
    <cellStyle name="_БИЗНЕС   2003_Налог_на_прибыль" xfId="2957" xr:uid="{00000000-0005-0000-0000-00005C0B0000}"/>
    <cellStyle name="_Бизнес план на 2003 годТеплонефть" xfId="2958" xr:uid="{00000000-0005-0000-0000-00005D0B0000}"/>
    <cellStyle name="_БП Пятилетка без%2" xfId="2959" xr:uid="{00000000-0005-0000-0000-00005E0B0000}"/>
    <cellStyle name="_БП слияние 2" xfId="2960" xr:uid="{00000000-0005-0000-0000-00005F0B0000}"/>
    <cellStyle name="_БП слияние 2 с выдел бонусов" xfId="2961" xr:uid="{00000000-0005-0000-0000-0000600B0000}"/>
    <cellStyle name="_БП2004_STL_v1.09.02" xfId="2962" xr:uid="{00000000-0005-0000-0000-0000610B0000}"/>
    <cellStyle name="_БП2004_STL_v1.09.02_040822 Profit_Tax_(portal)" xfId="2963" xr:uid="{00000000-0005-0000-0000-0000620B0000}"/>
    <cellStyle name="_БП2004_STL_v1.09.02_040928 Profit_Tax_3Ax1Ax4" xfId="2964" xr:uid="{00000000-0005-0000-0000-0000630B0000}"/>
    <cellStyle name="_БП2004_STL_v1.09.02_Tax Input 5yr plan" xfId="2965" xr:uid="{00000000-0005-0000-0000-0000640B0000}"/>
    <cellStyle name="_БП2004_STL_v1.09.02_Книга2" xfId="2966" xr:uid="{00000000-0005-0000-0000-0000650B0000}"/>
    <cellStyle name="_БП2004_STL_v1.09.02_Налог_на_прибыль" xfId="2967" xr:uid="{00000000-0005-0000-0000-0000660B0000}"/>
    <cellStyle name="_БП2004_STL_v1.10.01" xfId="2968" xr:uid="{00000000-0005-0000-0000-0000670B0000}"/>
    <cellStyle name="_БП2004_STL_v1.10.01_040822 Profit_Tax_(portal)" xfId="2969" xr:uid="{00000000-0005-0000-0000-0000680B0000}"/>
    <cellStyle name="_БП2004_STL_v1.10.01_040928 Profit_Tax_3Ax1Ax4" xfId="2970" xr:uid="{00000000-0005-0000-0000-0000690B0000}"/>
    <cellStyle name="_БП2004_STL_v1.10.01_Tax Input 5yr plan" xfId="2971" xr:uid="{00000000-0005-0000-0000-00006A0B0000}"/>
    <cellStyle name="_БП2004_STL_v1.10.01_Книга2" xfId="2972" xr:uid="{00000000-0005-0000-0000-00006B0B0000}"/>
    <cellStyle name="_БП2004_STL_v1.10.01_Налог_на_прибыль" xfId="2973" xr:uid="{00000000-0005-0000-0000-00006C0B0000}"/>
    <cellStyle name="_БП2004_STL_v1.17" xfId="2974" xr:uid="{00000000-0005-0000-0000-00006D0B0000}"/>
    <cellStyle name="_БП2004_STL_v1.17_040822 Profit_Tax_(portal)" xfId="2975" xr:uid="{00000000-0005-0000-0000-00006E0B0000}"/>
    <cellStyle name="_БП2004_STL_v1.17_040928 Profit_Tax_3Ax1Ax4" xfId="2976" xr:uid="{00000000-0005-0000-0000-00006F0B0000}"/>
    <cellStyle name="_БП2004_STL_v1.17_Tax Input 5yr plan" xfId="2977" xr:uid="{00000000-0005-0000-0000-0000700B0000}"/>
    <cellStyle name="_БП2004_STL_v1.17_Книга2" xfId="2978" xr:uid="{00000000-0005-0000-0000-0000710B0000}"/>
    <cellStyle name="_БП2004_STL_v1.17_Налог_на_прибыль" xfId="2979" xr:uid="{00000000-0005-0000-0000-0000720B0000}"/>
    <cellStyle name="_Бюджет" xfId="2980" xr:uid="{00000000-0005-0000-0000-0000730B0000}"/>
    <cellStyle name="_Бюджет РДФК  на 2004 (форма ТНК)" xfId="2981" xr:uid="{00000000-0005-0000-0000-0000740B0000}"/>
    <cellStyle name="_Бюджет службы супервайзеров ПКРС на 2004 год" xfId="2982" xr:uid="{00000000-0005-0000-0000-0000750B0000}"/>
    <cellStyle name="_Вариант 1 24.05.02 электр.наш" xfId="2983" xr:uid="{00000000-0005-0000-0000-0000760B0000}"/>
    <cellStyle name="_Вариант 1 24.05.02 электр.наш_040822 Profit_Tax_(portal)" xfId="2984" xr:uid="{00000000-0005-0000-0000-0000770B0000}"/>
    <cellStyle name="_Вариант 1 24.05.02 электр.наш_040928 Profit_Tax_3Ax1Ax4" xfId="2985" xr:uid="{00000000-0005-0000-0000-0000780B0000}"/>
    <cellStyle name="_Вариант 1 24.05.02 электр.наш_Tax Input 5yr plan" xfId="2986" xr:uid="{00000000-0005-0000-0000-0000790B0000}"/>
    <cellStyle name="_Вариант 1 24.05.02 электр.наш_Книга2" xfId="2987" xr:uid="{00000000-0005-0000-0000-00007A0B0000}"/>
    <cellStyle name="_Вариант 1 24.05.02 электр.наш_Налог_на_прибыль" xfId="2988" xr:uid="{00000000-0005-0000-0000-00007B0B0000}"/>
    <cellStyle name="_Годовой бюджет функциональных расходов КЦ" xfId="2989" xr:uid="{00000000-0005-0000-0000-00007C0B0000}"/>
    <cellStyle name="_годовой отчет  2001" xfId="2990" xr:uid="{00000000-0005-0000-0000-00007D0B0000}"/>
    <cellStyle name="_для_PPM_1вариант" xfId="2991" xr:uid="{00000000-0005-0000-0000-00007E0B0000}"/>
    <cellStyle name="_для_PPM_1вариант_040822 Profit_Tax_(portal)" xfId="2992" xr:uid="{00000000-0005-0000-0000-00007F0B0000}"/>
    <cellStyle name="_для_PPM_1вариант_040822 Profit_Tax_(portal)_debt reconciliation_10 11" xfId="2993" xr:uid="{00000000-0005-0000-0000-0000800B0000}"/>
    <cellStyle name="_для_PPM_1вариант_040822 Profit_Tax_(portal)_EMTN accruals" xfId="2994" xr:uid="{00000000-0005-0000-0000-0000810B0000}"/>
    <cellStyle name="_для_PPM_1вариант_040822 Profit_Tax_(portal)_report_LTD" xfId="2995" xr:uid="{00000000-0005-0000-0000-0000820B0000}"/>
    <cellStyle name="_для_PPM_1вариант_040822 Profit_Tax_(portal)_schedule" xfId="2996" xr:uid="{00000000-0005-0000-0000-0000830B0000}"/>
    <cellStyle name="_для_PPM_1вариант_040928 Profit_Tax_3Ax1Ax4" xfId="2997" xr:uid="{00000000-0005-0000-0000-0000840B0000}"/>
    <cellStyle name="_для_PPM_1вариант_040928 Profit_Tax_3Ax1Ax4_debt reconciliation_10 11" xfId="2998" xr:uid="{00000000-0005-0000-0000-0000850B0000}"/>
    <cellStyle name="_для_PPM_1вариант_040928 Profit_Tax_3Ax1Ax4_EMTN accruals" xfId="2999" xr:uid="{00000000-0005-0000-0000-0000860B0000}"/>
    <cellStyle name="_для_PPM_1вариант_040928 Profit_Tax_3Ax1Ax4_report_LTD" xfId="3000" xr:uid="{00000000-0005-0000-0000-0000870B0000}"/>
    <cellStyle name="_для_PPM_1вариант_040928 Profit_Tax_3Ax1Ax4_schedule" xfId="3001" xr:uid="{00000000-0005-0000-0000-0000880B0000}"/>
    <cellStyle name="_для_PPM_1вариант_Книга2" xfId="3002" xr:uid="{00000000-0005-0000-0000-0000890B0000}"/>
    <cellStyle name="_для_PPM_1вариант_Налог_на_прибыль" xfId="3003" xr:uid="{00000000-0005-0000-0000-00008A0B0000}"/>
    <cellStyle name="_для_PPM_1вариант_Налог_на_прибыль_debt reconciliation_10 11" xfId="3004" xr:uid="{00000000-0005-0000-0000-00008B0B0000}"/>
    <cellStyle name="_для_PPM_1вариант_Налог_на_прибыль_EMTN accruals" xfId="3005" xr:uid="{00000000-0005-0000-0000-00008C0B0000}"/>
    <cellStyle name="_для_PPM_1вариант_Налог_на_прибыль_report_LTD" xfId="3006" xr:uid="{00000000-0005-0000-0000-00008D0B0000}"/>
    <cellStyle name="_для_PPM_1вариант_Налог_на_прибыль_schedule" xfId="3007" xr:uid="{00000000-0005-0000-0000-00008E0B0000}"/>
    <cellStyle name="_для_PPM_21.09_базовый" xfId="3008" xr:uid="{00000000-0005-0000-0000-00008F0B0000}"/>
    <cellStyle name="_для_PPM_2вариант" xfId="3009" xr:uid="{00000000-0005-0000-0000-0000900B0000}"/>
    <cellStyle name="_Задолж-ть на 01.01.04 (факт)" xfId="3010" xr:uid="{00000000-0005-0000-0000-0000910B0000}"/>
    <cellStyle name="_Задолж-ть на 01.10.03 (факт)" xfId="3011" xr:uid="{00000000-0005-0000-0000-0000920B0000}"/>
    <cellStyle name="_Задолж-ть на 01.10.03 (факт)_040822 Profit_Tax_(portal)" xfId="3012" xr:uid="{00000000-0005-0000-0000-0000930B0000}"/>
    <cellStyle name="_Задолж-ть на 01.10.03 (факт)_040928 Profit_Tax_3Ax1Ax4" xfId="3013" xr:uid="{00000000-0005-0000-0000-0000940B0000}"/>
    <cellStyle name="_Задолж-ть на 01.10.03 (факт)_Книга2" xfId="3014" xr:uid="{00000000-0005-0000-0000-0000950B0000}"/>
    <cellStyle name="_Задолж-ть на 01.10.03 (факт)_Налог_на_прибыль" xfId="3015" xr:uid="{00000000-0005-0000-0000-0000960B0000}"/>
    <cellStyle name="_Запсиб 28 10 02" xfId="3016" xr:uid="{00000000-0005-0000-0000-0000970B0000}"/>
    <cellStyle name="_Ижевский филиал" xfId="3017" xr:uid="{00000000-0005-0000-0000-0000980B0000}"/>
    <cellStyle name="_Калуга 28 10 02" xfId="3018" xr:uid="{00000000-0005-0000-0000-0000990B0000}"/>
    <cellStyle name="_Капы с расшифровками" xfId="3019" xr:uid="{00000000-0005-0000-0000-00009A0B0000}"/>
    <cellStyle name="_Капы с расшифровками_040822 Profit_Tax_(portal)" xfId="3020" xr:uid="{00000000-0005-0000-0000-00009B0B0000}"/>
    <cellStyle name="_Капы с расшифровками_040928 Profit_Tax_3Ax1Ax4" xfId="3021" xr:uid="{00000000-0005-0000-0000-00009C0B0000}"/>
    <cellStyle name="_Капы с расшифровками_Tax Input 5yr plan" xfId="3022" xr:uid="{00000000-0005-0000-0000-00009D0B0000}"/>
    <cellStyle name="_Капы с расшифровками_Книга2" xfId="3023" xr:uid="{00000000-0005-0000-0000-00009E0B0000}"/>
    <cellStyle name="_Капы с расшифровками_Налог_на_прибыль" xfId="3024" xr:uid="{00000000-0005-0000-0000-00009F0B0000}"/>
    <cellStyle name="_Карелия 28 10 02 02" xfId="3025" xr:uid="{00000000-0005-0000-0000-0000A00B0000}"/>
    <cellStyle name="_Книга2" xfId="3026" xr:uid="{00000000-0005-0000-0000-0000A10B0000}"/>
    <cellStyle name="_Книга2_~0266644" xfId="3027" xr:uid="{00000000-0005-0000-0000-0000A20B0000}"/>
    <cellStyle name="_Книга2_~1870955" xfId="3028" xr:uid="{00000000-0005-0000-0000-0000A30B0000}"/>
    <cellStyle name="_Книга2_~2279557" xfId="3029" xr:uid="{00000000-0005-0000-0000-0000A40B0000}"/>
    <cellStyle name="_Книга2_~4298733" xfId="3030" xr:uid="{00000000-0005-0000-0000-0000A50B0000}"/>
    <cellStyle name="_Книга2_~6685267" xfId="3031" xr:uid="{00000000-0005-0000-0000-0000A60B0000}"/>
    <cellStyle name="_Книга2_~6755673" xfId="3032" xr:uid="{00000000-0005-0000-0000-0000A70B0000}"/>
    <cellStyle name="_Книга2_~9407028" xfId="3033" xr:uid="{00000000-0005-0000-0000-0000A80B0000}"/>
    <cellStyle name="_Книга2_~9578249" xfId="3034" xr:uid="{00000000-0005-0000-0000-0000A90B0000}"/>
    <cellStyle name="_Книга2_Cons plan 24.11.04_Financialisation_ОтФокиной" xfId="3035" xr:uid="{00000000-0005-0000-0000-0000AA0B0000}"/>
    <cellStyle name="_Книга2_Corporate&amp;Functons" xfId="3036" xr:uid="{00000000-0005-0000-0000-0000AB0B0000}"/>
    <cellStyle name="_Книга2_FebGFO CashFinance 03 03 2005e" xfId="3037" xr:uid="{00000000-0005-0000-0000-0000AC0B0000}"/>
    <cellStyle name="_Книга2_Finance GFO Zero_3" xfId="3038" xr:uid="{00000000-0005-0000-0000-0000AD0B0000}"/>
    <cellStyle name="_Книга2_Finance GFO Zero_5" xfId="3039" xr:uid="{00000000-0005-0000-0000-0000AE0B0000}"/>
    <cellStyle name="_Книга2_Finance_Mach15" xfId="3040" xr:uid="{00000000-0005-0000-0000-0000AF0B0000}"/>
    <cellStyle name="_Книга2_MET Calculation" xfId="3041" xr:uid="{00000000-0005-0000-0000-0000B00B0000}"/>
    <cellStyle name="_Книга2_Oct GFO Plan File OVWs vA" xfId="3042" xr:uid="{00000000-0005-0000-0000-0000B10B0000}"/>
    <cellStyle name="_Книга2_RUSIA" xfId="3043" xr:uid="{00000000-0005-0000-0000-0000B20B0000}"/>
    <cellStyle name="_Книга2_sales channels" xfId="3044" xr:uid="{00000000-0005-0000-0000-0000B30B0000}"/>
    <cellStyle name="_Книга3" xfId="3045" xr:uid="{00000000-0005-0000-0000-0000B40B0000}"/>
    <cellStyle name="_Книга3_~5055318" xfId="3046" xr:uid="{00000000-0005-0000-0000-0000B50B0000}"/>
    <cellStyle name="_Книга3_1" xfId="3047" xr:uid="{00000000-0005-0000-0000-0000B60B0000}"/>
    <cellStyle name="_Книга3_17_0" xfId="3048" xr:uid="{00000000-0005-0000-0000-0000B70B0000}"/>
    <cellStyle name="_Книга3_17_0_~5055318" xfId="3049" xr:uid="{00000000-0005-0000-0000-0000B80B0000}"/>
    <cellStyle name="_Книга3_17_0_1" xfId="3050" xr:uid="{00000000-0005-0000-0000-0000B90B0000}"/>
    <cellStyle name="_Книга3_17_0_1_~5055318" xfId="3051" xr:uid="{00000000-0005-0000-0000-0000BA0B0000}"/>
    <cellStyle name="_Книга3_balance" xfId="3052" xr:uid="{00000000-0005-0000-0000-0000BB0B0000}"/>
    <cellStyle name="_Книга3_balance_~5055318" xfId="3053" xr:uid="{00000000-0005-0000-0000-0000BC0B0000}"/>
    <cellStyle name="_Книга3_Capex-new" xfId="3054" xr:uid="{00000000-0005-0000-0000-0000BD0B0000}"/>
    <cellStyle name="_Книга3_Capex-new_~5055318" xfId="3055" xr:uid="{00000000-0005-0000-0000-0000BE0B0000}"/>
    <cellStyle name="_Книга3_Capex-new_DCF030925_vat" xfId="3056" xr:uid="{00000000-0005-0000-0000-0000BF0B0000}"/>
    <cellStyle name="_Книга3_Capex-new_DCF030925_vat_" xfId="3057" xr:uid="{00000000-0005-0000-0000-0000C00B0000}"/>
    <cellStyle name="_Книга3_Capex-new_DCFonly" xfId="3058" xr:uid="{00000000-0005-0000-0000-0000C10B0000}"/>
    <cellStyle name="_Книга3_DCF030925_vat" xfId="3059" xr:uid="{00000000-0005-0000-0000-0000C20B0000}"/>
    <cellStyle name="_Книга3_DCF030925_vat_" xfId="3060" xr:uid="{00000000-0005-0000-0000-0000C30B0000}"/>
    <cellStyle name="_Книга3_DCFonly" xfId="3061" xr:uid="{00000000-0005-0000-0000-0000C40B0000}"/>
    <cellStyle name="_Книга3_Financial Plan - final_2" xfId="3062" xr:uid="{00000000-0005-0000-0000-0000C50B0000}"/>
    <cellStyle name="_Книга3_Financial Plan - final_2_~5055318" xfId="3063" xr:uid="{00000000-0005-0000-0000-0000C60B0000}"/>
    <cellStyle name="_Книга3_Financial Plan - final_2_DCF030925_vat" xfId="3064" xr:uid="{00000000-0005-0000-0000-0000C70B0000}"/>
    <cellStyle name="_Книга3_Financial Plan - final_2_DCF030925_vat_" xfId="3065" xr:uid="{00000000-0005-0000-0000-0000C80B0000}"/>
    <cellStyle name="_Книга3_Financial Plan - final_2_DCFonly" xfId="3066" xr:uid="{00000000-0005-0000-0000-0000C90B0000}"/>
    <cellStyle name="_Книга3_Form 01(MB)" xfId="3067" xr:uid="{00000000-0005-0000-0000-0000CA0B0000}"/>
    <cellStyle name="_Книга3_Form 01(MB)_040822 Profit_Tax_(portal)" xfId="3068" xr:uid="{00000000-0005-0000-0000-0000CB0B0000}"/>
    <cellStyle name="_Книга3_Form 01(MB)_040928 Profit_Tax_3Ax1Ax4" xfId="3069" xr:uid="{00000000-0005-0000-0000-0000CC0B0000}"/>
    <cellStyle name="_Книга3_Form 01(MB)_Tax Input 5yr plan" xfId="3070" xr:uid="{00000000-0005-0000-0000-0000CD0B0000}"/>
    <cellStyle name="_Книга3_Form 01(MB)_Книга2" xfId="3071" xr:uid="{00000000-0005-0000-0000-0000CE0B0000}"/>
    <cellStyle name="_Книга3_Form 01(MB)_Налог_на_прибыль" xfId="3072" xr:uid="{00000000-0005-0000-0000-0000CF0B0000}"/>
    <cellStyle name="_Книга3_Links_NK" xfId="3073" xr:uid="{00000000-0005-0000-0000-0000D00B0000}"/>
    <cellStyle name="_Книга3_Links_NK_040822 Profit_Tax_(portal)" xfId="3074" xr:uid="{00000000-0005-0000-0000-0000D10B0000}"/>
    <cellStyle name="_Книга3_Links_NK_040928 Profit_Tax_3Ax1Ax4" xfId="3075" xr:uid="{00000000-0005-0000-0000-0000D20B0000}"/>
    <cellStyle name="_Книга3_Links_NK_Tax Input 5yr plan" xfId="3076" xr:uid="{00000000-0005-0000-0000-0000D30B0000}"/>
    <cellStyle name="_Книга3_Links_NK_Книга2" xfId="3077" xr:uid="{00000000-0005-0000-0000-0000D40B0000}"/>
    <cellStyle name="_Книга3_Links_NK_Налог_на_прибыль" xfId="3078" xr:uid="{00000000-0005-0000-0000-0000D50B0000}"/>
    <cellStyle name="_Книга3_N20_5" xfId="3079" xr:uid="{00000000-0005-0000-0000-0000D60B0000}"/>
    <cellStyle name="_Книга3_N20_5_~5055318" xfId="3080" xr:uid="{00000000-0005-0000-0000-0000D70B0000}"/>
    <cellStyle name="_Книга3_N20_5_DCF030925_vat" xfId="3081" xr:uid="{00000000-0005-0000-0000-0000D80B0000}"/>
    <cellStyle name="_Книга3_N20_5_DCF030925_vat_" xfId="3082" xr:uid="{00000000-0005-0000-0000-0000D90B0000}"/>
    <cellStyle name="_Книга3_N20_5_DCFonly" xfId="3083" xr:uid="{00000000-0005-0000-0000-0000DA0B0000}"/>
    <cellStyle name="_Книга3_N20_6" xfId="3084" xr:uid="{00000000-0005-0000-0000-0000DB0B0000}"/>
    <cellStyle name="_Книга3_N20_6_~5055318" xfId="3085" xr:uid="{00000000-0005-0000-0000-0000DC0B0000}"/>
    <cellStyle name="_Книга3_N20_6_DCF030925_vat" xfId="3086" xr:uid="{00000000-0005-0000-0000-0000DD0B0000}"/>
    <cellStyle name="_Книга3_N20_6_DCF030925_vat_" xfId="3087" xr:uid="{00000000-0005-0000-0000-0000DE0B0000}"/>
    <cellStyle name="_Книга3_N20_6_DCFonly" xfId="3088" xr:uid="{00000000-0005-0000-0000-0000DF0B0000}"/>
    <cellStyle name="_Книга3_New Form10_2" xfId="3089" xr:uid="{00000000-0005-0000-0000-0000E00B0000}"/>
    <cellStyle name="_Книга3_New Form10_2_~5055318" xfId="3090" xr:uid="{00000000-0005-0000-0000-0000E10B0000}"/>
    <cellStyle name="_Книга3_New Form10_2_DCF030925_vat" xfId="3091" xr:uid="{00000000-0005-0000-0000-0000E20B0000}"/>
    <cellStyle name="_Книга3_New Form10_2_DCF030925_vat_" xfId="3092" xr:uid="{00000000-0005-0000-0000-0000E30B0000}"/>
    <cellStyle name="_Книга3_New Form10_2_DCFonly" xfId="3093" xr:uid="{00000000-0005-0000-0000-0000E40B0000}"/>
    <cellStyle name="_Книга3_Nsi" xfId="3094" xr:uid="{00000000-0005-0000-0000-0000E50B0000}"/>
    <cellStyle name="_Книга3_Nsi - last version" xfId="3095" xr:uid="{00000000-0005-0000-0000-0000E60B0000}"/>
    <cellStyle name="_Книга3_Nsi - last version for programming" xfId="3096" xr:uid="{00000000-0005-0000-0000-0000E70B0000}"/>
    <cellStyle name="_Книга3_Nsi - last version for programming_~5055318" xfId="3097" xr:uid="{00000000-0005-0000-0000-0000E80B0000}"/>
    <cellStyle name="_Книга3_Nsi - last version for programming_DCF030925_vat" xfId="3098" xr:uid="{00000000-0005-0000-0000-0000E90B0000}"/>
    <cellStyle name="_Книга3_Nsi - last version for programming_DCF030925_vat_" xfId="3099" xr:uid="{00000000-0005-0000-0000-0000EA0B0000}"/>
    <cellStyle name="_Книга3_Nsi - last version for programming_DCFonly" xfId="3100" xr:uid="{00000000-0005-0000-0000-0000EB0B0000}"/>
    <cellStyle name="_Книга3_Nsi - last version_~5055318" xfId="3101" xr:uid="{00000000-0005-0000-0000-0000EC0B0000}"/>
    <cellStyle name="_Книга3_Nsi - last version_DCF030925_vat" xfId="3102" xr:uid="{00000000-0005-0000-0000-0000ED0B0000}"/>
    <cellStyle name="_Книга3_Nsi - last version_DCF030925_vat_" xfId="3103" xr:uid="{00000000-0005-0000-0000-0000EE0B0000}"/>
    <cellStyle name="_Книга3_Nsi - last version_DCFonly" xfId="3104" xr:uid="{00000000-0005-0000-0000-0000EF0B0000}"/>
    <cellStyle name="_Книга3_Nsi - next_last version" xfId="3105" xr:uid="{00000000-0005-0000-0000-0000F00B0000}"/>
    <cellStyle name="_Книга3_Nsi - next_last version_~5055318" xfId="3106" xr:uid="{00000000-0005-0000-0000-0000F10B0000}"/>
    <cellStyle name="_Книга3_Nsi - next_last version_DCF030925_vat" xfId="3107" xr:uid="{00000000-0005-0000-0000-0000F20B0000}"/>
    <cellStyle name="_Книга3_Nsi - next_last version_DCF030925_vat_" xfId="3108" xr:uid="{00000000-0005-0000-0000-0000F30B0000}"/>
    <cellStyle name="_Книга3_Nsi - next_last version_DCFonly" xfId="3109" xr:uid="{00000000-0005-0000-0000-0000F40B0000}"/>
    <cellStyle name="_Книга3_Nsi - plan - final" xfId="3110" xr:uid="{00000000-0005-0000-0000-0000F50B0000}"/>
    <cellStyle name="_Книга3_Nsi - plan - final_~5055318" xfId="3111" xr:uid="{00000000-0005-0000-0000-0000F60B0000}"/>
    <cellStyle name="_Книга3_Nsi - plan - final_DCF030925_vat" xfId="3112" xr:uid="{00000000-0005-0000-0000-0000F70B0000}"/>
    <cellStyle name="_Книга3_Nsi - plan - final_DCF030925_vat_" xfId="3113" xr:uid="{00000000-0005-0000-0000-0000F80B0000}"/>
    <cellStyle name="_Книга3_Nsi - plan - final_DCFonly" xfId="3114" xr:uid="{00000000-0005-0000-0000-0000F90B0000}"/>
    <cellStyle name="_Книга3_Nsi -super_ last version" xfId="3115" xr:uid="{00000000-0005-0000-0000-0000FA0B0000}"/>
    <cellStyle name="_Книга3_Nsi -super_ last version_~5055318" xfId="3116" xr:uid="{00000000-0005-0000-0000-0000FB0B0000}"/>
    <cellStyle name="_Книга3_Nsi -super_ last version_DCF030925_vat" xfId="3117" xr:uid="{00000000-0005-0000-0000-0000FC0B0000}"/>
    <cellStyle name="_Книга3_Nsi -super_ last version_DCF030925_vat_" xfId="3118" xr:uid="{00000000-0005-0000-0000-0000FD0B0000}"/>
    <cellStyle name="_Книга3_Nsi -super_ last version_DCFonly" xfId="3119" xr:uid="{00000000-0005-0000-0000-0000FE0B0000}"/>
    <cellStyle name="_Книга3_Nsi(2)" xfId="3120" xr:uid="{00000000-0005-0000-0000-0000FF0B0000}"/>
    <cellStyle name="_Книга3_Nsi(2)_040822 Profit_Tax_(portal)" xfId="3121" xr:uid="{00000000-0005-0000-0000-0000000C0000}"/>
    <cellStyle name="_Книга3_Nsi(2)_040928 Profit_Tax_3Ax1Ax4" xfId="3122" xr:uid="{00000000-0005-0000-0000-0000010C0000}"/>
    <cellStyle name="_Книга3_Nsi(2)_Tax Input 5yr plan" xfId="3123" xr:uid="{00000000-0005-0000-0000-0000020C0000}"/>
    <cellStyle name="_Книга3_Nsi(2)_Книга2" xfId="3124" xr:uid="{00000000-0005-0000-0000-0000030C0000}"/>
    <cellStyle name="_Книга3_Nsi(2)_Налог_на_прибыль" xfId="3125" xr:uid="{00000000-0005-0000-0000-0000040C0000}"/>
    <cellStyle name="_Книга3_Nsi_~5055318" xfId="3126" xr:uid="{00000000-0005-0000-0000-0000050C0000}"/>
    <cellStyle name="_Книга3_Nsi_1" xfId="3127" xr:uid="{00000000-0005-0000-0000-0000060C0000}"/>
    <cellStyle name="_Книга3_Nsi_1_~5055318" xfId="3128" xr:uid="{00000000-0005-0000-0000-0000070C0000}"/>
    <cellStyle name="_Книга3_Nsi_1_DCF030925_vat" xfId="3129" xr:uid="{00000000-0005-0000-0000-0000080C0000}"/>
    <cellStyle name="_Книга3_Nsi_1_DCF030925_vat_" xfId="3130" xr:uid="{00000000-0005-0000-0000-0000090C0000}"/>
    <cellStyle name="_Книга3_Nsi_1_DCFonly" xfId="3131" xr:uid="{00000000-0005-0000-0000-00000A0C0000}"/>
    <cellStyle name="_Книга3_Nsi_139" xfId="3132" xr:uid="{00000000-0005-0000-0000-00000B0C0000}"/>
    <cellStyle name="_Книга3_Nsi_139_~5055318" xfId="3133" xr:uid="{00000000-0005-0000-0000-00000C0C0000}"/>
    <cellStyle name="_Книга3_Nsi_139_DCF030925_vat" xfId="3134" xr:uid="{00000000-0005-0000-0000-00000D0C0000}"/>
    <cellStyle name="_Книга3_Nsi_139_DCF030925_vat_" xfId="3135" xr:uid="{00000000-0005-0000-0000-00000E0C0000}"/>
    <cellStyle name="_Книга3_Nsi_139_DCFonly" xfId="3136" xr:uid="{00000000-0005-0000-0000-00000F0C0000}"/>
    <cellStyle name="_Книга3_Nsi_140" xfId="3137" xr:uid="{00000000-0005-0000-0000-0000100C0000}"/>
    <cellStyle name="_Книга3_Nsi_140(Зах)" xfId="3138" xr:uid="{00000000-0005-0000-0000-0000110C0000}"/>
    <cellStyle name="_Книга3_Nsi_140(Зах)_~5055318" xfId="3139" xr:uid="{00000000-0005-0000-0000-0000120C0000}"/>
    <cellStyle name="_Книга3_Nsi_140(Зах)_DCF030925_vat" xfId="3140" xr:uid="{00000000-0005-0000-0000-0000130C0000}"/>
    <cellStyle name="_Книга3_Nsi_140(Зах)_DCF030925_vat_" xfId="3141" xr:uid="{00000000-0005-0000-0000-0000140C0000}"/>
    <cellStyle name="_Книга3_Nsi_140(Зах)_DCFonly" xfId="3142" xr:uid="{00000000-0005-0000-0000-0000150C0000}"/>
    <cellStyle name="_Книга3_Nsi_140_~5055318" xfId="3143" xr:uid="{00000000-0005-0000-0000-0000160C0000}"/>
    <cellStyle name="_Книга3_Nsi_140_DCF030925_vat" xfId="3144" xr:uid="{00000000-0005-0000-0000-0000170C0000}"/>
    <cellStyle name="_Книга3_Nsi_140_DCF030925_vat_" xfId="3145" xr:uid="{00000000-0005-0000-0000-0000180C0000}"/>
    <cellStyle name="_Книга3_Nsi_140_DCFonly" xfId="3146" xr:uid="{00000000-0005-0000-0000-0000190C0000}"/>
    <cellStyle name="_Книга3_Nsi_140_mod" xfId="3147" xr:uid="{00000000-0005-0000-0000-00001A0C0000}"/>
    <cellStyle name="_Книга3_Nsi_140_mod_~5055318" xfId="3148" xr:uid="{00000000-0005-0000-0000-00001B0C0000}"/>
    <cellStyle name="_Книга3_Nsi_140_mod_DCF030925_vat" xfId="3149" xr:uid="{00000000-0005-0000-0000-00001C0C0000}"/>
    <cellStyle name="_Книга3_Nsi_140_mod_DCF030925_vat_" xfId="3150" xr:uid="{00000000-0005-0000-0000-00001D0C0000}"/>
    <cellStyle name="_Книга3_Nsi_140_mod_DCFonly" xfId="3151" xr:uid="{00000000-0005-0000-0000-00001E0C0000}"/>
    <cellStyle name="_Книга3_Nsi_158" xfId="3152" xr:uid="{00000000-0005-0000-0000-00001F0C0000}"/>
    <cellStyle name="_Книга3_Nsi_158_040822 Profit_Tax_(portal)" xfId="3153" xr:uid="{00000000-0005-0000-0000-0000200C0000}"/>
    <cellStyle name="_Книга3_Nsi_158_040928 Profit_Tax_3Ax1Ax4" xfId="3154" xr:uid="{00000000-0005-0000-0000-0000210C0000}"/>
    <cellStyle name="_Книга3_Nsi_158_Tax Input 5yr plan" xfId="3155" xr:uid="{00000000-0005-0000-0000-0000220C0000}"/>
    <cellStyle name="_Книга3_Nsi_158_Книга2" xfId="3156" xr:uid="{00000000-0005-0000-0000-0000230C0000}"/>
    <cellStyle name="_Книга3_Nsi_158_Налог_на_прибыль" xfId="3157" xr:uid="{00000000-0005-0000-0000-0000240C0000}"/>
    <cellStyle name="_Книга3_Nsi_DCF030925_vat" xfId="3158" xr:uid="{00000000-0005-0000-0000-0000250C0000}"/>
    <cellStyle name="_Книга3_Nsi_DCF030925_vat_" xfId="3159" xr:uid="{00000000-0005-0000-0000-0000260C0000}"/>
    <cellStyle name="_Книга3_Nsi_DCFonly" xfId="3160" xr:uid="{00000000-0005-0000-0000-0000270C0000}"/>
    <cellStyle name="_Книга3_Nsi_Express" xfId="3161" xr:uid="{00000000-0005-0000-0000-0000280C0000}"/>
    <cellStyle name="_Книга3_Nsi_Express_040822 Profit_Tax_(portal)" xfId="3162" xr:uid="{00000000-0005-0000-0000-0000290C0000}"/>
    <cellStyle name="_Книга3_Nsi_Express_040928 Profit_Tax_3Ax1Ax4" xfId="3163" xr:uid="{00000000-0005-0000-0000-00002A0C0000}"/>
    <cellStyle name="_Книга3_Nsi_Express_Tax Input 5yr plan" xfId="3164" xr:uid="{00000000-0005-0000-0000-00002B0C0000}"/>
    <cellStyle name="_Книга3_Nsi_Express_Книга2" xfId="3165" xr:uid="{00000000-0005-0000-0000-00002C0C0000}"/>
    <cellStyle name="_Книга3_Nsi_Express_Налог_на_прибыль" xfId="3166" xr:uid="{00000000-0005-0000-0000-00002D0C0000}"/>
    <cellStyle name="_Книга3_Nsi_Jan1" xfId="3167" xr:uid="{00000000-0005-0000-0000-00002E0C0000}"/>
    <cellStyle name="_Книга3_Nsi_Jan1_~5055318" xfId="3168" xr:uid="{00000000-0005-0000-0000-00002F0C0000}"/>
    <cellStyle name="_Книга3_Nsi_Jan1_DCF030925_vat" xfId="3169" xr:uid="{00000000-0005-0000-0000-0000300C0000}"/>
    <cellStyle name="_Книга3_Nsi_Jan1_DCF030925_vat_" xfId="3170" xr:uid="{00000000-0005-0000-0000-0000310C0000}"/>
    <cellStyle name="_Книга3_Nsi_Jan1_DCFonly" xfId="3171" xr:uid="{00000000-0005-0000-0000-0000320C0000}"/>
    <cellStyle name="_Книга3_Nsi_test" xfId="3172" xr:uid="{00000000-0005-0000-0000-0000330C0000}"/>
    <cellStyle name="_Книга3_Nsi_test_040822 Profit_Tax_(portal)" xfId="3173" xr:uid="{00000000-0005-0000-0000-0000340C0000}"/>
    <cellStyle name="_Книга3_Nsi_test_040928 Profit_Tax_3Ax1Ax4" xfId="3174" xr:uid="{00000000-0005-0000-0000-0000350C0000}"/>
    <cellStyle name="_Книга3_Nsi_test_Tax Input 5yr plan" xfId="3175" xr:uid="{00000000-0005-0000-0000-0000360C0000}"/>
    <cellStyle name="_Книга3_Nsi_test_Книга2" xfId="3176" xr:uid="{00000000-0005-0000-0000-0000370C0000}"/>
    <cellStyle name="_Книга3_Nsi_test_Налог_на_прибыль" xfId="3177" xr:uid="{00000000-0005-0000-0000-0000380C0000}"/>
    <cellStyle name="_Книга3_Nsi2" xfId="3178" xr:uid="{00000000-0005-0000-0000-0000390C0000}"/>
    <cellStyle name="_Книга3_Nsi2_~5055318" xfId="3179" xr:uid="{00000000-0005-0000-0000-00003A0C0000}"/>
    <cellStyle name="_Книга3_Nsi2_DCF030925_vat" xfId="3180" xr:uid="{00000000-0005-0000-0000-00003B0C0000}"/>
    <cellStyle name="_Книга3_Nsi2_DCF030925_vat_" xfId="3181" xr:uid="{00000000-0005-0000-0000-00003C0C0000}"/>
    <cellStyle name="_Книга3_Nsi2_DCFonly" xfId="3182" xr:uid="{00000000-0005-0000-0000-00003D0C0000}"/>
    <cellStyle name="_Книга3_Nsi-Services" xfId="3183" xr:uid="{00000000-0005-0000-0000-00003E0C0000}"/>
    <cellStyle name="_Книга3_Nsi-Services_040822 Profit_Tax_(portal)" xfId="3184" xr:uid="{00000000-0005-0000-0000-00003F0C0000}"/>
    <cellStyle name="_Книга3_Nsi-Services_040928 Profit_Tax_3Ax1Ax4" xfId="3185" xr:uid="{00000000-0005-0000-0000-0000400C0000}"/>
    <cellStyle name="_Книга3_Nsi-Services_Tax Input 5yr plan" xfId="3186" xr:uid="{00000000-0005-0000-0000-0000410C0000}"/>
    <cellStyle name="_Книга3_Nsi-Services_Книга2" xfId="3187" xr:uid="{00000000-0005-0000-0000-0000420C0000}"/>
    <cellStyle name="_Книга3_Nsi-Services_Налог_на_прибыль" xfId="3188" xr:uid="{00000000-0005-0000-0000-0000430C0000}"/>
    <cellStyle name="_Книга3_P&amp;L" xfId="3189" xr:uid="{00000000-0005-0000-0000-0000440C0000}"/>
    <cellStyle name="_Книга3_P&amp;L_~5055318" xfId="3190" xr:uid="{00000000-0005-0000-0000-0000450C0000}"/>
    <cellStyle name="_Книга3_P&amp;L_DCF030925_vat" xfId="3191" xr:uid="{00000000-0005-0000-0000-0000460C0000}"/>
    <cellStyle name="_Книга3_P&amp;L_DCF030925_vat_" xfId="3192" xr:uid="{00000000-0005-0000-0000-0000470C0000}"/>
    <cellStyle name="_Книга3_P&amp;L_DCFonly" xfId="3193" xr:uid="{00000000-0005-0000-0000-0000480C0000}"/>
    <cellStyle name="_Книга3_S0400" xfId="3194" xr:uid="{00000000-0005-0000-0000-0000490C0000}"/>
    <cellStyle name="_Книга3_S0400_040822 Profit_Tax_(portal)" xfId="3195" xr:uid="{00000000-0005-0000-0000-00004A0C0000}"/>
    <cellStyle name="_Книга3_S0400_040928 Profit_Tax_3Ax1Ax4" xfId="3196" xr:uid="{00000000-0005-0000-0000-00004B0C0000}"/>
    <cellStyle name="_Книга3_S0400_Tax Input 5yr plan" xfId="3197" xr:uid="{00000000-0005-0000-0000-00004C0C0000}"/>
    <cellStyle name="_Книга3_S0400_Книга2" xfId="3198" xr:uid="{00000000-0005-0000-0000-00004D0C0000}"/>
    <cellStyle name="_Книга3_S0400_Налог_на_прибыль" xfId="3199" xr:uid="{00000000-0005-0000-0000-00004E0C0000}"/>
    <cellStyle name="_Книга3_S13001" xfId="3200" xr:uid="{00000000-0005-0000-0000-00004F0C0000}"/>
    <cellStyle name="_Книга3_S13001_040822 Profit_Tax_(portal)" xfId="3201" xr:uid="{00000000-0005-0000-0000-0000500C0000}"/>
    <cellStyle name="_Книга3_S13001_040928 Profit_Tax_3Ax1Ax4" xfId="3202" xr:uid="{00000000-0005-0000-0000-0000510C0000}"/>
    <cellStyle name="_Книга3_S13001_Tax Input 5yr plan" xfId="3203" xr:uid="{00000000-0005-0000-0000-0000520C0000}"/>
    <cellStyle name="_Книга3_S13001_Книга2" xfId="3204" xr:uid="{00000000-0005-0000-0000-0000530C0000}"/>
    <cellStyle name="_Книга3_S13001_Налог_на_прибыль" xfId="3205" xr:uid="{00000000-0005-0000-0000-0000540C0000}"/>
    <cellStyle name="_Книга3_Sheet1" xfId="3206" xr:uid="{00000000-0005-0000-0000-0000550C0000}"/>
    <cellStyle name="_Книга3_Sheet1_~5055318" xfId="3207" xr:uid="{00000000-0005-0000-0000-0000560C0000}"/>
    <cellStyle name="_Книга3_Sheet1_DCF030925_vat" xfId="3208" xr:uid="{00000000-0005-0000-0000-0000570C0000}"/>
    <cellStyle name="_Книга3_Sheet1_DCF030925_vat_" xfId="3209" xr:uid="{00000000-0005-0000-0000-0000580C0000}"/>
    <cellStyle name="_Книга3_Sheet1_DCFonly" xfId="3210" xr:uid="{00000000-0005-0000-0000-0000590C0000}"/>
    <cellStyle name="_Книга3_SOFI" xfId="3211" xr:uid="{00000000-0005-0000-0000-00005A0C0000}"/>
    <cellStyle name="_Книга3_sofi - plan_AP270202ii" xfId="3212" xr:uid="{00000000-0005-0000-0000-00005B0C0000}"/>
    <cellStyle name="_Книга3_sofi - plan_AP270202ii_~5055318" xfId="3213" xr:uid="{00000000-0005-0000-0000-00005C0C0000}"/>
    <cellStyle name="_Книга3_sofi - plan_AP270202ii_DCF030925_vat" xfId="3214" xr:uid="{00000000-0005-0000-0000-00005D0C0000}"/>
    <cellStyle name="_Книга3_sofi - plan_AP270202ii_DCF030925_vat_" xfId="3215" xr:uid="{00000000-0005-0000-0000-00005E0C0000}"/>
    <cellStyle name="_Книга3_sofi - plan_AP270202ii_DCFonly" xfId="3216" xr:uid="{00000000-0005-0000-0000-00005F0C0000}"/>
    <cellStyle name="_Книга3_sofi - plan_AP270202iii" xfId="3217" xr:uid="{00000000-0005-0000-0000-0000600C0000}"/>
    <cellStyle name="_Книга3_sofi - plan_AP270202iii_~5055318" xfId="3218" xr:uid="{00000000-0005-0000-0000-0000610C0000}"/>
    <cellStyle name="_Книга3_sofi - plan_AP270202iii_DCF030925_vat" xfId="3219" xr:uid="{00000000-0005-0000-0000-0000620C0000}"/>
    <cellStyle name="_Книга3_sofi - plan_AP270202iii_DCF030925_vat_" xfId="3220" xr:uid="{00000000-0005-0000-0000-0000630C0000}"/>
    <cellStyle name="_Книга3_sofi - plan_AP270202iii_DCFonly" xfId="3221" xr:uid="{00000000-0005-0000-0000-0000640C0000}"/>
    <cellStyle name="_Книга3_sofi - plan_AP270202iv" xfId="3222" xr:uid="{00000000-0005-0000-0000-0000650C0000}"/>
    <cellStyle name="_Книга3_sofi - plan_AP270202iv_~5055318" xfId="3223" xr:uid="{00000000-0005-0000-0000-0000660C0000}"/>
    <cellStyle name="_Книга3_sofi - plan_AP270202iv_DCF030925_vat" xfId="3224" xr:uid="{00000000-0005-0000-0000-0000670C0000}"/>
    <cellStyle name="_Книга3_sofi - plan_AP270202iv_DCF030925_vat_" xfId="3225" xr:uid="{00000000-0005-0000-0000-0000680C0000}"/>
    <cellStyle name="_Книга3_sofi - plan_AP270202iv_DCFonly" xfId="3226" xr:uid="{00000000-0005-0000-0000-0000690C0000}"/>
    <cellStyle name="_Книга3_Sofi vs Sobi" xfId="3227" xr:uid="{00000000-0005-0000-0000-00006A0C0000}"/>
    <cellStyle name="_Книга3_Sofi vs Sobi_~5055318" xfId="3228" xr:uid="{00000000-0005-0000-0000-00006B0C0000}"/>
    <cellStyle name="_Книга3_Sofi vs Sobi_DCF030925_vat" xfId="3229" xr:uid="{00000000-0005-0000-0000-00006C0C0000}"/>
    <cellStyle name="_Книга3_Sofi vs Sobi_DCF030925_vat_" xfId="3230" xr:uid="{00000000-0005-0000-0000-00006D0C0000}"/>
    <cellStyle name="_Книга3_Sofi vs Sobi_DCFonly" xfId="3231" xr:uid="{00000000-0005-0000-0000-00006E0C0000}"/>
    <cellStyle name="_Книга3_SOFI_~5055318" xfId="3232" xr:uid="{00000000-0005-0000-0000-00006F0C0000}"/>
    <cellStyle name="_Книга3_Sofi_PBD 27-11-01" xfId="3233" xr:uid="{00000000-0005-0000-0000-0000700C0000}"/>
    <cellStyle name="_Книга3_Sofi_PBD 27-11-01_~5055318" xfId="3234" xr:uid="{00000000-0005-0000-0000-0000710C0000}"/>
    <cellStyle name="_Книга3_Sofi_PBD 27-11-01_DCF030925_vat" xfId="3235" xr:uid="{00000000-0005-0000-0000-0000720C0000}"/>
    <cellStyle name="_Книга3_Sofi_PBD 27-11-01_DCF030925_vat_" xfId="3236" xr:uid="{00000000-0005-0000-0000-0000730C0000}"/>
    <cellStyle name="_Книга3_Sofi_PBD 27-11-01_DCFonly" xfId="3237" xr:uid="{00000000-0005-0000-0000-0000740C0000}"/>
    <cellStyle name="_Книга3_SOFI_TEPs_AOK_130902" xfId="3238" xr:uid="{00000000-0005-0000-0000-0000750C0000}"/>
    <cellStyle name="_Книга3_SOFI_TEPs_AOK_130902_040822 Profit_Tax_(portal)" xfId="3239" xr:uid="{00000000-0005-0000-0000-0000760C0000}"/>
    <cellStyle name="_Книга3_SOFI_TEPs_AOK_130902_040928 Profit_Tax_3Ax1Ax4" xfId="3240" xr:uid="{00000000-0005-0000-0000-0000770C0000}"/>
    <cellStyle name="_Книга3_SOFI_TEPs_AOK_130902_Tax Input 5yr plan" xfId="3241" xr:uid="{00000000-0005-0000-0000-0000780C0000}"/>
    <cellStyle name="_Книга3_SOFI_TEPs_AOK_130902_Книга2" xfId="3242" xr:uid="{00000000-0005-0000-0000-0000790C0000}"/>
    <cellStyle name="_Книга3_SOFI_TEPs_AOK_130902_Налог_на_прибыль" xfId="3243" xr:uid="{00000000-0005-0000-0000-00007A0C0000}"/>
    <cellStyle name="_Книга3_Sofi145a" xfId="3244" xr:uid="{00000000-0005-0000-0000-00007B0C0000}"/>
    <cellStyle name="_Книга3_Sofi145a_~5055318" xfId="3245" xr:uid="{00000000-0005-0000-0000-00007C0C0000}"/>
    <cellStyle name="_Книга3_Sofi145a_DCF030925_vat" xfId="3246" xr:uid="{00000000-0005-0000-0000-00007D0C0000}"/>
    <cellStyle name="_Книга3_Sofi145a_DCF030925_vat_" xfId="3247" xr:uid="{00000000-0005-0000-0000-00007E0C0000}"/>
    <cellStyle name="_Книга3_Sofi145a_DCFonly" xfId="3248" xr:uid="{00000000-0005-0000-0000-00007F0C0000}"/>
    <cellStyle name="_Книга3_Sofi153" xfId="3249" xr:uid="{00000000-0005-0000-0000-0000800C0000}"/>
    <cellStyle name="_Книга3_Sofi153_~5055318" xfId="3250" xr:uid="{00000000-0005-0000-0000-0000810C0000}"/>
    <cellStyle name="_Книга3_Sofi153_DCF030925_vat" xfId="3251" xr:uid="{00000000-0005-0000-0000-0000820C0000}"/>
    <cellStyle name="_Книга3_Sofi153_DCF030925_vat_" xfId="3252" xr:uid="{00000000-0005-0000-0000-0000830C0000}"/>
    <cellStyle name="_Книга3_Sofi153_DCFonly" xfId="3253" xr:uid="{00000000-0005-0000-0000-0000840C0000}"/>
    <cellStyle name="_Книга3_Summary" xfId="3254" xr:uid="{00000000-0005-0000-0000-0000850C0000}"/>
    <cellStyle name="_Книга3_Summary_~5055318" xfId="3255" xr:uid="{00000000-0005-0000-0000-0000860C0000}"/>
    <cellStyle name="_Книга3_Summary_DCF030925_vat" xfId="3256" xr:uid="{00000000-0005-0000-0000-0000870C0000}"/>
    <cellStyle name="_Книга3_Summary_DCF030925_vat_" xfId="3257" xr:uid="{00000000-0005-0000-0000-0000880C0000}"/>
    <cellStyle name="_Книга3_Summary_DCFonly" xfId="3258" xr:uid="{00000000-0005-0000-0000-0000890C0000}"/>
    <cellStyle name="_Книга3_SXXXX_Express_c Links" xfId="3259" xr:uid="{00000000-0005-0000-0000-00008A0C0000}"/>
    <cellStyle name="_Книга3_SXXXX_Express_c Links_040822 Profit_Tax_(portal)" xfId="3260" xr:uid="{00000000-0005-0000-0000-00008B0C0000}"/>
    <cellStyle name="_Книга3_SXXXX_Express_c Links_040928 Profit_Tax_3Ax1Ax4" xfId="3261" xr:uid="{00000000-0005-0000-0000-00008C0C0000}"/>
    <cellStyle name="_Книга3_SXXXX_Express_c Links_Tax Input 5yr plan" xfId="3262" xr:uid="{00000000-0005-0000-0000-00008D0C0000}"/>
    <cellStyle name="_Книга3_SXXXX_Express_c Links_Книга2" xfId="3263" xr:uid="{00000000-0005-0000-0000-00008E0C0000}"/>
    <cellStyle name="_Книга3_SXXXX_Express_c Links_Налог_на_прибыль" xfId="3264" xr:uid="{00000000-0005-0000-0000-00008F0C0000}"/>
    <cellStyle name="_Книга3_Tax_form_1кв_3" xfId="3265" xr:uid="{00000000-0005-0000-0000-0000900C0000}"/>
    <cellStyle name="_Книга3_Tax_form_1кв_3_~5055318" xfId="3266" xr:uid="{00000000-0005-0000-0000-0000910C0000}"/>
    <cellStyle name="_Книга3_Tax_form_1кв_3_DCF030925_vat" xfId="3267" xr:uid="{00000000-0005-0000-0000-0000920C0000}"/>
    <cellStyle name="_Книга3_Tax_form_1кв_3_DCF030925_vat_" xfId="3268" xr:uid="{00000000-0005-0000-0000-0000930C0000}"/>
    <cellStyle name="_Книга3_Tax_form_1кв_3_DCFonly" xfId="3269" xr:uid="{00000000-0005-0000-0000-0000940C0000}"/>
    <cellStyle name="_Книга3_test_11" xfId="3270" xr:uid="{00000000-0005-0000-0000-0000950C0000}"/>
    <cellStyle name="_Книга3_test_11_~5055318" xfId="3271" xr:uid="{00000000-0005-0000-0000-0000960C0000}"/>
    <cellStyle name="_Книга3_test_11_DCF030925_vat" xfId="3272" xr:uid="{00000000-0005-0000-0000-0000970C0000}"/>
    <cellStyle name="_Книга3_test_11_DCF030925_vat_" xfId="3273" xr:uid="{00000000-0005-0000-0000-0000980C0000}"/>
    <cellStyle name="_Книга3_test_11_DCFonly" xfId="3274" xr:uid="{00000000-0005-0000-0000-0000990C0000}"/>
    <cellStyle name="_Книга3_БКЭ" xfId="3275" xr:uid="{00000000-0005-0000-0000-00009A0C0000}"/>
    <cellStyle name="_Книга3_БКЭ_~5055318" xfId="3276" xr:uid="{00000000-0005-0000-0000-00009B0C0000}"/>
    <cellStyle name="_Книга3_БКЭ_DCF030925_vat" xfId="3277" xr:uid="{00000000-0005-0000-0000-00009C0C0000}"/>
    <cellStyle name="_Книга3_БКЭ_DCF030925_vat_" xfId="3278" xr:uid="{00000000-0005-0000-0000-00009D0C0000}"/>
    <cellStyle name="_Книга3_БКЭ_DCFonly" xfId="3279" xr:uid="{00000000-0005-0000-0000-00009E0C0000}"/>
    <cellStyle name="_Книга3_для вставки в пакет за 2001" xfId="3280" xr:uid="{00000000-0005-0000-0000-00009F0C0000}"/>
    <cellStyle name="_Книга3_для вставки в пакет за 2001_~5055318" xfId="3281" xr:uid="{00000000-0005-0000-0000-0000A00C0000}"/>
    <cellStyle name="_Книга3_для вставки в пакет за 2001_DCF030925_vat" xfId="3282" xr:uid="{00000000-0005-0000-0000-0000A10C0000}"/>
    <cellStyle name="_Книга3_для вставки в пакет за 2001_DCF030925_vat_" xfId="3283" xr:uid="{00000000-0005-0000-0000-0000A20C0000}"/>
    <cellStyle name="_Книга3_для вставки в пакет за 2001_DCFonly" xfId="3284" xr:uid="{00000000-0005-0000-0000-0000A30C0000}"/>
    <cellStyle name="_Книга3_дляГалиныВ" xfId="3285" xr:uid="{00000000-0005-0000-0000-0000A40C0000}"/>
    <cellStyle name="_Книга3_дляГалиныВ_040822 Profit_Tax_(portal)" xfId="3286" xr:uid="{00000000-0005-0000-0000-0000A50C0000}"/>
    <cellStyle name="_Книга3_дляГалиныВ_040928 Profit_Tax_3Ax1Ax4" xfId="3287" xr:uid="{00000000-0005-0000-0000-0000A60C0000}"/>
    <cellStyle name="_Книга3_дляГалиныВ_Tax Input 5yr plan" xfId="3288" xr:uid="{00000000-0005-0000-0000-0000A70C0000}"/>
    <cellStyle name="_Книга3_дляГалиныВ_Книга2" xfId="3289" xr:uid="{00000000-0005-0000-0000-0000A80C0000}"/>
    <cellStyle name="_Книга3_дляГалиныВ_Налог_на_прибыль" xfId="3290" xr:uid="{00000000-0005-0000-0000-0000A90C0000}"/>
    <cellStyle name="_Книга3_Книга7" xfId="3291" xr:uid="{00000000-0005-0000-0000-0000AA0C0000}"/>
    <cellStyle name="_Книга3_Книга7_~5055318" xfId="3292" xr:uid="{00000000-0005-0000-0000-0000AB0C0000}"/>
    <cellStyle name="_Книга3_Книга7_DCF030925_vat" xfId="3293" xr:uid="{00000000-0005-0000-0000-0000AC0C0000}"/>
    <cellStyle name="_Книга3_Книга7_DCF030925_vat_" xfId="3294" xr:uid="{00000000-0005-0000-0000-0000AD0C0000}"/>
    <cellStyle name="_Книга3_Книга7_DCFonly" xfId="3295" xr:uid="{00000000-0005-0000-0000-0000AE0C0000}"/>
    <cellStyle name="_Книга3_Лист1" xfId="3296" xr:uid="{00000000-0005-0000-0000-0000AF0C0000}"/>
    <cellStyle name="_Книга3_Лист1_040822 Profit_Tax_(portal)" xfId="3297" xr:uid="{00000000-0005-0000-0000-0000B00C0000}"/>
    <cellStyle name="_Книга3_Лист1_040928 Profit_Tax_3Ax1Ax4" xfId="3298" xr:uid="{00000000-0005-0000-0000-0000B10C0000}"/>
    <cellStyle name="_Книга3_Лист1_Tax Input 5yr plan" xfId="3299" xr:uid="{00000000-0005-0000-0000-0000B20C0000}"/>
    <cellStyle name="_Книга3_Лист1_Книга2" xfId="3300" xr:uid="{00000000-0005-0000-0000-0000B30C0000}"/>
    <cellStyle name="_Книга3_Лист1_Налог_на_прибыль" xfId="3301" xr:uid="{00000000-0005-0000-0000-0000B40C0000}"/>
    <cellStyle name="_Книга3_ОСН. ДЕЯТ." xfId="3302" xr:uid="{00000000-0005-0000-0000-0000B50C0000}"/>
    <cellStyle name="_Книга3_ОСН. ДЕЯТ._~5055318" xfId="3303" xr:uid="{00000000-0005-0000-0000-0000B60C0000}"/>
    <cellStyle name="_Книга3_ОСН. ДЕЯТ._DCF030925_vat" xfId="3304" xr:uid="{00000000-0005-0000-0000-0000B70C0000}"/>
    <cellStyle name="_Книга3_ОСН. ДЕЯТ._DCF030925_vat_" xfId="3305" xr:uid="{00000000-0005-0000-0000-0000B80C0000}"/>
    <cellStyle name="_Книга3_ОСН. ДЕЯТ._DCFonly" xfId="3306" xr:uid="{00000000-0005-0000-0000-0000B90C0000}"/>
    <cellStyle name="_Книга3_Перечень названий форм" xfId="3307" xr:uid="{00000000-0005-0000-0000-0000BA0C0000}"/>
    <cellStyle name="_Книга3_Перечень названий форм_~5055318" xfId="3308" xr:uid="{00000000-0005-0000-0000-0000BB0C0000}"/>
    <cellStyle name="_Книга3_Подразделения" xfId="3309" xr:uid="{00000000-0005-0000-0000-0000BC0C0000}"/>
    <cellStyle name="_Книга3_Подразделения_040822 Profit_Tax_(portal)" xfId="3310" xr:uid="{00000000-0005-0000-0000-0000BD0C0000}"/>
    <cellStyle name="_Книга3_Подразделения_040928 Profit_Tax_3Ax1Ax4" xfId="3311" xr:uid="{00000000-0005-0000-0000-0000BE0C0000}"/>
    <cellStyle name="_Книга3_Подразделения_Tax Input 5yr plan" xfId="3312" xr:uid="{00000000-0005-0000-0000-0000BF0C0000}"/>
    <cellStyle name="_Книга3_Подразделения_Книга2" xfId="3313" xr:uid="{00000000-0005-0000-0000-0000C00C0000}"/>
    <cellStyle name="_Книга3_Подразделения_Налог_на_прибыль" xfId="3314" xr:uid="{00000000-0005-0000-0000-0000C10C0000}"/>
    <cellStyle name="_Книга3_Список тиражирования" xfId="3315" xr:uid="{00000000-0005-0000-0000-0000C20C0000}"/>
    <cellStyle name="_Книга3_Список тиражирования_040822 Profit_Tax_(portal)" xfId="3316" xr:uid="{00000000-0005-0000-0000-0000C30C0000}"/>
    <cellStyle name="_Книга3_Список тиражирования_040928 Profit_Tax_3Ax1Ax4" xfId="3317" xr:uid="{00000000-0005-0000-0000-0000C40C0000}"/>
    <cellStyle name="_Книга3_Список тиражирования_Tax Input 5yr plan" xfId="3318" xr:uid="{00000000-0005-0000-0000-0000C50C0000}"/>
    <cellStyle name="_Книга3_Список тиражирования_Книга2" xfId="3319" xr:uid="{00000000-0005-0000-0000-0000C60C0000}"/>
    <cellStyle name="_Книга3_Список тиражирования_Налог_на_прибыль" xfId="3320" xr:uid="{00000000-0005-0000-0000-0000C70C0000}"/>
    <cellStyle name="_Книга3_Форма 12 last" xfId="3321" xr:uid="{00000000-0005-0000-0000-0000C80C0000}"/>
    <cellStyle name="_Книга3_Форма 12 last_~5055318" xfId="3322" xr:uid="{00000000-0005-0000-0000-0000C90C0000}"/>
    <cellStyle name="_Книга3_Форма 12 last_DCF030925_vat" xfId="3323" xr:uid="{00000000-0005-0000-0000-0000CA0C0000}"/>
    <cellStyle name="_Книга3_Форма 12 last_DCF030925_vat_" xfId="3324" xr:uid="{00000000-0005-0000-0000-0000CB0C0000}"/>
    <cellStyle name="_Книга3_Форма 12 last_DCFonly" xfId="3325" xr:uid="{00000000-0005-0000-0000-0000CC0C0000}"/>
    <cellStyle name="_Книга6" xfId="3326" xr:uid="{00000000-0005-0000-0000-0000CD0C0000}"/>
    <cellStyle name="_Книга7" xfId="3327" xr:uid="{00000000-0005-0000-0000-0000CE0C0000}"/>
    <cellStyle name="_Книга7_~5055318" xfId="3328" xr:uid="{00000000-0005-0000-0000-0000CF0C0000}"/>
    <cellStyle name="_Книга7_17_0" xfId="3329" xr:uid="{00000000-0005-0000-0000-0000D00C0000}"/>
    <cellStyle name="_Книга7_17_0_~5055318" xfId="3330" xr:uid="{00000000-0005-0000-0000-0000D10C0000}"/>
    <cellStyle name="_Книга7_17_0_1" xfId="3331" xr:uid="{00000000-0005-0000-0000-0000D20C0000}"/>
    <cellStyle name="_Книга7_17_0_1_~5055318" xfId="3332" xr:uid="{00000000-0005-0000-0000-0000D30C0000}"/>
    <cellStyle name="_Книга7_balance" xfId="3333" xr:uid="{00000000-0005-0000-0000-0000D40C0000}"/>
    <cellStyle name="_Книга7_balance_~5055318" xfId="3334" xr:uid="{00000000-0005-0000-0000-0000D50C0000}"/>
    <cellStyle name="_Книга7_Capex-new" xfId="3335" xr:uid="{00000000-0005-0000-0000-0000D60C0000}"/>
    <cellStyle name="_Книга7_Capex-new_~5055318" xfId="3336" xr:uid="{00000000-0005-0000-0000-0000D70C0000}"/>
    <cellStyle name="_Книга7_Capex-new_DCF030925_vat" xfId="3337" xr:uid="{00000000-0005-0000-0000-0000D80C0000}"/>
    <cellStyle name="_Книга7_Capex-new_DCF030925_vat_" xfId="3338" xr:uid="{00000000-0005-0000-0000-0000D90C0000}"/>
    <cellStyle name="_Книга7_Capex-new_DCFonly" xfId="3339" xr:uid="{00000000-0005-0000-0000-0000DA0C0000}"/>
    <cellStyle name="_Книга7_DCF030925_vat" xfId="3340" xr:uid="{00000000-0005-0000-0000-0000DB0C0000}"/>
    <cellStyle name="_Книга7_DCF030925_vat_" xfId="3341" xr:uid="{00000000-0005-0000-0000-0000DC0C0000}"/>
    <cellStyle name="_Книга7_DCFonly" xfId="3342" xr:uid="{00000000-0005-0000-0000-0000DD0C0000}"/>
    <cellStyle name="_Книга7_Financial Plan - final_2" xfId="3343" xr:uid="{00000000-0005-0000-0000-0000DE0C0000}"/>
    <cellStyle name="_Книга7_Financial Plan - final_2_~5055318" xfId="3344" xr:uid="{00000000-0005-0000-0000-0000DF0C0000}"/>
    <cellStyle name="_Книга7_Financial Plan - final_2_DCF030925_vat" xfId="3345" xr:uid="{00000000-0005-0000-0000-0000E00C0000}"/>
    <cellStyle name="_Книга7_Financial Plan - final_2_DCF030925_vat_" xfId="3346" xr:uid="{00000000-0005-0000-0000-0000E10C0000}"/>
    <cellStyle name="_Книга7_Financial Plan - final_2_DCFonly" xfId="3347" xr:uid="{00000000-0005-0000-0000-0000E20C0000}"/>
    <cellStyle name="_Книга7_Form 01(MB)" xfId="3348" xr:uid="{00000000-0005-0000-0000-0000E30C0000}"/>
    <cellStyle name="_Книга7_Form 01(MB)_040822 Profit_Tax_(portal)" xfId="3349" xr:uid="{00000000-0005-0000-0000-0000E40C0000}"/>
    <cellStyle name="_Книга7_Form 01(MB)_040928 Profit_Tax_3Ax1Ax4" xfId="3350" xr:uid="{00000000-0005-0000-0000-0000E50C0000}"/>
    <cellStyle name="_Книга7_Form 01(MB)_Tax Input 5yr plan" xfId="3351" xr:uid="{00000000-0005-0000-0000-0000E60C0000}"/>
    <cellStyle name="_Книга7_Form 01(MB)_Книга2" xfId="3352" xr:uid="{00000000-0005-0000-0000-0000E70C0000}"/>
    <cellStyle name="_Книга7_Form 01(MB)_Налог_на_прибыль" xfId="3353" xr:uid="{00000000-0005-0000-0000-0000E80C0000}"/>
    <cellStyle name="_Книга7_Links_NK" xfId="3354" xr:uid="{00000000-0005-0000-0000-0000E90C0000}"/>
    <cellStyle name="_Книга7_Links_NK_040822 Profit_Tax_(portal)" xfId="3355" xr:uid="{00000000-0005-0000-0000-0000EA0C0000}"/>
    <cellStyle name="_Книга7_Links_NK_040928 Profit_Tax_3Ax1Ax4" xfId="3356" xr:uid="{00000000-0005-0000-0000-0000EB0C0000}"/>
    <cellStyle name="_Книга7_Links_NK_Tax Input 5yr plan" xfId="3357" xr:uid="{00000000-0005-0000-0000-0000EC0C0000}"/>
    <cellStyle name="_Книга7_Links_NK_Книга2" xfId="3358" xr:uid="{00000000-0005-0000-0000-0000ED0C0000}"/>
    <cellStyle name="_Книга7_Links_NK_Налог_на_прибыль" xfId="3359" xr:uid="{00000000-0005-0000-0000-0000EE0C0000}"/>
    <cellStyle name="_Книга7_N20_5" xfId="3360" xr:uid="{00000000-0005-0000-0000-0000EF0C0000}"/>
    <cellStyle name="_Книга7_N20_5_~5055318" xfId="3361" xr:uid="{00000000-0005-0000-0000-0000F00C0000}"/>
    <cellStyle name="_Книга7_N20_5_DCF030925_vat" xfId="3362" xr:uid="{00000000-0005-0000-0000-0000F10C0000}"/>
    <cellStyle name="_Книга7_N20_5_DCF030925_vat_" xfId="3363" xr:uid="{00000000-0005-0000-0000-0000F20C0000}"/>
    <cellStyle name="_Книга7_N20_5_DCFonly" xfId="3364" xr:uid="{00000000-0005-0000-0000-0000F30C0000}"/>
    <cellStyle name="_Книга7_N20_6" xfId="3365" xr:uid="{00000000-0005-0000-0000-0000F40C0000}"/>
    <cellStyle name="_Книга7_N20_6_~5055318" xfId="3366" xr:uid="{00000000-0005-0000-0000-0000F50C0000}"/>
    <cellStyle name="_Книга7_N20_6_DCF030925_vat" xfId="3367" xr:uid="{00000000-0005-0000-0000-0000F60C0000}"/>
    <cellStyle name="_Книга7_N20_6_DCF030925_vat_" xfId="3368" xr:uid="{00000000-0005-0000-0000-0000F70C0000}"/>
    <cellStyle name="_Книга7_N20_6_DCFonly" xfId="3369" xr:uid="{00000000-0005-0000-0000-0000F80C0000}"/>
    <cellStyle name="_Книга7_New Form10_2" xfId="3370" xr:uid="{00000000-0005-0000-0000-0000F90C0000}"/>
    <cellStyle name="_Книга7_New Form10_2_~5055318" xfId="3371" xr:uid="{00000000-0005-0000-0000-0000FA0C0000}"/>
    <cellStyle name="_Книга7_New Form10_2_DCF030925_vat" xfId="3372" xr:uid="{00000000-0005-0000-0000-0000FB0C0000}"/>
    <cellStyle name="_Книга7_New Form10_2_DCF030925_vat_" xfId="3373" xr:uid="{00000000-0005-0000-0000-0000FC0C0000}"/>
    <cellStyle name="_Книга7_New Form10_2_DCFonly" xfId="3374" xr:uid="{00000000-0005-0000-0000-0000FD0C0000}"/>
    <cellStyle name="_Книга7_Nsi" xfId="3375" xr:uid="{00000000-0005-0000-0000-0000FE0C0000}"/>
    <cellStyle name="_Книга7_Nsi - last version" xfId="3376" xr:uid="{00000000-0005-0000-0000-0000FF0C0000}"/>
    <cellStyle name="_Книга7_Nsi - last version for programming" xfId="3377" xr:uid="{00000000-0005-0000-0000-0000000D0000}"/>
    <cellStyle name="_Книга7_Nsi - last version for programming_~5055318" xfId="3378" xr:uid="{00000000-0005-0000-0000-0000010D0000}"/>
    <cellStyle name="_Книга7_Nsi - last version for programming_DCF030925_vat" xfId="3379" xr:uid="{00000000-0005-0000-0000-0000020D0000}"/>
    <cellStyle name="_Книга7_Nsi - last version for programming_DCF030925_vat_" xfId="3380" xr:uid="{00000000-0005-0000-0000-0000030D0000}"/>
    <cellStyle name="_Книга7_Nsi - last version for programming_DCFonly" xfId="3381" xr:uid="{00000000-0005-0000-0000-0000040D0000}"/>
    <cellStyle name="_Книга7_Nsi - last version_~5055318" xfId="3382" xr:uid="{00000000-0005-0000-0000-0000050D0000}"/>
    <cellStyle name="_Книга7_Nsi - last version_DCF030925_vat" xfId="3383" xr:uid="{00000000-0005-0000-0000-0000060D0000}"/>
    <cellStyle name="_Книга7_Nsi - last version_DCF030925_vat_" xfId="3384" xr:uid="{00000000-0005-0000-0000-0000070D0000}"/>
    <cellStyle name="_Книга7_Nsi - last version_DCFonly" xfId="3385" xr:uid="{00000000-0005-0000-0000-0000080D0000}"/>
    <cellStyle name="_Книга7_Nsi - next_last version" xfId="3386" xr:uid="{00000000-0005-0000-0000-0000090D0000}"/>
    <cellStyle name="_Книга7_Nsi - next_last version_~5055318" xfId="3387" xr:uid="{00000000-0005-0000-0000-00000A0D0000}"/>
    <cellStyle name="_Книга7_Nsi - next_last version_DCF030925_vat" xfId="3388" xr:uid="{00000000-0005-0000-0000-00000B0D0000}"/>
    <cellStyle name="_Книга7_Nsi - next_last version_DCF030925_vat_" xfId="3389" xr:uid="{00000000-0005-0000-0000-00000C0D0000}"/>
    <cellStyle name="_Книга7_Nsi - next_last version_DCFonly" xfId="3390" xr:uid="{00000000-0005-0000-0000-00000D0D0000}"/>
    <cellStyle name="_Книга7_Nsi - plan - final" xfId="3391" xr:uid="{00000000-0005-0000-0000-00000E0D0000}"/>
    <cellStyle name="_Книга7_Nsi - plan - final_~5055318" xfId="3392" xr:uid="{00000000-0005-0000-0000-00000F0D0000}"/>
    <cellStyle name="_Книга7_Nsi - plan - final_DCF030925_vat" xfId="3393" xr:uid="{00000000-0005-0000-0000-0000100D0000}"/>
    <cellStyle name="_Книга7_Nsi - plan - final_DCF030925_vat_" xfId="3394" xr:uid="{00000000-0005-0000-0000-0000110D0000}"/>
    <cellStyle name="_Книга7_Nsi - plan - final_DCFonly" xfId="3395" xr:uid="{00000000-0005-0000-0000-0000120D0000}"/>
    <cellStyle name="_Книга7_Nsi -super_ last version" xfId="3396" xr:uid="{00000000-0005-0000-0000-0000130D0000}"/>
    <cellStyle name="_Книга7_Nsi -super_ last version_~5055318" xfId="3397" xr:uid="{00000000-0005-0000-0000-0000140D0000}"/>
    <cellStyle name="_Книга7_Nsi -super_ last version_DCF030925_vat" xfId="3398" xr:uid="{00000000-0005-0000-0000-0000150D0000}"/>
    <cellStyle name="_Книга7_Nsi -super_ last version_DCF030925_vat_" xfId="3399" xr:uid="{00000000-0005-0000-0000-0000160D0000}"/>
    <cellStyle name="_Книга7_Nsi -super_ last version_DCFonly" xfId="3400" xr:uid="{00000000-0005-0000-0000-0000170D0000}"/>
    <cellStyle name="_Книга7_Nsi(2)" xfId="3401" xr:uid="{00000000-0005-0000-0000-0000180D0000}"/>
    <cellStyle name="_Книга7_Nsi(2)_040822 Profit_Tax_(portal)" xfId="3402" xr:uid="{00000000-0005-0000-0000-0000190D0000}"/>
    <cellStyle name="_Книга7_Nsi(2)_040928 Profit_Tax_3Ax1Ax4" xfId="3403" xr:uid="{00000000-0005-0000-0000-00001A0D0000}"/>
    <cellStyle name="_Книга7_Nsi(2)_Tax Input 5yr plan" xfId="3404" xr:uid="{00000000-0005-0000-0000-00001B0D0000}"/>
    <cellStyle name="_Книга7_Nsi(2)_Книга2" xfId="3405" xr:uid="{00000000-0005-0000-0000-00001C0D0000}"/>
    <cellStyle name="_Книга7_Nsi(2)_Налог_на_прибыль" xfId="3406" xr:uid="{00000000-0005-0000-0000-00001D0D0000}"/>
    <cellStyle name="_Книга7_Nsi_~5055318" xfId="3407" xr:uid="{00000000-0005-0000-0000-00001E0D0000}"/>
    <cellStyle name="_Книга7_Nsi_1" xfId="3408" xr:uid="{00000000-0005-0000-0000-00001F0D0000}"/>
    <cellStyle name="_Книга7_Nsi_1_~5055318" xfId="3409" xr:uid="{00000000-0005-0000-0000-0000200D0000}"/>
    <cellStyle name="_Книга7_Nsi_1_DCF030925_vat" xfId="3410" xr:uid="{00000000-0005-0000-0000-0000210D0000}"/>
    <cellStyle name="_Книга7_Nsi_1_DCF030925_vat_" xfId="3411" xr:uid="{00000000-0005-0000-0000-0000220D0000}"/>
    <cellStyle name="_Книга7_Nsi_1_DCFonly" xfId="3412" xr:uid="{00000000-0005-0000-0000-0000230D0000}"/>
    <cellStyle name="_Книга7_Nsi_139" xfId="3413" xr:uid="{00000000-0005-0000-0000-0000240D0000}"/>
    <cellStyle name="_Книга7_Nsi_139_~5055318" xfId="3414" xr:uid="{00000000-0005-0000-0000-0000250D0000}"/>
    <cellStyle name="_Книга7_Nsi_139_DCF030925_vat" xfId="3415" xr:uid="{00000000-0005-0000-0000-0000260D0000}"/>
    <cellStyle name="_Книга7_Nsi_139_DCF030925_vat_" xfId="3416" xr:uid="{00000000-0005-0000-0000-0000270D0000}"/>
    <cellStyle name="_Книга7_Nsi_139_DCFonly" xfId="3417" xr:uid="{00000000-0005-0000-0000-0000280D0000}"/>
    <cellStyle name="_Книга7_Nsi_140" xfId="3418" xr:uid="{00000000-0005-0000-0000-0000290D0000}"/>
    <cellStyle name="_Книга7_Nsi_140(Зах)" xfId="3419" xr:uid="{00000000-0005-0000-0000-00002A0D0000}"/>
    <cellStyle name="_Книга7_Nsi_140(Зах)_~5055318" xfId="3420" xr:uid="{00000000-0005-0000-0000-00002B0D0000}"/>
    <cellStyle name="_Книга7_Nsi_140(Зах)_DCF030925_vat" xfId="3421" xr:uid="{00000000-0005-0000-0000-00002C0D0000}"/>
    <cellStyle name="_Книга7_Nsi_140(Зах)_DCF030925_vat_" xfId="3422" xr:uid="{00000000-0005-0000-0000-00002D0D0000}"/>
    <cellStyle name="_Книга7_Nsi_140(Зах)_DCFonly" xfId="3423" xr:uid="{00000000-0005-0000-0000-00002E0D0000}"/>
    <cellStyle name="_Книга7_Nsi_140_~5055318" xfId="3424" xr:uid="{00000000-0005-0000-0000-00002F0D0000}"/>
    <cellStyle name="_Книга7_Nsi_140_DCF030925_vat" xfId="3425" xr:uid="{00000000-0005-0000-0000-0000300D0000}"/>
    <cellStyle name="_Книга7_Nsi_140_DCF030925_vat_" xfId="3426" xr:uid="{00000000-0005-0000-0000-0000310D0000}"/>
    <cellStyle name="_Книга7_Nsi_140_DCFonly" xfId="3427" xr:uid="{00000000-0005-0000-0000-0000320D0000}"/>
    <cellStyle name="_Книга7_Nsi_140_mod" xfId="3428" xr:uid="{00000000-0005-0000-0000-0000330D0000}"/>
    <cellStyle name="_Книга7_Nsi_140_mod_~5055318" xfId="3429" xr:uid="{00000000-0005-0000-0000-0000340D0000}"/>
    <cellStyle name="_Книга7_Nsi_140_mod_DCF030925_vat" xfId="3430" xr:uid="{00000000-0005-0000-0000-0000350D0000}"/>
    <cellStyle name="_Книга7_Nsi_140_mod_DCF030925_vat_" xfId="3431" xr:uid="{00000000-0005-0000-0000-0000360D0000}"/>
    <cellStyle name="_Книга7_Nsi_140_mod_DCFonly" xfId="3432" xr:uid="{00000000-0005-0000-0000-0000370D0000}"/>
    <cellStyle name="_Книга7_Nsi_158" xfId="3433" xr:uid="{00000000-0005-0000-0000-0000380D0000}"/>
    <cellStyle name="_Книга7_Nsi_158_040822 Profit_Tax_(portal)" xfId="3434" xr:uid="{00000000-0005-0000-0000-0000390D0000}"/>
    <cellStyle name="_Книга7_Nsi_158_040928 Profit_Tax_3Ax1Ax4" xfId="3435" xr:uid="{00000000-0005-0000-0000-00003A0D0000}"/>
    <cellStyle name="_Книга7_Nsi_158_Tax Input 5yr plan" xfId="3436" xr:uid="{00000000-0005-0000-0000-00003B0D0000}"/>
    <cellStyle name="_Книга7_Nsi_158_Книга2" xfId="3437" xr:uid="{00000000-0005-0000-0000-00003C0D0000}"/>
    <cellStyle name="_Книга7_Nsi_158_Налог_на_прибыль" xfId="3438" xr:uid="{00000000-0005-0000-0000-00003D0D0000}"/>
    <cellStyle name="_Книга7_Nsi_DCF030925_vat" xfId="3439" xr:uid="{00000000-0005-0000-0000-00003E0D0000}"/>
    <cellStyle name="_Книга7_Nsi_DCF030925_vat_" xfId="3440" xr:uid="{00000000-0005-0000-0000-00003F0D0000}"/>
    <cellStyle name="_Книга7_Nsi_DCFonly" xfId="3441" xr:uid="{00000000-0005-0000-0000-0000400D0000}"/>
    <cellStyle name="_Книга7_Nsi_Express" xfId="3442" xr:uid="{00000000-0005-0000-0000-0000410D0000}"/>
    <cellStyle name="_Книга7_Nsi_Express_040822 Profit_Tax_(portal)" xfId="3443" xr:uid="{00000000-0005-0000-0000-0000420D0000}"/>
    <cellStyle name="_Книга7_Nsi_Express_040928 Profit_Tax_3Ax1Ax4" xfId="3444" xr:uid="{00000000-0005-0000-0000-0000430D0000}"/>
    <cellStyle name="_Книга7_Nsi_Express_Tax Input 5yr plan" xfId="3445" xr:uid="{00000000-0005-0000-0000-0000440D0000}"/>
    <cellStyle name="_Книга7_Nsi_Express_Книга2" xfId="3446" xr:uid="{00000000-0005-0000-0000-0000450D0000}"/>
    <cellStyle name="_Книга7_Nsi_Express_Налог_на_прибыль" xfId="3447" xr:uid="{00000000-0005-0000-0000-0000460D0000}"/>
    <cellStyle name="_Книга7_Nsi_Jan1" xfId="3448" xr:uid="{00000000-0005-0000-0000-0000470D0000}"/>
    <cellStyle name="_Книга7_Nsi_Jan1_~5055318" xfId="3449" xr:uid="{00000000-0005-0000-0000-0000480D0000}"/>
    <cellStyle name="_Книга7_Nsi_Jan1_DCF030925_vat" xfId="3450" xr:uid="{00000000-0005-0000-0000-0000490D0000}"/>
    <cellStyle name="_Книга7_Nsi_Jan1_DCF030925_vat_" xfId="3451" xr:uid="{00000000-0005-0000-0000-00004A0D0000}"/>
    <cellStyle name="_Книга7_Nsi_Jan1_DCFonly" xfId="3452" xr:uid="{00000000-0005-0000-0000-00004B0D0000}"/>
    <cellStyle name="_Книга7_Nsi_test" xfId="3453" xr:uid="{00000000-0005-0000-0000-00004C0D0000}"/>
    <cellStyle name="_Книга7_Nsi_test_040822 Profit_Tax_(portal)" xfId="3454" xr:uid="{00000000-0005-0000-0000-00004D0D0000}"/>
    <cellStyle name="_Книга7_Nsi_test_040928 Profit_Tax_3Ax1Ax4" xfId="3455" xr:uid="{00000000-0005-0000-0000-00004E0D0000}"/>
    <cellStyle name="_Книга7_Nsi_test_Tax Input 5yr plan" xfId="3456" xr:uid="{00000000-0005-0000-0000-00004F0D0000}"/>
    <cellStyle name="_Книга7_Nsi_test_Книга2" xfId="3457" xr:uid="{00000000-0005-0000-0000-0000500D0000}"/>
    <cellStyle name="_Книга7_Nsi_test_Налог_на_прибыль" xfId="3458" xr:uid="{00000000-0005-0000-0000-0000510D0000}"/>
    <cellStyle name="_Книга7_Nsi2" xfId="3459" xr:uid="{00000000-0005-0000-0000-0000520D0000}"/>
    <cellStyle name="_Книга7_Nsi2_~5055318" xfId="3460" xr:uid="{00000000-0005-0000-0000-0000530D0000}"/>
    <cellStyle name="_Книга7_Nsi2_DCF030925_vat" xfId="3461" xr:uid="{00000000-0005-0000-0000-0000540D0000}"/>
    <cellStyle name="_Книга7_Nsi2_DCF030925_vat_" xfId="3462" xr:uid="{00000000-0005-0000-0000-0000550D0000}"/>
    <cellStyle name="_Книга7_Nsi2_DCFonly" xfId="3463" xr:uid="{00000000-0005-0000-0000-0000560D0000}"/>
    <cellStyle name="_Книга7_Nsi-Services" xfId="3464" xr:uid="{00000000-0005-0000-0000-0000570D0000}"/>
    <cellStyle name="_Книга7_Nsi-Services_040822 Profit_Tax_(portal)" xfId="3465" xr:uid="{00000000-0005-0000-0000-0000580D0000}"/>
    <cellStyle name="_Книга7_Nsi-Services_040928 Profit_Tax_3Ax1Ax4" xfId="3466" xr:uid="{00000000-0005-0000-0000-0000590D0000}"/>
    <cellStyle name="_Книга7_Nsi-Services_Tax Input 5yr plan" xfId="3467" xr:uid="{00000000-0005-0000-0000-00005A0D0000}"/>
    <cellStyle name="_Книга7_Nsi-Services_Книга2" xfId="3468" xr:uid="{00000000-0005-0000-0000-00005B0D0000}"/>
    <cellStyle name="_Книга7_Nsi-Services_Налог_на_прибыль" xfId="3469" xr:uid="{00000000-0005-0000-0000-00005C0D0000}"/>
    <cellStyle name="_Книга7_P&amp;L" xfId="3470" xr:uid="{00000000-0005-0000-0000-00005D0D0000}"/>
    <cellStyle name="_Книга7_P&amp;L_~5055318" xfId="3471" xr:uid="{00000000-0005-0000-0000-00005E0D0000}"/>
    <cellStyle name="_Книга7_P&amp;L_DCF030925_vat" xfId="3472" xr:uid="{00000000-0005-0000-0000-00005F0D0000}"/>
    <cellStyle name="_Книга7_P&amp;L_DCF030925_vat_" xfId="3473" xr:uid="{00000000-0005-0000-0000-0000600D0000}"/>
    <cellStyle name="_Книга7_P&amp;L_DCFonly" xfId="3474" xr:uid="{00000000-0005-0000-0000-0000610D0000}"/>
    <cellStyle name="_Книга7_S0400" xfId="3475" xr:uid="{00000000-0005-0000-0000-0000620D0000}"/>
    <cellStyle name="_Книга7_S0400_040822 Profit_Tax_(portal)" xfId="3476" xr:uid="{00000000-0005-0000-0000-0000630D0000}"/>
    <cellStyle name="_Книга7_S0400_040928 Profit_Tax_3Ax1Ax4" xfId="3477" xr:uid="{00000000-0005-0000-0000-0000640D0000}"/>
    <cellStyle name="_Книга7_S0400_Tax Input 5yr plan" xfId="3478" xr:uid="{00000000-0005-0000-0000-0000650D0000}"/>
    <cellStyle name="_Книга7_S0400_Книга2" xfId="3479" xr:uid="{00000000-0005-0000-0000-0000660D0000}"/>
    <cellStyle name="_Книга7_S0400_Налог_на_прибыль" xfId="3480" xr:uid="{00000000-0005-0000-0000-0000670D0000}"/>
    <cellStyle name="_Книга7_S13001" xfId="3481" xr:uid="{00000000-0005-0000-0000-0000680D0000}"/>
    <cellStyle name="_Книга7_S13001_040822 Profit_Tax_(portal)" xfId="3482" xr:uid="{00000000-0005-0000-0000-0000690D0000}"/>
    <cellStyle name="_Книга7_S13001_040928 Profit_Tax_3Ax1Ax4" xfId="3483" xr:uid="{00000000-0005-0000-0000-00006A0D0000}"/>
    <cellStyle name="_Книга7_S13001_Tax Input 5yr plan" xfId="3484" xr:uid="{00000000-0005-0000-0000-00006B0D0000}"/>
    <cellStyle name="_Книга7_S13001_Книга2" xfId="3485" xr:uid="{00000000-0005-0000-0000-00006C0D0000}"/>
    <cellStyle name="_Книга7_S13001_Налог_на_прибыль" xfId="3486" xr:uid="{00000000-0005-0000-0000-00006D0D0000}"/>
    <cellStyle name="_Книга7_Sheet1" xfId="3487" xr:uid="{00000000-0005-0000-0000-00006E0D0000}"/>
    <cellStyle name="_Книга7_Sheet1_~5055318" xfId="3488" xr:uid="{00000000-0005-0000-0000-00006F0D0000}"/>
    <cellStyle name="_Книга7_Sheet1_DCF030925_vat" xfId="3489" xr:uid="{00000000-0005-0000-0000-0000700D0000}"/>
    <cellStyle name="_Книга7_Sheet1_DCF030925_vat_" xfId="3490" xr:uid="{00000000-0005-0000-0000-0000710D0000}"/>
    <cellStyle name="_Книга7_Sheet1_DCFonly" xfId="3491" xr:uid="{00000000-0005-0000-0000-0000720D0000}"/>
    <cellStyle name="_Книга7_SOFI" xfId="3492" xr:uid="{00000000-0005-0000-0000-0000730D0000}"/>
    <cellStyle name="_Книга7_sofi - plan_AP270202ii" xfId="3493" xr:uid="{00000000-0005-0000-0000-0000740D0000}"/>
    <cellStyle name="_Книга7_sofi - plan_AP270202ii_~5055318" xfId="3494" xr:uid="{00000000-0005-0000-0000-0000750D0000}"/>
    <cellStyle name="_Книга7_sofi - plan_AP270202ii_DCF030925_vat" xfId="3495" xr:uid="{00000000-0005-0000-0000-0000760D0000}"/>
    <cellStyle name="_Книга7_sofi - plan_AP270202ii_DCF030925_vat_" xfId="3496" xr:uid="{00000000-0005-0000-0000-0000770D0000}"/>
    <cellStyle name="_Книга7_sofi - plan_AP270202ii_DCFonly" xfId="3497" xr:uid="{00000000-0005-0000-0000-0000780D0000}"/>
    <cellStyle name="_Книга7_sofi - plan_AP270202iii" xfId="3498" xr:uid="{00000000-0005-0000-0000-0000790D0000}"/>
    <cellStyle name="_Книга7_sofi - plan_AP270202iii_~5055318" xfId="3499" xr:uid="{00000000-0005-0000-0000-00007A0D0000}"/>
    <cellStyle name="_Книга7_sofi - plan_AP270202iii_DCF030925_vat" xfId="3500" xr:uid="{00000000-0005-0000-0000-00007B0D0000}"/>
    <cellStyle name="_Книга7_sofi - plan_AP270202iii_DCF030925_vat_" xfId="3501" xr:uid="{00000000-0005-0000-0000-00007C0D0000}"/>
    <cellStyle name="_Книга7_sofi - plan_AP270202iii_DCFonly" xfId="3502" xr:uid="{00000000-0005-0000-0000-00007D0D0000}"/>
    <cellStyle name="_Книга7_sofi - plan_AP270202iv" xfId="3503" xr:uid="{00000000-0005-0000-0000-00007E0D0000}"/>
    <cellStyle name="_Книга7_sofi - plan_AP270202iv_~5055318" xfId="3504" xr:uid="{00000000-0005-0000-0000-00007F0D0000}"/>
    <cellStyle name="_Книга7_sofi - plan_AP270202iv_DCF030925_vat" xfId="3505" xr:uid="{00000000-0005-0000-0000-0000800D0000}"/>
    <cellStyle name="_Книга7_sofi - plan_AP270202iv_DCF030925_vat_" xfId="3506" xr:uid="{00000000-0005-0000-0000-0000810D0000}"/>
    <cellStyle name="_Книга7_sofi - plan_AP270202iv_DCFonly" xfId="3507" xr:uid="{00000000-0005-0000-0000-0000820D0000}"/>
    <cellStyle name="_Книга7_Sofi vs Sobi" xfId="3508" xr:uid="{00000000-0005-0000-0000-0000830D0000}"/>
    <cellStyle name="_Книга7_Sofi vs Sobi_~5055318" xfId="3509" xr:uid="{00000000-0005-0000-0000-0000840D0000}"/>
    <cellStyle name="_Книга7_Sofi vs Sobi_DCF030925_vat" xfId="3510" xr:uid="{00000000-0005-0000-0000-0000850D0000}"/>
    <cellStyle name="_Книга7_Sofi vs Sobi_DCF030925_vat_" xfId="3511" xr:uid="{00000000-0005-0000-0000-0000860D0000}"/>
    <cellStyle name="_Книга7_Sofi vs Sobi_DCFonly" xfId="3512" xr:uid="{00000000-0005-0000-0000-0000870D0000}"/>
    <cellStyle name="_Книга7_SOFI_~5055318" xfId="3513" xr:uid="{00000000-0005-0000-0000-0000880D0000}"/>
    <cellStyle name="_Книга7_Sofi_PBD 27-11-01" xfId="3514" xr:uid="{00000000-0005-0000-0000-0000890D0000}"/>
    <cellStyle name="_Книга7_Sofi_PBD 27-11-01_~5055318" xfId="3515" xr:uid="{00000000-0005-0000-0000-00008A0D0000}"/>
    <cellStyle name="_Книга7_Sofi_PBD 27-11-01_DCF030925_vat" xfId="3516" xr:uid="{00000000-0005-0000-0000-00008B0D0000}"/>
    <cellStyle name="_Книга7_Sofi_PBD 27-11-01_DCF030925_vat_" xfId="3517" xr:uid="{00000000-0005-0000-0000-00008C0D0000}"/>
    <cellStyle name="_Книга7_Sofi_PBD 27-11-01_DCFonly" xfId="3518" xr:uid="{00000000-0005-0000-0000-00008D0D0000}"/>
    <cellStyle name="_Книга7_SOFI_TEPs_AOK_130902" xfId="3519" xr:uid="{00000000-0005-0000-0000-00008E0D0000}"/>
    <cellStyle name="_Книга7_SOFI_TEPs_AOK_130902_040822 Profit_Tax_(portal)" xfId="3520" xr:uid="{00000000-0005-0000-0000-00008F0D0000}"/>
    <cellStyle name="_Книга7_SOFI_TEPs_AOK_130902_040928 Profit_Tax_3Ax1Ax4" xfId="3521" xr:uid="{00000000-0005-0000-0000-0000900D0000}"/>
    <cellStyle name="_Книга7_SOFI_TEPs_AOK_130902_Tax Input 5yr plan" xfId="3522" xr:uid="{00000000-0005-0000-0000-0000910D0000}"/>
    <cellStyle name="_Книга7_SOFI_TEPs_AOK_130902_Книга2" xfId="3523" xr:uid="{00000000-0005-0000-0000-0000920D0000}"/>
    <cellStyle name="_Книга7_SOFI_TEPs_AOK_130902_Налог_на_прибыль" xfId="3524" xr:uid="{00000000-0005-0000-0000-0000930D0000}"/>
    <cellStyle name="_Книга7_Sofi145a" xfId="3525" xr:uid="{00000000-0005-0000-0000-0000940D0000}"/>
    <cellStyle name="_Книга7_Sofi145a_~5055318" xfId="3526" xr:uid="{00000000-0005-0000-0000-0000950D0000}"/>
    <cellStyle name="_Книга7_Sofi145a_DCF030925_vat" xfId="3527" xr:uid="{00000000-0005-0000-0000-0000960D0000}"/>
    <cellStyle name="_Книга7_Sofi145a_DCF030925_vat_" xfId="3528" xr:uid="{00000000-0005-0000-0000-0000970D0000}"/>
    <cellStyle name="_Книга7_Sofi145a_DCFonly" xfId="3529" xr:uid="{00000000-0005-0000-0000-0000980D0000}"/>
    <cellStyle name="_Книга7_Sofi153" xfId="3530" xr:uid="{00000000-0005-0000-0000-0000990D0000}"/>
    <cellStyle name="_Книга7_Sofi153_~5055318" xfId="3531" xr:uid="{00000000-0005-0000-0000-00009A0D0000}"/>
    <cellStyle name="_Книга7_Sofi153_DCF030925_vat" xfId="3532" xr:uid="{00000000-0005-0000-0000-00009B0D0000}"/>
    <cellStyle name="_Книга7_Sofi153_DCF030925_vat_" xfId="3533" xr:uid="{00000000-0005-0000-0000-00009C0D0000}"/>
    <cellStyle name="_Книга7_Sofi153_DCFonly" xfId="3534" xr:uid="{00000000-0005-0000-0000-00009D0D0000}"/>
    <cellStyle name="_Книга7_Summary" xfId="3535" xr:uid="{00000000-0005-0000-0000-00009E0D0000}"/>
    <cellStyle name="_Книга7_Summary_~5055318" xfId="3536" xr:uid="{00000000-0005-0000-0000-00009F0D0000}"/>
    <cellStyle name="_Книга7_Summary_DCF030925_vat" xfId="3537" xr:uid="{00000000-0005-0000-0000-0000A00D0000}"/>
    <cellStyle name="_Книга7_Summary_DCF030925_vat_" xfId="3538" xr:uid="{00000000-0005-0000-0000-0000A10D0000}"/>
    <cellStyle name="_Книга7_Summary_DCFonly" xfId="3539" xr:uid="{00000000-0005-0000-0000-0000A20D0000}"/>
    <cellStyle name="_Книга7_SXXXX_Express_c Links" xfId="3540" xr:uid="{00000000-0005-0000-0000-0000A30D0000}"/>
    <cellStyle name="_Книга7_SXXXX_Express_c Links_040822 Profit_Tax_(portal)" xfId="3541" xr:uid="{00000000-0005-0000-0000-0000A40D0000}"/>
    <cellStyle name="_Книга7_SXXXX_Express_c Links_040928 Profit_Tax_3Ax1Ax4" xfId="3542" xr:uid="{00000000-0005-0000-0000-0000A50D0000}"/>
    <cellStyle name="_Книга7_SXXXX_Express_c Links_Tax Input 5yr plan" xfId="3543" xr:uid="{00000000-0005-0000-0000-0000A60D0000}"/>
    <cellStyle name="_Книга7_SXXXX_Express_c Links_Книга2" xfId="3544" xr:uid="{00000000-0005-0000-0000-0000A70D0000}"/>
    <cellStyle name="_Книга7_SXXXX_Express_c Links_Налог_на_прибыль" xfId="3545" xr:uid="{00000000-0005-0000-0000-0000A80D0000}"/>
    <cellStyle name="_Книга7_Tax_form_1кв_3" xfId="3546" xr:uid="{00000000-0005-0000-0000-0000A90D0000}"/>
    <cellStyle name="_Книга7_Tax_form_1кв_3_~5055318" xfId="3547" xr:uid="{00000000-0005-0000-0000-0000AA0D0000}"/>
    <cellStyle name="_Книга7_Tax_form_1кв_3_DCF030925_vat" xfId="3548" xr:uid="{00000000-0005-0000-0000-0000AB0D0000}"/>
    <cellStyle name="_Книга7_Tax_form_1кв_3_DCF030925_vat_" xfId="3549" xr:uid="{00000000-0005-0000-0000-0000AC0D0000}"/>
    <cellStyle name="_Книга7_Tax_form_1кв_3_DCFonly" xfId="3550" xr:uid="{00000000-0005-0000-0000-0000AD0D0000}"/>
    <cellStyle name="_Книга7_test_11" xfId="3551" xr:uid="{00000000-0005-0000-0000-0000AE0D0000}"/>
    <cellStyle name="_Книга7_test_11_~5055318" xfId="3552" xr:uid="{00000000-0005-0000-0000-0000AF0D0000}"/>
    <cellStyle name="_Книга7_test_11_DCF030925_vat" xfId="3553" xr:uid="{00000000-0005-0000-0000-0000B00D0000}"/>
    <cellStyle name="_Книга7_test_11_DCF030925_vat_" xfId="3554" xr:uid="{00000000-0005-0000-0000-0000B10D0000}"/>
    <cellStyle name="_Книга7_test_11_DCFonly" xfId="3555" xr:uid="{00000000-0005-0000-0000-0000B20D0000}"/>
    <cellStyle name="_Книга7_БКЭ" xfId="3556" xr:uid="{00000000-0005-0000-0000-0000B30D0000}"/>
    <cellStyle name="_Книга7_БКЭ_~5055318" xfId="3557" xr:uid="{00000000-0005-0000-0000-0000B40D0000}"/>
    <cellStyle name="_Книга7_БКЭ_DCF030925_vat" xfId="3558" xr:uid="{00000000-0005-0000-0000-0000B50D0000}"/>
    <cellStyle name="_Книга7_БКЭ_DCF030925_vat_" xfId="3559" xr:uid="{00000000-0005-0000-0000-0000B60D0000}"/>
    <cellStyle name="_Книга7_БКЭ_DCFonly" xfId="3560" xr:uid="{00000000-0005-0000-0000-0000B70D0000}"/>
    <cellStyle name="_Книга7_для вставки в пакет за 2001" xfId="3561" xr:uid="{00000000-0005-0000-0000-0000B80D0000}"/>
    <cellStyle name="_Книга7_для вставки в пакет за 2001_~5055318" xfId="3562" xr:uid="{00000000-0005-0000-0000-0000B90D0000}"/>
    <cellStyle name="_Книга7_для вставки в пакет за 2001_DCF030925_vat" xfId="3563" xr:uid="{00000000-0005-0000-0000-0000BA0D0000}"/>
    <cellStyle name="_Книга7_для вставки в пакет за 2001_DCF030925_vat_" xfId="3564" xr:uid="{00000000-0005-0000-0000-0000BB0D0000}"/>
    <cellStyle name="_Книга7_для вставки в пакет за 2001_DCFonly" xfId="3565" xr:uid="{00000000-0005-0000-0000-0000BC0D0000}"/>
    <cellStyle name="_Книга7_дляГалиныВ" xfId="3566" xr:uid="{00000000-0005-0000-0000-0000BD0D0000}"/>
    <cellStyle name="_Книга7_дляГалиныВ_040822 Profit_Tax_(portal)" xfId="3567" xr:uid="{00000000-0005-0000-0000-0000BE0D0000}"/>
    <cellStyle name="_Книга7_дляГалиныВ_040928 Profit_Tax_3Ax1Ax4" xfId="3568" xr:uid="{00000000-0005-0000-0000-0000BF0D0000}"/>
    <cellStyle name="_Книга7_дляГалиныВ_Tax Input 5yr plan" xfId="3569" xr:uid="{00000000-0005-0000-0000-0000C00D0000}"/>
    <cellStyle name="_Книга7_дляГалиныВ_Книга2" xfId="3570" xr:uid="{00000000-0005-0000-0000-0000C10D0000}"/>
    <cellStyle name="_Книга7_дляГалиныВ_Налог_на_прибыль" xfId="3571" xr:uid="{00000000-0005-0000-0000-0000C20D0000}"/>
    <cellStyle name="_Книга7_Книга7" xfId="3572" xr:uid="{00000000-0005-0000-0000-0000C30D0000}"/>
    <cellStyle name="_Книга7_Книга7_~5055318" xfId="3573" xr:uid="{00000000-0005-0000-0000-0000C40D0000}"/>
    <cellStyle name="_Книга7_Книга7_DCF030925_vat" xfId="3574" xr:uid="{00000000-0005-0000-0000-0000C50D0000}"/>
    <cellStyle name="_Книга7_Книга7_DCF030925_vat_" xfId="3575" xr:uid="{00000000-0005-0000-0000-0000C60D0000}"/>
    <cellStyle name="_Книга7_Книга7_DCFonly" xfId="3576" xr:uid="{00000000-0005-0000-0000-0000C70D0000}"/>
    <cellStyle name="_Книга7_Лист1" xfId="3577" xr:uid="{00000000-0005-0000-0000-0000C80D0000}"/>
    <cellStyle name="_Книга7_Лист1_040822 Profit_Tax_(portal)" xfId="3578" xr:uid="{00000000-0005-0000-0000-0000C90D0000}"/>
    <cellStyle name="_Книга7_Лист1_040928 Profit_Tax_3Ax1Ax4" xfId="3579" xr:uid="{00000000-0005-0000-0000-0000CA0D0000}"/>
    <cellStyle name="_Книга7_Лист1_Tax Input 5yr plan" xfId="3580" xr:uid="{00000000-0005-0000-0000-0000CB0D0000}"/>
    <cellStyle name="_Книга7_Лист1_Книга2" xfId="3581" xr:uid="{00000000-0005-0000-0000-0000CC0D0000}"/>
    <cellStyle name="_Книга7_Лист1_Налог_на_прибыль" xfId="3582" xr:uid="{00000000-0005-0000-0000-0000CD0D0000}"/>
    <cellStyle name="_Книга7_ОСН. ДЕЯТ." xfId="3583" xr:uid="{00000000-0005-0000-0000-0000CE0D0000}"/>
    <cellStyle name="_Книга7_ОСН. ДЕЯТ._~5055318" xfId="3584" xr:uid="{00000000-0005-0000-0000-0000CF0D0000}"/>
    <cellStyle name="_Книга7_ОСН. ДЕЯТ._DCF030925_vat" xfId="3585" xr:uid="{00000000-0005-0000-0000-0000D00D0000}"/>
    <cellStyle name="_Книга7_ОСН. ДЕЯТ._DCF030925_vat_" xfId="3586" xr:uid="{00000000-0005-0000-0000-0000D10D0000}"/>
    <cellStyle name="_Книга7_ОСН. ДЕЯТ._DCFonly" xfId="3587" xr:uid="{00000000-0005-0000-0000-0000D20D0000}"/>
    <cellStyle name="_Книга7_Перечень названий форм" xfId="3588" xr:uid="{00000000-0005-0000-0000-0000D30D0000}"/>
    <cellStyle name="_Книга7_Перечень названий форм_~5055318" xfId="3589" xr:uid="{00000000-0005-0000-0000-0000D40D0000}"/>
    <cellStyle name="_Книга7_Подразделения" xfId="3590" xr:uid="{00000000-0005-0000-0000-0000D50D0000}"/>
    <cellStyle name="_Книга7_Подразделения_040822 Profit_Tax_(portal)" xfId="3591" xr:uid="{00000000-0005-0000-0000-0000D60D0000}"/>
    <cellStyle name="_Книга7_Подразделения_040928 Profit_Tax_3Ax1Ax4" xfId="3592" xr:uid="{00000000-0005-0000-0000-0000D70D0000}"/>
    <cellStyle name="_Книга7_Подразделения_Tax Input 5yr plan" xfId="3593" xr:uid="{00000000-0005-0000-0000-0000D80D0000}"/>
    <cellStyle name="_Книга7_Подразделения_Книга2" xfId="3594" xr:uid="{00000000-0005-0000-0000-0000D90D0000}"/>
    <cellStyle name="_Книга7_Подразделения_Налог_на_прибыль" xfId="3595" xr:uid="{00000000-0005-0000-0000-0000DA0D0000}"/>
    <cellStyle name="_Книга7_Список тиражирования" xfId="3596" xr:uid="{00000000-0005-0000-0000-0000DB0D0000}"/>
    <cellStyle name="_Книга7_Список тиражирования_040822 Profit_Tax_(portal)" xfId="3597" xr:uid="{00000000-0005-0000-0000-0000DC0D0000}"/>
    <cellStyle name="_Книга7_Список тиражирования_040928 Profit_Tax_3Ax1Ax4" xfId="3598" xr:uid="{00000000-0005-0000-0000-0000DD0D0000}"/>
    <cellStyle name="_Книга7_Список тиражирования_Tax Input 5yr plan" xfId="3599" xr:uid="{00000000-0005-0000-0000-0000DE0D0000}"/>
    <cellStyle name="_Книга7_Список тиражирования_Книга2" xfId="3600" xr:uid="{00000000-0005-0000-0000-0000DF0D0000}"/>
    <cellStyle name="_Книга7_Список тиражирования_Налог_на_прибыль" xfId="3601" xr:uid="{00000000-0005-0000-0000-0000E00D0000}"/>
    <cellStyle name="_Книга7_Форма 12 last" xfId="3602" xr:uid="{00000000-0005-0000-0000-0000E10D0000}"/>
    <cellStyle name="_Книга7_Форма 12 last_~5055318" xfId="3603" xr:uid="{00000000-0005-0000-0000-0000E20D0000}"/>
    <cellStyle name="_Книга7_Форма 12 last_DCF030925_vat" xfId="3604" xr:uid="{00000000-0005-0000-0000-0000E30D0000}"/>
    <cellStyle name="_Книга7_Форма 12 last_DCF030925_vat_" xfId="3605" xr:uid="{00000000-0005-0000-0000-0000E40D0000}"/>
    <cellStyle name="_Книга7_Форма 12 last_DCFonly" xfId="3606" xr:uid="{00000000-0005-0000-0000-0000E50D0000}"/>
    <cellStyle name="_Курск 28 10 02" xfId="3607" xr:uid="{00000000-0005-0000-0000-0000E60D0000}"/>
    <cellStyle name="_Мероприятия по ИТО на 2003 г." xfId="3608" xr:uid="{00000000-0005-0000-0000-0000E70D0000}"/>
    <cellStyle name="_Мероприятия по ИТО на 2003 г._040822 Profit_Tax_(portal)" xfId="3609" xr:uid="{00000000-0005-0000-0000-0000E80D0000}"/>
    <cellStyle name="_Мероприятия по ИТО на 2003 г._040928 Profit_Tax_3Ax1Ax4" xfId="3610" xr:uid="{00000000-0005-0000-0000-0000E90D0000}"/>
    <cellStyle name="_Мероприятия по ИТО на 2003 г._Tax Input 5yr plan" xfId="3611" xr:uid="{00000000-0005-0000-0000-0000EA0D0000}"/>
    <cellStyle name="_Мероприятия по ИТО на 2003 г._Книга2" xfId="3612" xr:uid="{00000000-0005-0000-0000-0000EB0D0000}"/>
    <cellStyle name="_Мероприятия по ИТО на 2003 г._Налог_на_прибыль" xfId="3613" xr:uid="{00000000-0005-0000-0000-0000EC0D0000}"/>
    <cellStyle name="_Модель БП 2003-2007" xfId="3614" xr:uid="{00000000-0005-0000-0000-0000ED0D0000}"/>
    <cellStyle name="_Модель БП 2003-2007.xls Диагр. 1" xfId="3615" xr:uid="{00000000-0005-0000-0000-0000EE0D0000}"/>
    <cellStyle name="_Модель БП 2003-2007.xls Диагр. 2" xfId="3616" xr:uid="{00000000-0005-0000-0000-0000EF0D0000}"/>
    <cellStyle name="_Модель БП 2003-2007_1505" xfId="3617" xr:uid="{00000000-0005-0000-0000-0000F00D0000}"/>
    <cellStyle name="_Москва 17 10" xfId="3618" xr:uid="{00000000-0005-0000-0000-0000F10D0000}"/>
    <cellStyle name="_Налог_на_прибыль" xfId="3619" xr:uid="{00000000-0005-0000-0000-0000F20D0000}"/>
    <cellStyle name="_Нижневартовск" xfId="3620" xr:uid="{00000000-0005-0000-0000-0000F30D0000}"/>
    <cellStyle name="_Нижневартовск факт январь-июль +август_" xfId="3621" xr:uid="{00000000-0005-0000-0000-0000F40D0000}"/>
    <cellStyle name="_Нижневартовский филиал_19_01_20042" xfId="3622" xr:uid="{00000000-0005-0000-0000-0000F50D0000}"/>
    <cellStyle name="_Новый финплан" xfId="3623" xr:uid="{00000000-0005-0000-0000-0000F60D0000}"/>
    <cellStyle name="_Оренбург 31 10 02" xfId="3624" xr:uid="{00000000-0005-0000-0000-0000F70D0000}"/>
    <cellStyle name="_ОТ и Э Тула 2003 г." xfId="3625" xr:uid="{00000000-0005-0000-0000-0000F80D0000}"/>
    <cellStyle name="_ОТ и Э Тула 2003 г._040822 Profit_Tax_(portal)" xfId="3626" xr:uid="{00000000-0005-0000-0000-0000F90D0000}"/>
    <cellStyle name="_ОТ и Э Тула 2003 г._040822 Profit_Tax_(portal)_debt reconciliation_10 11" xfId="3627" xr:uid="{00000000-0005-0000-0000-0000FA0D0000}"/>
    <cellStyle name="_ОТ и Э Тула 2003 г._040822 Profit_Tax_(portal)_EMTN accruals" xfId="3628" xr:uid="{00000000-0005-0000-0000-0000FB0D0000}"/>
    <cellStyle name="_ОТ и Э Тула 2003 г._040822 Profit_Tax_(portal)_report_LTD" xfId="3629" xr:uid="{00000000-0005-0000-0000-0000FC0D0000}"/>
    <cellStyle name="_ОТ и Э Тула 2003 г._040822 Profit_Tax_(portal)_schedule" xfId="3630" xr:uid="{00000000-0005-0000-0000-0000FD0D0000}"/>
    <cellStyle name="_ОТ и Э Тула 2003 г._040928 Profit_Tax_3Ax1Ax4" xfId="3631" xr:uid="{00000000-0005-0000-0000-0000FE0D0000}"/>
    <cellStyle name="_ОТ и Э Тула 2003 г._040928 Profit_Tax_3Ax1Ax4_debt reconciliation_10 11" xfId="3632" xr:uid="{00000000-0005-0000-0000-0000FF0D0000}"/>
    <cellStyle name="_ОТ и Э Тула 2003 г._040928 Profit_Tax_3Ax1Ax4_EMTN accruals" xfId="3633" xr:uid="{00000000-0005-0000-0000-0000000E0000}"/>
    <cellStyle name="_ОТ и Э Тула 2003 г._040928 Profit_Tax_3Ax1Ax4_report_LTD" xfId="3634" xr:uid="{00000000-0005-0000-0000-0000010E0000}"/>
    <cellStyle name="_ОТ и Э Тула 2003 г._040928 Profit_Tax_3Ax1Ax4_schedule" xfId="3635" xr:uid="{00000000-0005-0000-0000-0000020E0000}"/>
    <cellStyle name="_ОТ и Э Тула 2003 г._Tax Input 5yr plan" xfId="3636" xr:uid="{00000000-0005-0000-0000-0000030E0000}"/>
    <cellStyle name="_ОТ и Э Тула 2003 г._Книга2" xfId="3637" xr:uid="{00000000-0005-0000-0000-0000040E0000}"/>
    <cellStyle name="_ОТ и Э Тула 2003 г._Налог_на_прибыль" xfId="3638" xr:uid="{00000000-0005-0000-0000-0000050E0000}"/>
    <cellStyle name="_ОТ и Э Тула 2003 г._Налог_на_прибыль_debt reconciliation_10 11" xfId="3639" xr:uid="{00000000-0005-0000-0000-0000060E0000}"/>
    <cellStyle name="_ОТ и Э Тула 2003 г._Налог_на_прибыль_EMTN accruals" xfId="3640" xr:uid="{00000000-0005-0000-0000-0000070E0000}"/>
    <cellStyle name="_ОТ и Э Тула 2003 г._Налог_на_прибыль_report_LTD" xfId="3641" xr:uid="{00000000-0005-0000-0000-0000080E0000}"/>
    <cellStyle name="_ОТ и Э Тула 2003 г._Налог_на_прибыль_schedule" xfId="3642" xr:uid="{00000000-0005-0000-0000-0000090E0000}"/>
    <cellStyle name="_Отчет об ож результатах за 2003 год (образец)" xfId="3643" xr:uid="{00000000-0005-0000-0000-00000A0E0000}"/>
    <cellStyle name="_Отчетность_неаллокированная" xfId="3644" xr:uid="{00000000-0005-0000-0000-00000B0E0000}"/>
    <cellStyle name="_ОТЧЕТЫ_1" xfId="3645" xr:uid="{00000000-0005-0000-0000-00000C0E0000}"/>
    <cellStyle name="_ОТЧЕТЫ_1_со сводами" xfId="3646" xr:uid="{00000000-0005-0000-0000-00000D0E0000}"/>
    <cellStyle name="_охрана труда цел. прогр." xfId="3647" xr:uid="{00000000-0005-0000-0000-00000E0E0000}"/>
    <cellStyle name="_охрана труда цел. прогр._040822 Profit_Tax_(portal)" xfId="3648" xr:uid="{00000000-0005-0000-0000-00000F0E0000}"/>
    <cellStyle name="_охрана труда цел. прогр._040822 Profit_Tax_(portal)_debt reconciliation_10 11" xfId="3649" xr:uid="{00000000-0005-0000-0000-0000100E0000}"/>
    <cellStyle name="_охрана труда цел. прогр._040822 Profit_Tax_(portal)_EMTN accruals" xfId="3650" xr:uid="{00000000-0005-0000-0000-0000110E0000}"/>
    <cellStyle name="_охрана труда цел. прогр._040822 Profit_Tax_(portal)_report_LTD" xfId="3651" xr:uid="{00000000-0005-0000-0000-0000120E0000}"/>
    <cellStyle name="_охрана труда цел. прогр._040822 Profit_Tax_(portal)_schedule" xfId="3652" xr:uid="{00000000-0005-0000-0000-0000130E0000}"/>
    <cellStyle name="_охрана труда цел. прогр._040928 Profit_Tax_3Ax1Ax4" xfId="3653" xr:uid="{00000000-0005-0000-0000-0000140E0000}"/>
    <cellStyle name="_охрана труда цел. прогр._040928 Profit_Tax_3Ax1Ax4_debt reconciliation_10 11" xfId="3654" xr:uid="{00000000-0005-0000-0000-0000150E0000}"/>
    <cellStyle name="_охрана труда цел. прогр._040928 Profit_Tax_3Ax1Ax4_EMTN accruals" xfId="3655" xr:uid="{00000000-0005-0000-0000-0000160E0000}"/>
    <cellStyle name="_охрана труда цел. прогр._040928 Profit_Tax_3Ax1Ax4_report_LTD" xfId="3656" xr:uid="{00000000-0005-0000-0000-0000170E0000}"/>
    <cellStyle name="_охрана труда цел. прогр._040928 Profit_Tax_3Ax1Ax4_schedule" xfId="3657" xr:uid="{00000000-0005-0000-0000-0000180E0000}"/>
    <cellStyle name="_охрана труда цел. прогр._Tax Input 5yr plan" xfId="3658" xr:uid="{00000000-0005-0000-0000-0000190E0000}"/>
    <cellStyle name="_охрана труда цел. прогр._Книга2" xfId="3659" xr:uid="{00000000-0005-0000-0000-00001A0E0000}"/>
    <cellStyle name="_охрана труда цел. прогр._Налог_на_прибыль" xfId="3660" xr:uid="{00000000-0005-0000-0000-00001B0E0000}"/>
    <cellStyle name="_охрана труда цел. прогр._Налог_на_прибыль_debt reconciliation_10 11" xfId="3661" xr:uid="{00000000-0005-0000-0000-00001C0E0000}"/>
    <cellStyle name="_охрана труда цел. прогр._Налог_на_прибыль_EMTN accruals" xfId="3662" xr:uid="{00000000-0005-0000-0000-00001D0E0000}"/>
    <cellStyle name="_охрана труда цел. прогр._Налог_на_прибыль_report_LTD" xfId="3663" xr:uid="{00000000-0005-0000-0000-00001E0E0000}"/>
    <cellStyle name="_охрана труда цел. прогр._Налог_на_прибыль_schedule" xfId="3664" xr:uid="{00000000-0005-0000-0000-00001F0E0000}"/>
    <cellStyle name="_периметры в ДО от 11 ноября 2004" xfId="3665" xr:uid="{00000000-0005-0000-0000-0000200E0000}"/>
    <cellStyle name="_Пии-ТНК-Украина18$$" xfId="3666" xr:uid="{00000000-0005-0000-0000-0000210E0000}"/>
    <cellStyle name="_План_З" xfId="3667" xr:uid="{00000000-0005-0000-0000-0000220E0000}"/>
    <cellStyle name="_Подг и разв персонала 2003" xfId="3668" xr:uid="{00000000-0005-0000-0000-0000230E0000}"/>
    <cellStyle name="_Подг и разв персонала 2003_040822 Profit_Tax_(portal)" xfId="3669" xr:uid="{00000000-0005-0000-0000-0000240E0000}"/>
    <cellStyle name="_Подг и разв персонала 2003_040822 Profit_Tax_(portal)_debt reconciliation_10 11" xfId="3670" xr:uid="{00000000-0005-0000-0000-0000250E0000}"/>
    <cellStyle name="_Подг и разв персонала 2003_040822 Profit_Tax_(portal)_EMTN accruals" xfId="3671" xr:uid="{00000000-0005-0000-0000-0000260E0000}"/>
    <cellStyle name="_Подг и разв персонала 2003_040822 Profit_Tax_(portal)_report_LTD" xfId="3672" xr:uid="{00000000-0005-0000-0000-0000270E0000}"/>
    <cellStyle name="_Подг и разв персонала 2003_040822 Profit_Tax_(portal)_schedule" xfId="3673" xr:uid="{00000000-0005-0000-0000-0000280E0000}"/>
    <cellStyle name="_Подг и разв персонала 2003_040928 Profit_Tax_3Ax1Ax4" xfId="3674" xr:uid="{00000000-0005-0000-0000-0000290E0000}"/>
    <cellStyle name="_Подг и разв персонала 2003_040928 Profit_Tax_3Ax1Ax4_debt reconciliation_10 11" xfId="3675" xr:uid="{00000000-0005-0000-0000-00002A0E0000}"/>
    <cellStyle name="_Подг и разв персонала 2003_040928 Profit_Tax_3Ax1Ax4_EMTN accruals" xfId="3676" xr:uid="{00000000-0005-0000-0000-00002B0E0000}"/>
    <cellStyle name="_Подг и разв персонала 2003_040928 Profit_Tax_3Ax1Ax4_report_LTD" xfId="3677" xr:uid="{00000000-0005-0000-0000-00002C0E0000}"/>
    <cellStyle name="_Подг и разв персонала 2003_040928 Profit_Tax_3Ax1Ax4_schedule" xfId="3678" xr:uid="{00000000-0005-0000-0000-00002D0E0000}"/>
    <cellStyle name="_Подг и разв персонала 2003_Tax Input 5yr plan" xfId="3679" xr:uid="{00000000-0005-0000-0000-00002E0E0000}"/>
    <cellStyle name="_Подг и разв персонала 2003_Книга2" xfId="3680" xr:uid="{00000000-0005-0000-0000-00002F0E0000}"/>
    <cellStyle name="_Подг и разв персонала 2003_Налог_на_прибыль" xfId="3681" xr:uid="{00000000-0005-0000-0000-0000300E0000}"/>
    <cellStyle name="_Подг и разв персонала 2003_Налог_на_прибыль_debt reconciliation_10 11" xfId="3682" xr:uid="{00000000-0005-0000-0000-0000310E0000}"/>
    <cellStyle name="_Подг и разв персонала 2003_Налог_на_прибыль_EMTN accruals" xfId="3683" xr:uid="{00000000-0005-0000-0000-0000320E0000}"/>
    <cellStyle name="_Подг и разв персонала 2003_Налог_на_прибыль_report_LTD" xfId="3684" xr:uid="{00000000-0005-0000-0000-0000330E0000}"/>
    <cellStyle name="_Подг и разв персонала 2003_Налог_на_прибыль_schedule" xfId="3685" xr:uid="{00000000-0005-0000-0000-0000340E0000}"/>
    <cellStyle name="_Полный бюджет 2004г. СибРУЦ (06.11.03)" xfId="3686" xr:uid="{00000000-0005-0000-0000-0000350E0000}"/>
    <cellStyle name="_ПОТРЕБНАЯ ЧИСЛИ ЗАРПЛАТА" xfId="3687" xr:uid="{00000000-0005-0000-0000-0000360E0000}"/>
    <cellStyle name="_Приложение 1_КПБ КЦ" xfId="3688" xr:uid="{00000000-0005-0000-0000-0000370E0000}"/>
    <cellStyle name="_Приложение 2_Пятилетний план функциональных расходов" xfId="3689" xr:uid="{00000000-0005-0000-0000-0000380E0000}"/>
    <cellStyle name="_Приложение 4_Инструкция по формированию статей бюджета" xfId="3690" xr:uid="{00000000-0005-0000-0000-0000390E0000}"/>
    <cellStyle name="_Приложение Оборотный капитал2005" xfId="3691" xr:uid="{00000000-0005-0000-0000-00003A0E0000}"/>
    <cellStyle name="_Программы по  экологии на 2003 г." xfId="3692" xr:uid="{00000000-0005-0000-0000-00003B0E0000}"/>
    <cellStyle name="_Программы по  экологии на 2003 г._040822 Profit_Tax_(portal)" xfId="3693" xr:uid="{00000000-0005-0000-0000-00003C0E0000}"/>
    <cellStyle name="_Программы по  экологии на 2003 г._040822 Profit_Tax_(portal)_debt reconciliation_10 11" xfId="3694" xr:uid="{00000000-0005-0000-0000-00003D0E0000}"/>
    <cellStyle name="_Программы по  экологии на 2003 г._040822 Profit_Tax_(portal)_EMTN accruals" xfId="3695" xr:uid="{00000000-0005-0000-0000-00003E0E0000}"/>
    <cellStyle name="_Программы по  экологии на 2003 г._040822 Profit_Tax_(portal)_report_LTD" xfId="3696" xr:uid="{00000000-0005-0000-0000-00003F0E0000}"/>
    <cellStyle name="_Программы по  экологии на 2003 г._040822 Profit_Tax_(portal)_schedule" xfId="3697" xr:uid="{00000000-0005-0000-0000-0000400E0000}"/>
    <cellStyle name="_Программы по  экологии на 2003 г._040928 Profit_Tax_3Ax1Ax4" xfId="3698" xr:uid="{00000000-0005-0000-0000-0000410E0000}"/>
    <cellStyle name="_Программы по  экологии на 2003 г._040928 Profit_Tax_3Ax1Ax4_debt reconciliation_10 11" xfId="3699" xr:uid="{00000000-0005-0000-0000-0000420E0000}"/>
    <cellStyle name="_Программы по  экологии на 2003 г._040928 Profit_Tax_3Ax1Ax4_EMTN accruals" xfId="3700" xr:uid="{00000000-0005-0000-0000-0000430E0000}"/>
    <cellStyle name="_Программы по  экологии на 2003 г._040928 Profit_Tax_3Ax1Ax4_report_LTD" xfId="3701" xr:uid="{00000000-0005-0000-0000-0000440E0000}"/>
    <cellStyle name="_Программы по  экологии на 2003 г._040928 Profit_Tax_3Ax1Ax4_schedule" xfId="3702" xr:uid="{00000000-0005-0000-0000-0000450E0000}"/>
    <cellStyle name="_Программы по  экологии на 2003 г._Tax Input 5yr plan" xfId="3703" xr:uid="{00000000-0005-0000-0000-0000460E0000}"/>
    <cellStyle name="_Программы по  экологии на 2003 г._Книга2" xfId="3704" xr:uid="{00000000-0005-0000-0000-0000470E0000}"/>
    <cellStyle name="_Программы по  экологии на 2003 г._Налог_на_прибыль" xfId="3705" xr:uid="{00000000-0005-0000-0000-0000480E0000}"/>
    <cellStyle name="_Программы по  экологии на 2003 г._Налог_на_прибыль_debt reconciliation_10 11" xfId="3706" xr:uid="{00000000-0005-0000-0000-0000490E0000}"/>
    <cellStyle name="_Программы по  экологии на 2003 г._Налог_на_прибыль_EMTN accruals" xfId="3707" xr:uid="{00000000-0005-0000-0000-00004A0E0000}"/>
    <cellStyle name="_Программы по  экологии на 2003 г._Налог_на_прибыль_report_LTD" xfId="3708" xr:uid="{00000000-0005-0000-0000-00004B0E0000}"/>
    <cellStyle name="_Программы по  экологии на 2003 г._Налог_на_прибыль_schedule" xfId="3709" xr:uid="{00000000-0005-0000-0000-00004C0E0000}"/>
    <cellStyle name="_Проект 2004г." xfId="3710" xr:uid="{00000000-0005-0000-0000-00004D0E0000}"/>
    <cellStyle name="_расчет % и долга для 1YBP =GFO NEW 2005" xfId="3711" xr:uid="{00000000-0005-0000-0000-00004E0E0000}"/>
    <cellStyle name="_Расчёт налога на прибыль" xfId="3712" xr:uid="{00000000-0005-0000-0000-00004F0E0000}"/>
    <cellStyle name="_Расчет соц.прогр.2002_2003" xfId="3713" xr:uid="{00000000-0005-0000-0000-0000500E0000}"/>
    <cellStyle name="_Расчет соц.прогр.2002_2003_040822 Profit_Tax_(portal)" xfId="3714" xr:uid="{00000000-0005-0000-0000-0000510E0000}"/>
    <cellStyle name="_Расчет соц.прогр.2002_2003_040928 Profit_Tax_3Ax1Ax4" xfId="3715" xr:uid="{00000000-0005-0000-0000-0000520E0000}"/>
    <cellStyle name="_Расчет соц.прогр.2002_2003_Tax Input 5yr plan" xfId="3716" xr:uid="{00000000-0005-0000-0000-0000530E0000}"/>
    <cellStyle name="_Расчет соц.прогр.2002_2003_Книга2" xfId="3717" xr:uid="{00000000-0005-0000-0000-0000540E0000}"/>
    <cellStyle name="_Расчет соц.прогр.2002_2003_Налог_на_прибыль" xfId="3718" xr:uid="{00000000-0005-0000-0000-0000550E0000}"/>
    <cellStyle name="_Расчет соц.прогр.от 15.08.02" xfId="3719" xr:uid="{00000000-0005-0000-0000-0000560E0000}"/>
    <cellStyle name="_Расчет соц.прогр.от 15.08.02_040822 Profit_Tax_(portal)" xfId="3720" xr:uid="{00000000-0005-0000-0000-0000570E0000}"/>
    <cellStyle name="_Расчет соц.прогр.от 15.08.02_040928 Profit_Tax_3Ax1Ax4" xfId="3721" xr:uid="{00000000-0005-0000-0000-0000580E0000}"/>
    <cellStyle name="_Расчет соц.прогр.от 15.08.02_Tax Input 5yr plan" xfId="3722" xr:uid="{00000000-0005-0000-0000-0000590E0000}"/>
    <cellStyle name="_Расчет соц.прогр.от 15.08.02_Книга2" xfId="3723" xr:uid="{00000000-0005-0000-0000-00005A0E0000}"/>
    <cellStyle name="_Расчет соц.прогр.от 15.08.02_Налог_на_прибыль" xfId="3724" xr:uid="{00000000-0005-0000-0000-00005B0E0000}"/>
    <cellStyle name="_Расчет соц.прогр.от 5.08.02" xfId="3725" xr:uid="{00000000-0005-0000-0000-00005C0E0000}"/>
    <cellStyle name="_Расчет соц.прогр.от 5.08.02_040822 Profit_Tax_(portal)" xfId="3726" xr:uid="{00000000-0005-0000-0000-00005D0E0000}"/>
    <cellStyle name="_Расчет соц.прогр.от 5.08.02_040928 Profit_Tax_3Ax1Ax4" xfId="3727" xr:uid="{00000000-0005-0000-0000-00005E0E0000}"/>
    <cellStyle name="_Расчет соц.прогр.от 5.08.02_Tax Input 5yr plan" xfId="3728" xr:uid="{00000000-0005-0000-0000-00005F0E0000}"/>
    <cellStyle name="_Расчет соц.прогр.от 5.08.02_Книга2" xfId="3729" xr:uid="{00000000-0005-0000-0000-0000600E0000}"/>
    <cellStyle name="_Расчет соц.прогр.от 5.08.02_Налог_на_прибыль" xfId="3730" xr:uid="{00000000-0005-0000-0000-0000610E0000}"/>
    <cellStyle name="_Расчет соц.прогр.от 9.08.02" xfId="3731" xr:uid="{00000000-0005-0000-0000-0000620E0000}"/>
    <cellStyle name="_Расчет соц.прогр.от 9.08.02_040822 Profit_Tax_(portal)" xfId="3732" xr:uid="{00000000-0005-0000-0000-0000630E0000}"/>
    <cellStyle name="_Расчет соц.прогр.от 9.08.02_040928 Profit_Tax_3Ax1Ax4" xfId="3733" xr:uid="{00000000-0005-0000-0000-0000640E0000}"/>
    <cellStyle name="_Расчет соц.прогр.от 9.08.02_Tax Input 5yr plan" xfId="3734" xr:uid="{00000000-0005-0000-0000-0000650E0000}"/>
    <cellStyle name="_Расчет соц.прогр.от 9.08.02_Книга2" xfId="3735" xr:uid="{00000000-0005-0000-0000-0000660E0000}"/>
    <cellStyle name="_Расчет соц.прогр.от 9.08.02_Налог_на_прибыль" xfId="3736" xr:uid="{00000000-0005-0000-0000-0000670E0000}"/>
    <cellStyle name="_Рязань 29 10 02" xfId="3737" xr:uid="{00000000-0005-0000-0000-0000680E0000}"/>
    <cellStyle name="_Свод 2003  " xfId="3738" xr:uid="{00000000-0005-0000-0000-0000690E0000}"/>
    <cellStyle name="_Свод 2003  _040822 Profit_Tax_(portal)" xfId="3739" xr:uid="{00000000-0005-0000-0000-00006A0E0000}"/>
    <cellStyle name="_Свод 2003  _040822 Profit_Tax_(portal)_debt reconciliation_10 11" xfId="3740" xr:uid="{00000000-0005-0000-0000-00006B0E0000}"/>
    <cellStyle name="_Свод 2003  _040822 Profit_Tax_(portal)_EMTN accruals" xfId="3741" xr:uid="{00000000-0005-0000-0000-00006C0E0000}"/>
    <cellStyle name="_Свод 2003  _040822 Profit_Tax_(portal)_report_LTD" xfId="3742" xr:uid="{00000000-0005-0000-0000-00006D0E0000}"/>
    <cellStyle name="_Свод 2003  _040822 Profit_Tax_(portal)_schedule" xfId="3743" xr:uid="{00000000-0005-0000-0000-00006E0E0000}"/>
    <cellStyle name="_Свод 2003  _040928 Profit_Tax_3Ax1Ax4" xfId="3744" xr:uid="{00000000-0005-0000-0000-00006F0E0000}"/>
    <cellStyle name="_Свод 2003  _040928 Profit_Tax_3Ax1Ax4_debt reconciliation_10 11" xfId="3745" xr:uid="{00000000-0005-0000-0000-0000700E0000}"/>
    <cellStyle name="_Свод 2003  _040928 Profit_Tax_3Ax1Ax4_EMTN accruals" xfId="3746" xr:uid="{00000000-0005-0000-0000-0000710E0000}"/>
    <cellStyle name="_Свод 2003  _040928 Profit_Tax_3Ax1Ax4_report_LTD" xfId="3747" xr:uid="{00000000-0005-0000-0000-0000720E0000}"/>
    <cellStyle name="_Свод 2003  _040928 Profit_Tax_3Ax1Ax4_schedule" xfId="3748" xr:uid="{00000000-0005-0000-0000-0000730E0000}"/>
    <cellStyle name="_Свод 2003  _Tax Input 5yr plan" xfId="3749" xr:uid="{00000000-0005-0000-0000-0000740E0000}"/>
    <cellStyle name="_Свод 2003  _Книга2" xfId="3750" xr:uid="{00000000-0005-0000-0000-0000750E0000}"/>
    <cellStyle name="_Свод 2003  _Налог_на_прибыль" xfId="3751" xr:uid="{00000000-0005-0000-0000-0000760E0000}"/>
    <cellStyle name="_Свод 2003  _Налог_на_прибыль_debt reconciliation_10 11" xfId="3752" xr:uid="{00000000-0005-0000-0000-0000770E0000}"/>
    <cellStyle name="_Свод 2003  _Налог_на_прибыль_EMTN accruals" xfId="3753" xr:uid="{00000000-0005-0000-0000-0000780E0000}"/>
    <cellStyle name="_Свод 2003  _Налог_на_прибыль_report_LTD" xfId="3754" xr:uid="{00000000-0005-0000-0000-0000790E0000}"/>
    <cellStyle name="_Свод 2003  _Налог_на_прибыль_schedule" xfId="3755" xr:uid="{00000000-0005-0000-0000-00007A0E0000}"/>
    <cellStyle name="_Свод по Фил Предст 2004" xfId="3756" xr:uid="{00000000-0005-0000-0000-00007B0E0000}"/>
    <cellStyle name="_Сводная заявка по подразделениям на 2004 г." xfId="3757" xr:uid="{00000000-0005-0000-0000-00007C0E0000}"/>
    <cellStyle name="_СВОДНЫЙ ЛИСТ RO" xfId="3758" xr:uid="{00000000-0005-0000-0000-00007D0E0000}"/>
    <cellStyle name="_Смета затрат" xfId="3759" xr:uid="{00000000-0005-0000-0000-00007E0E0000}"/>
    <cellStyle name="_Смета затрат_~5055318" xfId="3760" xr:uid="{00000000-0005-0000-0000-00007F0E0000}"/>
    <cellStyle name="_Смета затрат_~5055318_debt reconciliation_10 11" xfId="3761" xr:uid="{00000000-0005-0000-0000-0000800E0000}"/>
    <cellStyle name="_Смета затрат_~5055318_EMTN accruals" xfId="3762" xr:uid="{00000000-0005-0000-0000-0000810E0000}"/>
    <cellStyle name="_Смета затрат_~5055318_report_LTD" xfId="3763" xr:uid="{00000000-0005-0000-0000-0000820E0000}"/>
    <cellStyle name="_Смета затрат_~5055318_schedule" xfId="3764" xr:uid="{00000000-0005-0000-0000-0000830E0000}"/>
    <cellStyle name="_СП" xfId="3765" xr:uid="{00000000-0005-0000-0000-0000840E0000}"/>
    <cellStyle name="_СП Добычи на 2004 год" xfId="3766" xr:uid="{00000000-0005-0000-0000-0000850E0000}"/>
    <cellStyle name="_стоимость и срок ДКФ на 010904" xfId="3767" xr:uid="{00000000-0005-0000-0000-0000860E0000}"/>
    <cellStyle name="_Тула 26 10" xfId="3768" xr:uid="{00000000-0005-0000-0000-0000870E0000}"/>
    <cellStyle name="_Урал 17 10" xfId="3769" xr:uid="{00000000-0005-0000-0000-0000880E0000}"/>
    <cellStyle name="_ФЗП 2003 свод" xfId="3770" xr:uid="{00000000-0005-0000-0000-0000890E0000}"/>
    <cellStyle name="_ФЗП 2003 свод_040822 Profit_Tax_(portal)" xfId="3771" xr:uid="{00000000-0005-0000-0000-00008A0E0000}"/>
    <cellStyle name="_ФЗП 2003 свод_040928 Profit_Tax_3Ax1Ax4" xfId="3772" xr:uid="{00000000-0005-0000-0000-00008B0E0000}"/>
    <cellStyle name="_ФЗП 2003 свод_Tax Input 5yr plan" xfId="3773" xr:uid="{00000000-0005-0000-0000-00008C0E0000}"/>
    <cellStyle name="_ФЗП 2003 свод_Книга2" xfId="3774" xr:uid="{00000000-0005-0000-0000-00008D0E0000}"/>
    <cellStyle name="_ФЗП 2003 свод_Налог_на_прибыль" xfId="3775" xr:uid="{00000000-0005-0000-0000-00008E0E0000}"/>
    <cellStyle name="_Форма сводного плана ТЭП" xfId="3776" xr:uid="{00000000-0005-0000-0000-00008F0E0000}"/>
    <cellStyle name="_Форма сравнения 2003 г и 2004 г" xfId="3777" xr:uid="{00000000-0005-0000-0000-0000900E0000}"/>
    <cellStyle name="_Форма_01.16_UpstreamForm_05_FINPLAN_САнгл" xfId="3778" xr:uid="{00000000-0005-0000-0000-0000910E0000}"/>
    <cellStyle name="_Форма_01.16_UpstreamForm_05_SMETA_САнгл" xfId="3779" xr:uid="{00000000-0005-0000-0000-0000920E0000}"/>
    <cellStyle name="_Форма_01.16_UpstreamForm_13_TEP_САнгл" xfId="3780" xr:uid="{00000000-0005-0000-0000-0000930E0000}"/>
    <cellStyle name="_Формат БП_new Сервисы2" xfId="3781" xr:uid="{00000000-0005-0000-0000-0000940E0000}"/>
    <cellStyle name="_Формат БП_new Сервисы2_040822 Profit_Tax_(portal)" xfId="3782" xr:uid="{00000000-0005-0000-0000-0000950E0000}"/>
    <cellStyle name="_Формат БП_new Сервисы2_040928 Profit_Tax_3Ax1Ax4" xfId="3783" xr:uid="{00000000-0005-0000-0000-0000960E0000}"/>
    <cellStyle name="_Формат БП_new Сервисы2_Tax Input 5yr plan" xfId="3784" xr:uid="{00000000-0005-0000-0000-0000970E0000}"/>
    <cellStyle name="_Формат БП_new Сервисы2_Книга2" xfId="3785" xr:uid="{00000000-0005-0000-0000-0000980E0000}"/>
    <cellStyle name="_Формат БП_new Сервисы2_Налог_на_прибыль" xfId="3786" xr:uid="{00000000-0005-0000-0000-0000990E0000}"/>
    <cellStyle name="_Формат КВ БП НПЗ свод_new" xfId="3787" xr:uid="{00000000-0005-0000-0000-00009A0E0000}"/>
    <cellStyle name="_Формат КВ БП РНПК" xfId="3788" xr:uid="{00000000-0005-0000-0000-00009B0E0000}"/>
    <cellStyle name="_Формат целевых программ на 2003 год оконат" xfId="3789" xr:uid="{00000000-0005-0000-0000-00009C0E0000}"/>
    <cellStyle name="_Формат целевых программ на 2003 год оконат_040822 Profit_Tax_(portal)" xfId="3790" xr:uid="{00000000-0005-0000-0000-00009D0E0000}"/>
    <cellStyle name="_Формат целевых программ на 2003 год оконат_040822 Profit_Tax_(portal)_debt reconciliation_10 11" xfId="3791" xr:uid="{00000000-0005-0000-0000-00009E0E0000}"/>
    <cellStyle name="_Формат целевых программ на 2003 год оконат_040822 Profit_Tax_(portal)_EMTN accruals" xfId="3792" xr:uid="{00000000-0005-0000-0000-00009F0E0000}"/>
    <cellStyle name="_Формат целевых программ на 2003 год оконат_040822 Profit_Tax_(portal)_report_LTD" xfId="3793" xr:uid="{00000000-0005-0000-0000-0000A00E0000}"/>
    <cellStyle name="_Формат целевых программ на 2003 год оконат_040822 Profit_Tax_(portal)_schedule" xfId="3794" xr:uid="{00000000-0005-0000-0000-0000A10E0000}"/>
    <cellStyle name="_Формат целевых программ на 2003 год оконат_040928 Profit_Tax_3Ax1Ax4" xfId="3795" xr:uid="{00000000-0005-0000-0000-0000A20E0000}"/>
    <cellStyle name="_Формат целевых программ на 2003 год оконат_040928 Profit_Tax_3Ax1Ax4_debt reconciliation_10 11" xfId="3796" xr:uid="{00000000-0005-0000-0000-0000A30E0000}"/>
    <cellStyle name="_Формат целевых программ на 2003 год оконат_040928 Profit_Tax_3Ax1Ax4_EMTN accruals" xfId="3797" xr:uid="{00000000-0005-0000-0000-0000A40E0000}"/>
    <cellStyle name="_Формат целевых программ на 2003 год оконат_040928 Profit_Tax_3Ax1Ax4_report_LTD" xfId="3798" xr:uid="{00000000-0005-0000-0000-0000A50E0000}"/>
    <cellStyle name="_Формат целевых программ на 2003 год оконат_040928 Profit_Tax_3Ax1Ax4_schedule" xfId="3799" xr:uid="{00000000-0005-0000-0000-0000A60E0000}"/>
    <cellStyle name="_Формат целевых программ на 2003 год оконат_Tax Input 5yr plan" xfId="3800" xr:uid="{00000000-0005-0000-0000-0000A70E0000}"/>
    <cellStyle name="_Формат целевых программ на 2003 год оконат_Книга2" xfId="3801" xr:uid="{00000000-0005-0000-0000-0000A80E0000}"/>
    <cellStyle name="_Формат целевых программ на 2003 год оконат_Налог_на_прибыль" xfId="3802" xr:uid="{00000000-0005-0000-0000-0000A90E0000}"/>
    <cellStyle name="_Формат целевых программ на 2003 год оконат_Налог_на_прибыль_debt reconciliation_10 11" xfId="3803" xr:uid="{00000000-0005-0000-0000-0000AA0E0000}"/>
    <cellStyle name="_Формат целевых программ на 2003 год оконат_Налог_на_прибыль_EMTN accruals" xfId="3804" xr:uid="{00000000-0005-0000-0000-0000AB0E0000}"/>
    <cellStyle name="_Формат целевых программ на 2003 год оконат_Налог_на_прибыль_report_LTD" xfId="3805" xr:uid="{00000000-0005-0000-0000-0000AC0E0000}"/>
    <cellStyle name="_Формат целевых программ на 2003 год оконат_Налог_на_прибыль_schedule" xfId="3806" xr:uid="{00000000-0005-0000-0000-0000AD0E0000}"/>
    <cellStyle name="_Формат целевых программ на 2003 год окончат1" xfId="3807" xr:uid="{00000000-0005-0000-0000-0000AE0E0000}"/>
    <cellStyle name="_Формат целевых программ на 2003 год окончат1_~5055318" xfId="3808" xr:uid="{00000000-0005-0000-0000-0000AF0E0000}"/>
    <cellStyle name="_Формат целевых программ на 2003 год окончат1_~5055318_debt reconciliation_10 11" xfId="3809" xr:uid="{00000000-0005-0000-0000-0000B00E0000}"/>
    <cellStyle name="_Формат целевых программ на 2003 год окончат1_~5055318_EMTN accruals" xfId="3810" xr:uid="{00000000-0005-0000-0000-0000B10E0000}"/>
    <cellStyle name="_Формат целевых программ на 2003 год окончат1_~5055318_report_LTD" xfId="3811" xr:uid="{00000000-0005-0000-0000-0000B20E0000}"/>
    <cellStyle name="_Формат целевых программ на 2003 год окончат1_~5055318_schedule" xfId="3812" xr:uid="{00000000-0005-0000-0000-0000B30E0000}"/>
    <cellStyle name="_Формат целевых программ на 2003 год окончат1_DCF030925_vat" xfId="3813" xr:uid="{00000000-0005-0000-0000-0000B40E0000}"/>
    <cellStyle name="_Формат целевых программ на 2003 год окончат1_DCFonly" xfId="3814" xr:uid="{00000000-0005-0000-0000-0000B50E0000}"/>
    <cellStyle name="_Формы АСУ для БП на 2003год" xfId="3815" xr:uid="{00000000-0005-0000-0000-0000B60E0000}"/>
    <cellStyle name="_Формы АСУ для БП на 2003год_ егор в кис " xfId="3816" xr:uid="{00000000-0005-0000-0000-0000B70E0000}"/>
    <cellStyle name="_Формы АСУ для БП на 2003год_ егор в кис _040822 Profit_Tax_(portal)" xfId="3817" xr:uid="{00000000-0005-0000-0000-0000B80E0000}"/>
    <cellStyle name="_Формы АСУ для БП на 2003год_ егор в кис _040822 Profit_Tax_(portal)_debt reconciliation_10 11" xfId="3818" xr:uid="{00000000-0005-0000-0000-0000B90E0000}"/>
    <cellStyle name="_Формы АСУ для БП на 2003год_ егор в кис _040822 Profit_Tax_(portal)_EMTN accruals" xfId="3819" xr:uid="{00000000-0005-0000-0000-0000BA0E0000}"/>
    <cellStyle name="_Формы АСУ для БП на 2003год_ егор в кис _040822 Profit_Tax_(portal)_report_LTD" xfId="3820" xr:uid="{00000000-0005-0000-0000-0000BB0E0000}"/>
    <cellStyle name="_Формы АСУ для БП на 2003год_ егор в кис _040822 Profit_Tax_(portal)_schedule" xfId="3821" xr:uid="{00000000-0005-0000-0000-0000BC0E0000}"/>
    <cellStyle name="_Формы АСУ для БП на 2003год_ егор в кис _040928 Profit_Tax_3Ax1Ax4" xfId="3822" xr:uid="{00000000-0005-0000-0000-0000BD0E0000}"/>
    <cellStyle name="_Формы АСУ для БП на 2003год_ егор в кис _040928 Profit_Tax_3Ax1Ax4_debt reconciliation_10 11" xfId="3823" xr:uid="{00000000-0005-0000-0000-0000BE0E0000}"/>
    <cellStyle name="_Формы АСУ для БП на 2003год_ егор в кис _040928 Profit_Tax_3Ax1Ax4_EMTN accruals" xfId="3824" xr:uid="{00000000-0005-0000-0000-0000BF0E0000}"/>
    <cellStyle name="_Формы АСУ для БП на 2003год_ егор в кис _040928 Profit_Tax_3Ax1Ax4_report_LTD" xfId="3825" xr:uid="{00000000-0005-0000-0000-0000C00E0000}"/>
    <cellStyle name="_Формы АСУ для БП на 2003год_ егор в кис _040928 Profit_Tax_3Ax1Ax4_schedule" xfId="3826" xr:uid="{00000000-0005-0000-0000-0000C10E0000}"/>
    <cellStyle name="_Формы АСУ для БП на 2003год_ егор в кис _Tax Input 5yr plan" xfId="3827" xr:uid="{00000000-0005-0000-0000-0000C20E0000}"/>
    <cellStyle name="_Формы АСУ для БП на 2003год_ егор в кис _Книга2" xfId="3828" xr:uid="{00000000-0005-0000-0000-0000C30E0000}"/>
    <cellStyle name="_Формы АСУ для БП на 2003год_ егор в кис _Налог_на_прибыль" xfId="3829" xr:uid="{00000000-0005-0000-0000-0000C40E0000}"/>
    <cellStyle name="_Формы АСУ для БП на 2003год_ егор в кис _Налог_на_прибыль_debt reconciliation_10 11" xfId="3830" xr:uid="{00000000-0005-0000-0000-0000C50E0000}"/>
    <cellStyle name="_Формы АСУ для БП на 2003год_ егор в кис _Налог_на_прибыль_EMTN accruals" xfId="3831" xr:uid="{00000000-0005-0000-0000-0000C60E0000}"/>
    <cellStyle name="_Формы АСУ для БП на 2003год_ егор в кис _Налог_на_прибыль_report_LTD" xfId="3832" xr:uid="{00000000-0005-0000-0000-0000C70E0000}"/>
    <cellStyle name="_Формы АСУ для БП на 2003год_ егор в кис _Налог_на_прибыль_schedule" xfId="3833" xr:uid="{00000000-0005-0000-0000-0000C80E0000}"/>
    <cellStyle name="_Формы АСУ для БП на 2003год_040822 Profit_Tax_(portal)" xfId="3834" xr:uid="{00000000-0005-0000-0000-0000C90E0000}"/>
    <cellStyle name="_Формы АСУ для БП на 2003год_040822 Profit_Tax_(portal)_debt reconciliation_10 11" xfId="3835" xr:uid="{00000000-0005-0000-0000-0000CA0E0000}"/>
    <cellStyle name="_Формы АСУ для БП на 2003год_040822 Profit_Tax_(portal)_EMTN accruals" xfId="3836" xr:uid="{00000000-0005-0000-0000-0000CB0E0000}"/>
    <cellStyle name="_Формы АСУ для БП на 2003год_040822 Profit_Tax_(portal)_report_LTD" xfId="3837" xr:uid="{00000000-0005-0000-0000-0000CC0E0000}"/>
    <cellStyle name="_Формы АСУ для БП на 2003год_040822 Profit_Tax_(portal)_schedule" xfId="3838" xr:uid="{00000000-0005-0000-0000-0000CD0E0000}"/>
    <cellStyle name="_Формы АСУ для БП на 2003год_040928 Profit_Tax_3Ax1Ax4" xfId="3839" xr:uid="{00000000-0005-0000-0000-0000CE0E0000}"/>
    <cellStyle name="_Формы АСУ для БП на 2003год_040928 Profit_Tax_3Ax1Ax4_debt reconciliation_10 11" xfId="3840" xr:uid="{00000000-0005-0000-0000-0000CF0E0000}"/>
    <cellStyle name="_Формы АСУ для БП на 2003год_040928 Profit_Tax_3Ax1Ax4_EMTN accruals" xfId="3841" xr:uid="{00000000-0005-0000-0000-0000D00E0000}"/>
    <cellStyle name="_Формы АСУ для БП на 2003год_040928 Profit_Tax_3Ax1Ax4_report_LTD" xfId="3842" xr:uid="{00000000-0005-0000-0000-0000D10E0000}"/>
    <cellStyle name="_Формы АСУ для БП на 2003год_040928 Profit_Tax_3Ax1Ax4_schedule" xfId="3843" xr:uid="{00000000-0005-0000-0000-0000D20E0000}"/>
    <cellStyle name="_Формы АСУ для БП на 2003год_Tax Input 5yr plan" xfId="3844" xr:uid="{00000000-0005-0000-0000-0000D30E0000}"/>
    <cellStyle name="_Формы АСУ для БП на 2003год_Книга2" xfId="3845" xr:uid="{00000000-0005-0000-0000-0000D40E0000}"/>
    <cellStyle name="_Формы АСУ для БП на 2003год_Налог_на_прибыль" xfId="3846" xr:uid="{00000000-0005-0000-0000-0000D50E0000}"/>
    <cellStyle name="_Формы АСУ для БП на 2003год_Налог_на_прибыль_debt reconciliation_10 11" xfId="3847" xr:uid="{00000000-0005-0000-0000-0000D60E0000}"/>
    <cellStyle name="_Формы АСУ для БП на 2003год_Налог_на_прибыль_EMTN accruals" xfId="3848" xr:uid="{00000000-0005-0000-0000-0000D70E0000}"/>
    <cellStyle name="_Формы АСУ для БП на 2003год_Налог_на_прибыль_report_LTD" xfId="3849" xr:uid="{00000000-0005-0000-0000-0000D80E0000}"/>
    <cellStyle name="_Формы АСУ для БП на 2003год_Налог_на_прибыль_schedule" xfId="3850" xr:uid="{00000000-0005-0000-0000-0000D90E0000}"/>
    <cellStyle name="_Формы_сервисы" xfId="3851" xr:uid="{00000000-0005-0000-0000-0000DA0E0000}"/>
    <cellStyle name="_Формы2003" xfId="3852" xr:uid="{00000000-0005-0000-0000-0000DB0E0000}"/>
    <cellStyle name="_Формы2003_040822 Profit_Tax_(portal)" xfId="3853" xr:uid="{00000000-0005-0000-0000-0000DC0E0000}"/>
    <cellStyle name="_Формы2003_040822 Profit_Tax_(portal)_debt reconciliation_10 11" xfId="3854" xr:uid="{00000000-0005-0000-0000-0000DD0E0000}"/>
    <cellStyle name="_Формы2003_040822 Profit_Tax_(portal)_EMTN accruals" xfId="3855" xr:uid="{00000000-0005-0000-0000-0000DE0E0000}"/>
    <cellStyle name="_Формы2003_040822 Profit_Tax_(portal)_report_LTD" xfId="3856" xr:uid="{00000000-0005-0000-0000-0000DF0E0000}"/>
    <cellStyle name="_Формы2003_040822 Profit_Tax_(portal)_schedule" xfId="3857" xr:uid="{00000000-0005-0000-0000-0000E00E0000}"/>
    <cellStyle name="_Формы2003_040928 Profit_Tax_3Ax1Ax4" xfId="3858" xr:uid="{00000000-0005-0000-0000-0000E10E0000}"/>
    <cellStyle name="_Формы2003_040928 Profit_Tax_3Ax1Ax4_debt reconciliation_10 11" xfId="3859" xr:uid="{00000000-0005-0000-0000-0000E20E0000}"/>
    <cellStyle name="_Формы2003_040928 Profit_Tax_3Ax1Ax4_EMTN accruals" xfId="3860" xr:uid="{00000000-0005-0000-0000-0000E30E0000}"/>
    <cellStyle name="_Формы2003_040928 Profit_Tax_3Ax1Ax4_report_LTD" xfId="3861" xr:uid="{00000000-0005-0000-0000-0000E40E0000}"/>
    <cellStyle name="_Формы2003_040928 Profit_Tax_3Ax1Ax4_schedule" xfId="3862" xr:uid="{00000000-0005-0000-0000-0000E50E0000}"/>
    <cellStyle name="_Формы2003_Tax Input 5yr plan" xfId="3863" xr:uid="{00000000-0005-0000-0000-0000E60E0000}"/>
    <cellStyle name="_Формы2003_Книга2" xfId="3864" xr:uid="{00000000-0005-0000-0000-0000E70E0000}"/>
    <cellStyle name="_Формы2003_Налог_на_прибыль" xfId="3865" xr:uid="{00000000-0005-0000-0000-0000E80E0000}"/>
    <cellStyle name="_Формы2003_Налог_на_прибыль_debt reconciliation_10 11" xfId="3866" xr:uid="{00000000-0005-0000-0000-0000E90E0000}"/>
    <cellStyle name="_Формы2003_Налог_на_прибыль_EMTN accruals" xfId="3867" xr:uid="{00000000-0005-0000-0000-0000EA0E0000}"/>
    <cellStyle name="_Формы2003_Налог_на_прибыль_report_LTD" xfId="3868" xr:uid="{00000000-0005-0000-0000-0000EB0E0000}"/>
    <cellStyle name="_Формы2003_Налог_на_прибыль_schedule" xfId="3869" xr:uid="{00000000-0005-0000-0000-0000EC0E0000}"/>
    <cellStyle name="_ФП2003помесячный030129" xfId="3870" xr:uid="{00000000-0005-0000-0000-0000ED0E0000}"/>
    <cellStyle name="_цел.программы 26.09" xfId="3871" xr:uid="{00000000-0005-0000-0000-0000EE0E0000}"/>
    <cellStyle name="_цел.программы 26.09_040822 Profit_Tax_(portal)" xfId="3872" xr:uid="{00000000-0005-0000-0000-0000EF0E0000}"/>
    <cellStyle name="_цел.программы 26.09_040822 Profit_Tax_(portal)_debt reconciliation_10 11" xfId="3873" xr:uid="{00000000-0005-0000-0000-0000F00E0000}"/>
    <cellStyle name="_цел.программы 26.09_040822 Profit_Tax_(portal)_EMTN accruals" xfId="3874" xr:uid="{00000000-0005-0000-0000-0000F10E0000}"/>
    <cellStyle name="_цел.программы 26.09_040822 Profit_Tax_(portal)_report_LTD" xfId="3875" xr:uid="{00000000-0005-0000-0000-0000F20E0000}"/>
    <cellStyle name="_цел.программы 26.09_040822 Profit_Tax_(portal)_schedule" xfId="3876" xr:uid="{00000000-0005-0000-0000-0000F30E0000}"/>
    <cellStyle name="_цел.программы 26.09_040928 Profit_Tax_3Ax1Ax4" xfId="3877" xr:uid="{00000000-0005-0000-0000-0000F40E0000}"/>
    <cellStyle name="_цел.программы 26.09_040928 Profit_Tax_3Ax1Ax4_debt reconciliation_10 11" xfId="3878" xr:uid="{00000000-0005-0000-0000-0000F50E0000}"/>
    <cellStyle name="_цел.программы 26.09_040928 Profit_Tax_3Ax1Ax4_EMTN accruals" xfId="3879" xr:uid="{00000000-0005-0000-0000-0000F60E0000}"/>
    <cellStyle name="_цел.программы 26.09_040928 Profit_Tax_3Ax1Ax4_report_LTD" xfId="3880" xr:uid="{00000000-0005-0000-0000-0000F70E0000}"/>
    <cellStyle name="_цел.программы 26.09_040928 Profit_Tax_3Ax1Ax4_schedule" xfId="3881" xr:uid="{00000000-0005-0000-0000-0000F80E0000}"/>
    <cellStyle name="_цел.программы 26.09_Tax Input 5yr plan" xfId="3882" xr:uid="{00000000-0005-0000-0000-0000F90E0000}"/>
    <cellStyle name="_цел.программы 26.09_Книга2" xfId="3883" xr:uid="{00000000-0005-0000-0000-0000FA0E0000}"/>
    <cellStyle name="_цел.программы 26.09_Налог_на_прибыль" xfId="3884" xr:uid="{00000000-0005-0000-0000-0000FB0E0000}"/>
    <cellStyle name="_цел.программы 26.09_Налог_на_прибыль_debt reconciliation_10 11" xfId="3885" xr:uid="{00000000-0005-0000-0000-0000FC0E0000}"/>
    <cellStyle name="_цел.программы 26.09_Налог_на_прибыль_EMTN accruals" xfId="3886" xr:uid="{00000000-0005-0000-0000-0000FD0E0000}"/>
    <cellStyle name="_цел.программы 26.09_Налог_на_прибыль_report_LTD" xfId="3887" xr:uid="{00000000-0005-0000-0000-0000FE0E0000}"/>
    <cellStyle name="_цел.программы 26.09_Налог_на_прибыль_schedule" xfId="3888" xr:uid="{00000000-0005-0000-0000-0000FF0E0000}"/>
    <cellStyle name="_Цел.формы 2003г" xfId="3889" xr:uid="{00000000-0005-0000-0000-0000000F0000}"/>
    <cellStyle name="_Цел.формы 2003г_040822 Profit_Tax_(portal)" xfId="3890" xr:uid="{00000000-0005-0000-0000-0000010F0000}"/>
    <cellStyle name="_Цел.формы 2003г_040822 Profit_Tax_(portal)_debt reconciliation_10 11" xfId="3891" xr:uid="{00000000-0005-0000-0000-0000020F0000}"/>
    <cellStyle name="_Цел.формы 2003г_040822 Profit_Tax_(portal)_EMTN accruals" xfId="3892" xr:uid="{00000000-0005-0000-0000-0000030F0000}"/>
    <cellStyle name="_Цел.формы 2003г_040822 Profit_Tax_(portal)_report_LTD" xfId="3893" xr:uid="{00000000-0005-0000-0000-0000040F0000}"/>
    <cellStyle name="_Цел.формы 2003г_040822 Profit_Tax_(portal)_schedule" xfId="3894" xr:uid="{00000000-0005-0000-0000-0000050F0000}"/>
    <cellStyle name="_Цел.формы 2003г_040928 Profit_Tax_3Ax1Ax4" xfId="3895" xr:uid="{00000000-0005-0000-0000-0000060F0000}"/>
    <cellStyle name="_Цел.формы 2003г_040928 Profit_Tax_3Ax1Ax4_debt reconciliation_10 11" xfId="3896" xr:uid="{00000000-0005-0000-0000-0000070F0000}"/>
    <cellStyle name="_Цел.формы 2003г_040928 Profit_Tax_3Ax1Ax4_EMTN accruals" xfId="3897" xr:uid="{00000000-0005-0000-0000-0000080F0000}"/>
    <cellStyle name="_Цел.формы 2003г_040928 Profit_Tax_3Ax1Ax4_report_LTD" xfId="3898" xr:uid="{00000000-0005-0000-0000-0000090F0000}"/>
    <cellStyle name="_Цел.формы 2003г_040928 Profit_Tax_3Ax1Ax4_schedule" xfId="3899" xr:uid="{00000000-0005-0000-0000-00000A0F0000}"/>
    <cellStyle name="_Цел.формы 2003г_Tax Input 5yr plan" xfId="3900" xr:uid="{00000000-0005-0000-0000-00000B0F0000}"/>
    <cellStyle name="_Цел.формы 2003г_Книга2" xfId="3901" xr:uid="{00000000-0005-0000-0000-00000C0F0000}"/>
    <cellStyle name="_Цел.формы 2003г_Налог_на_прибыль" xfId="3902" xr:uid="{00000000-0005-0000-0000-00000D0F0000}"/>
    <cellStyle name="_Цел.формы 2003г_Налог_на_прибыль_debt reconciliation_10 11" xfId="3903" xr:uid="{00000000-0005-0000-0000-00000E0F0000}"/>
    <cellStyle name="_Цел.формы 2003г_Налог_на_прибыль_EMTN accruals" xfId="3904" xr:uid="{00000000-0005-0000-0000-00000F0F0000}"/>
    <cellStyle name="_Цел.формы 2003г_Налог_на_прибыль_report_LTD" xfId="3905" xr:uid="{00000000-0005-0000-0000-0000100F0000}"/>
    <cellStyle name="_Цел.формы 2003г_Налог_на_прибыль_schedule" xfId="3906" xr:uid="{00000000-0005-0000-0000-0000110F0000}"/>
    <cellStyle name="_Целевые 20.09.02" xfId="3907" xr:uid="{00000000-0005-0000-0000-0000120F0000}"/>
    <cellStyle name="_Целевые 20.09.02_040822 Profit_Tax_(portal)" xfId="3908" xr:uid="{00000000-0005-0000-0000-0000130F0000}"/>
    <cellStyle name="_Целевые 20.09.02_040822 Profit_Tax_(portal)_debt reconciliation_10 11" xfId="3909" xr:uid="{00000000-0005-0000-0000-0000140F0000}"/>
    <cellStyle name="_Целевые 20.09.02_040822 Profit_Tax_(portal)_EMTN accruals" xfId="3910" xr:uid="{00000000-0005-0000-0000-0000150F0000}"/>
    <cellStyle name="_Целевые 20.09.02_040822 Profit_Tax_(portal)_report_LTD" xfId="3911" xr:uid="{00000000-0005-0000-0000-0000160F0000}"/>
    <cellStyle name="_Целевые 20.09.02_040822 Profit_Tax_(portal)_schedule" xfId="3912" xr:uid="{00000000-0005-0000-0000-0000170F0000}"/>
    <cellStyle name="_Целевые 20.09.02_040928 Profit_Tax_3Ax1Ax4" xfId="3913" xr:uid="{00000000-0005-0000-0000-0000180F0000}"/>
    <cellStyle name="_Целевые 20.09.02_040928 Profit_Tax_3Ax1Ax4_debt reconciliation_10 11" xfId="3914" xr:uid="{00000000-0005-0000-0000-0000190F0000}"/>
    <cellStyle name="_Целевые 20.09.02_040928 Profit_Tax_3Ax1Ax4_EMTN accruals" xfId="3915" xr:uid="{00000000-0005-0000-0000-00001A0F0000}"/>
    <cellStyle name="_Целевые 20.09.02_040928 Profit_Tax_3Ax1Ax4_report_LTD" xfId="3916" xr:uid="{00000000-0005-0000-0000-00001B0F0000}"/>
    <cellStyle name="_Целевые 20.09.02_040928 Profit_Tax_3Ax1Ax4_schedule" xfId="3917" xr:uid="{00000000-0005-0000-0000-00001C0F0000}"/>
    <cellStyle name="_Целевые 20.09.02_Tax Input 5yr plan" xfId="3918" xr:uid="{00000000-0005-0000-0000-00001D0F0000}"/>
    <cellStyle name="_Целевые 20.09.02_Книга2" xfId="3919" xr:uid="{00000000-0005-0000-0000-00001E0F0000}"/>
    <cellStyle name="_Целевые 20.09.02_Налог_на_прибыль" xfId="3920" xr:uid="{00000000-0005-0000-0000-00001F0F0000}"/>
    <cellStyle name="_Целевые 20.09.02_Налог_на_прибыль_debt reconciliation_10 11" xfId="3921" xr:uid="{00000000-0005-0000-0000-0000200F0000}"/>
    <cellStyle name="_Целевые 20.09.02_Налог_на_прибыль_EMTN accruals" xfId="3922" xr:uid="{00000000-0005-0000-0000-0000210F0000}"/>
    <cellStyle name="_Целевые 20.09.02_Налог_на_прибыль_report_LTD" xfId="3923" xr:uid="{00000000-0005-0000-0000-0000220F0000}"/>
    <cellStyle name="_Целевые 20.09.02_Налог_на_прибыль_schedule" xfId="3924" xr:uid="{00000000-0005-0000-0000-0000230F0000}"/>
    <cellStyle name="_Целевые программы - свод" xfId="3925" xr:uid="{00000000-0005-0000-0000-0000240F0000}"/>
    <cellStyle name="_Целевые программы - свод_040822 Profit_Tax_(portal)" xfId="3926" xr:uid="{00000000-0005-0000-0000-0000250F0000}"/>
    <cellStyle name="_Целевые программы - свод_040822 Profit_Tax_(portal)_debt reconciliation_10 11" xfId="3927" xr:uid="{00000000-0005-0000-0000-0000260F0000}"/>
    <cellStyle name="_Целевые программы - свод_040822 Profit_Tax_(portal)_EMTN accruals" xfId="3928" xr:uid="{00000000-0005-0000-0000-0000270F0000}"/>
    <cellStyle name="_Целевые программы - свод_040822 Profit_Tax_(portal)_report_LTD" xfId="3929" xr:uid="{00000000-0005-0000-0000-0000280F0000}"/>
    <cellStyle name="_Целевые программы - свод_040822 Profit_Tax_(portal)_schedule" xfId="3930" xr:uid="{00000000-0005-0000-0000-0000290F0000}"/>
    <cellStyle name="_Целевые программы - свод_040928 Profit_Tax_3Ax1Ax4" xfId="3931" xr:uid="{00000000-0005-0000-0000-00002A0F0000}"/>
    <cellStyle name="_Целевые программы - свод_040928 Profit_Tax_3Ax1Ax4_debt reconciliation_10 11" xfId="3932" xr:uid="{00000000-0005-0000-0000-00002B0F0000}"/>
    <cellStyle name="_Целевые программы - свод_040928 Profit_Tax_3Ax1Ax4_EMTN accruals" xfId="3933" xr:uid="{00000000-0005-0000-0000-00002C0F0000}"/>
    <cellStyle name="_Целевые программы - свод_040928 Profit_Tax_3Ax1Ax4_report_LTD" xfId="3934" xr:uid="{00000000-0005-0000-0000-00002D0F0000}"/>
    <cellStyle name="_Целевые программы - свод_040928 Profit_Tax_3Ax1Ax4_schedule" xfId="3935" xr:uid="{00000000-0005-0000-0000-00002E0F0000}"/>
    <cellStyle name="_Целевые программы - свод_Tax Input 5yr plan" xfId="3936" xr:uid="{00000000-0005-0000-0000-00002F0F0000}"/>
    <cellStyle name="_Целевые программы - свод_Книга2" xfId="3937" xr:uid="{00000000-0005-0000-0000-0000300F0000}"/>
    <cellStyle name="_Целевые программы - свод_Налог_на_прибыль" xfId="3938" xr:uid="{00000000-0005-0000-0000-0000310F0000}"/>
    <cellStyle name="_Целевые программы - свод_Налог_на_прибыль_debt reconciliation_10 11" xfId="3939" xr:uid="{00000000-0005-0000-0000-0000320F0000}"/>
    <cellStyle name="_Целевые программы - свод_Налог_на_прибыль_EMTN accruals" xfId="3940" xr:uid="{00000000-0005-0000-0000-0000330F0000}"/>
    <cellStyle name="_Целевые программы - свод_Налог_на_прибыль_report_LTD" xfId="3941" xr:uid="{00000000-0005-0000-0000-0000340F0000}"/>
    <cellStyle name="_Целевые программы - свод_Налог_на_прибыль_schedule" xfId="3942" xr:uid="{00000000-0005-0000-0000-0000350F0000}"/>
    <cellStyle name="_целевые_2003" xfId="3943" xr:uid="{00000000-0005-0000-0000-0000360F0000}"/>
    <cellStyle name="_целевые_2003_040822 Profit_Tax_(portal)" xfId="3944" xr:uid="{00000000-0005-0000-0000-0000370F0000}"/>
    <cellStyle name="_целевые_2003_040822 Profit_Tax_(portal)_debt reconciliation_10 11" xfId="3945" xr:uid="{00000000-0005-0000-0000-0000380F0000}"/>
    <cellStyle name="_целевые_2003_040822 Profit_Tax_(portal)_EMTN accruals" xfId="3946" xr:uid="{00000000-0005-0000-0000-0000390F0000}"/>
    <cellStyle name="_целевые_2003_040822 Profit_Tax_(portal)_report_LTD" xfId="3947" xr:uid="{00000000-0005-0000-0000-00003A0F0000}"/>
    <cellStyle name="_целевые_2003_040822 Profit_Tax_(portal)_schedule" xfId="3948" xr:uid="{00000000-0005-0000-0000-00003B0F0000}"/>
    <cellStyle name="_целевые_2003_040928 Profit_Tax_3Ax1Ax4" xfId="3949" xr:uid="{00000000-0005-0000-0000-00003C0F0000}"/>
    <cellStyle name="_целевые_2003_040928 Profit_Tax_3Ax1Ax4_debt reconciliation_10 11" xfId="3950" xr:uid="{00000000-0005-0000-0000-00003D0F0000}"/>
    <cellStyle name="_целевые_2003_040928 Profit_Tax_3Ax1Ax4_EMTN accruals" xfId="3951" xr:uid="{00000000-0005-0000-0000-00003E0F0000}"/>
    <cellStyle name="_целевые_2003_040928 Profit_Tax_3Ax1Ax4_report_LTD" xfId="3952" xr:uid="{00000000-0005-0000-0000-00003F0F0000}"/>
    <cellStyle name="_целевые_2003_040928 Profit_Tax_3Ax1Ax4_schedule" xfId="3953" xr:uid="{00000000-0005-0000-0000-0000400F0000}"/>
    <cellStyle name="_целевые_2003_Tax Input 5yr plan" xfId="3954" xr:uid="{00000000-0005-0000-0000-0000410F0000}"/>
    <cellStyle name="_целевые_2003_Книга2" xfId="3955" xr:uid="{00000000-0005-0000-0000-0000420F0000}"/>
    <cellStyle name="_целевые_2003_Налог_на_прибыль" xfId="3956" xr:uid="{00000000-0005-0000-0000-0000430F0000}"/>
    <cellStyle name="_целевые_2003_Налог_на_прибыль_debt reconciliation_10 11" xfId="3957" xr:uid="{00000000-0005-0000-0000-0000440F0000}"/>
    <cellStyle name="_целевые_2003_Налог_на_прибыль_EMTN accruals" xfId="3958" xr:uid="{00000000-0005-0000-0000-0000450F0000}"/>
    <cellStyle name="_целевые_2003_Налог_на_прибыль_report_LTD" xfId="3959" xr:uid="{00000000-0005-0000-0000-0000460F0000}"/>
    <cellStyle name="_целевые_2003_Налог_на_прибыль_schedule" xfId="3960" xr:uid="{00000000-0005-0000-0000-0000470F0000}"/>
    <cellStyle name="_ЦПр 3 вар 2003" xfId="3961" xr:uid="{00000000-0005-0000-0000-0000480F0000}"/>
    <cellStyle name="_ЦПр 3 вар 2003_040822 Profit_Tax_(portal)" xfId="3962" xr:uid="{00000000-0005-0000-0000-0000490F0000}"/>
    <cellStyle name="_ЦПр 3 вар 2003_040822 Profit_Tax_(portal)_debt reconciliation_10 11" xfId="3963" xr:uid="{00000000-0005-0000-0000-00004A0F0000}"/>
    <cellStyle name="_ЦПр 3 вар 2003_040822 Profit_Tax_(portal)_EMTN accruals" xfId="3964" xr:uid="{00000000-0005-0000-0000-00004B0F0000}"/>
    <cellStyle name="_ЦПр 3 вар 2003_040822 Profit_Tax_(portal)_report_LTD" xfId="3965" xr:uid="{00000000-0005-0000-0000-00004C0F0000}"/>
    <cellStyle name="_ЦПр 3 вар 2003_040822 Profit_Tax_(portal)_schedule" xfId="3966" xr:uid="{00000000-0005-0000-0000-00004D0F0000}"/>
    <cellStyle name="_ЦПр 3 вар 2003_040928 Profit_Tax_3Ax1Ax4" xfId="3967" xr:uid="{00000000-0005-0000-0000-00004E0F0000}"/>
    <cellStyle name="_ЦПр 3 вар 2003_040928 Profit_Tax_3Ax1Ax4_debt reconciliation_10 11" xfId="3968" xr:uid="{00000000-0005-0000-0000-00004F0F0000}"/>
    <cellStyle name="_ЦПр 3 вар 2003_040928 Profit_Tax_3Ax1Ax4_EMTN accruals" xfId="3969" xr:uid="{00000000-0005-0000-0000-0000500F0000}"/>
    <cellStyle name="_ЦПр 3 вар 2003_040928 Profit_Tax_3Ax1Ax4_report_LTD" xfId="3970" xr:uid="{00000000-0005-0000-0000-0000510F0000}"/>
    <cellStyle name="_ЦПр 3 вар 2003_040928 Profit_Tax_3Ax1Ax4_schedule" xfId="3971" xr:uid="{00000000-0005-0000-0000-0000520F0000}"/>
    <cellStyle name="_ЦПр 3 вар 2003_Tax Input 5yr plan" xfId="3972" xr:uid="{00000000-0005-0000-0000-0000530F0000}"/>
    <cellStyle name="_ЦПр 3 вар 2003_Книга2" xfId="3973" xr:uid="{00000000-0005-0000-0000-0000540F0000}"/>
    <cellStyle name="_ЦПр 3 вар 2003_Налог_на_прибыль" xfId="3974" xr:uid="{00000000-0005-0000-0000-0000550F0000}"/>
    <cellStyle name="_ЦПр 3 вар 2003_Налог_на_прибыль_debt reconciliation_10 11" xfId="3975" xr:uid="{00000000-0005-0000-0000-0000560F0000}"/>
    <cellStyle name="_ЦПр 3 вар 2003_Налог_на_прибыль_EMTN accruals" xfId="3976" xr:uid="{00000000-0005-0000-0000-0000570F0000}"/>
    <cellStyle name="_ЦПр 3 вар 2003_Налог_на_прибыль_report_LTD" xfId="3977" xr:uid="{00000000-0005-0000-0000-0000580F0000}"/>
    <cellStyle name="_ЦПр 3 вар 2003_Налог_на_прибыль_schedule" xfId="3978" xr:uid="{00000000-0005-0000-0000-0000590F0000}"/>
    <cellStyle name="_Численность и основная зарплата КЦ" xfId="3979" xr:uid="{00000000-0005-0000-0000-00005A0F0000}"/>
    <cellStyle name="_Шаблон" xfId="3980" xr:uid="{00000000-0005-0000-0000-00005B0F0000}"/>
    <cellStyle name="_Шаяхметов" xfId="3981" xr:uid="{00000000-0005-0000-0000-00005C0F0000}"/>
    <cellStyle name="_Шаяхметов_040822 Profit_Tax_(portal)" xfId="3982" xr:uid="{00000000-0005-0000-0000-00005D0F0000}"/>
    <cellStyle name="_Шаяхметов_040928 Profit_Tax_3Ax1Ax4" xfId="3983" xr:uid="{00000000-0005-0000-0000-00005E0F0000}"/>
    <cellStyle name="_Шаяхметов_Tax Input 5yr plan" xfId="3984" xr:uid="{00000000-0005-0000-0000-00005F0F0000}"/>
    <cellStyle name="_Шаяхметов_Книга2" xfId="3985" xr:uid="{00000000-0005-0000-0000-0000600F0000}"/>
    <cellStyle name="_Шаяхметов_Налог_на_прибыль" xfId="3986" xr:uid="{00000000-0005-0000-0000-0000610F0000}"/>
    <cellStyle name="’E‰Y [0.00]_laroux" xfId="3987" xr:uid="{00000000-0005-0000-0000-0000620F0000}"/>
    <cellStyle name="’Ê‰Ý [0.00]_laroux" xfId="3988" xr:uid="{00000000-0005-0000-0000-0000630F0000}"/>
    <cellStyle name="’E‰Y_laroux" xfId="3989" xr:uid="{00000000-0005-0000-0000-0000640F0000}"/>
    <cellStyle name="’Ê‰Ý_laroux" xfId="3990" xr:uid="{00000000-0005-0000-0000-0000650F0000}"/>
    <cellStyle name="£ BP" xfId="3991" xr:uid="{00000000-0005-0000-0000-0000660F0000}"/>
    <cellStyle name="£Currency [0]" xfId="3992" xr:uid="{00000000-0005-0000-0000-0000670F0000}"/>
    <cellStyle name="£Currency [1]" xfId="3993" xr:uid="{00000000-0005-0000-0000-0000680F0000}"/>
    <cellStyle name="£Currency [2]" xfId="3994" xr:uid="{00000000-0005-0000-0000-0000690F0000}"/>
    <cellStyle name="£Currency [p]" xfId="3995" xr:uid="{00000000-0005-0000-0000-00006A0F0000}"/>
    <cellStyle name="£Currency [p2]" xfId="3996" xr:uid="{00000000-0005-0000-0000-00006B0F0000}"/>
    <cellStyle name="£Pounds" xfId="3997" xr:uid="{00000000-0005-0000-0000-00006C0F0000}"/>
    <cellStyle name="¥ JY" xfId="3998" xr:uid="{00000000-0005-0000-0000-00006D0F0000}"/>
    <cellStyle name="=C:\WINNT35\SYSTEM32\COMMAND.COM" xfId="3999" xr:uid="{00000000-0005-0000-0000-00006E0F0000}"/>
    <cellStyle name="=C:\WINNT35\SYSTEM32\COMMAND.COM 2" xfId="4000" xr:uid="{00000000-0005-0000-0000-00006F0F0000}"/>
    <cellStyle name="_x0007_⚈" xfId="4001" xr:uid="{00000000-0005-0000-0000-0000700F0000}"/>
    <cellStyle name="•W€_laroux" xfId="4002" xr:uid="{00000000-0005-0000-0000-0000710F0000}"/>
    <cellStyle name="•WЏЂ_laroux" xfId="4003" xr:uid="{00000000-0005-0000-0000-0000720F0000}"/>
    <cellStyle name="‰p•¶" xfId="4004" xr:uid="{00000000-0005-0000-0000-0000730F0000}"/>
    <cellStyle name="0" xfId="4005" xr:uid="{00000000-0005-0000-0000-0000740F0000}"/>
    <cellStyle name="0%" xfId="4006" xr:uid="{00000000-0005-0000-0000-0000750F0000}"/>
    <cellStyle name="0,0" xfId="4007" xr:uid="{00000000-0005-0000-0000-0000760F0000}"/>
    <cellStyle name="0,0 F" xfId="4008" xr:uid="{00000000-0005-0000-0000-0000770F0000}"/>
    <cellStyle name="0,0_x000d__x000a_NA_x000d__x000a_" xfId="4009" xr:uid="{00000000-0005-0000-0000-0000780F0000}"/>
    <cellStyle name="0,0%" xfId="4010" xr:uid="{00000000-0005-0000-0000-0000790F0000}"/>
    <cellStyle name="0,0_Co&amp;Lo180800" xfId="4011" xr:uid="{00000000-0005-0000-0000-00007A0F0000}"/>
    <cellStyle name="0,00;0;" xfId="4012" xr:uid="{00000000-0005-0000-0000-00007B0F0000}"/>
    <cellStyle name="0,00x" xfId="4013" xr:uid="{00000000-0005-0000-0000-00007C0F0000}"/>
    <cellStyle name="0,0x" xfId="4014" xr:uid="{00000000-0005-0000-0000-00007D0F0000}"/>
    <cellStyle name="0.0" xfId="4015" xr:uid="{00000000-0005-0000-0000-00007E0F0000}"/>
    <cellStyle name="0.0 x; (0.0 x)" xfId="4016" xr:uid="{00000000-0005-0000-0000-00007F0F0000}"/>
    <cellStyle name="0.0 x; (0.0 x) 10" xfId="4017" xr:uid="{00000000-0005-0000-0000-0000800F0000}"/>
    <cellStyle name="0.0 x; (0.0 x) 2" xfId="4018" xr:uid="{00000000-0005-0000-0000-0000810F0000}"/>
    <cellStyle name="0.0 x; (0.0 x) 2 2" xfId="4019" xr:uid="{00000000-0005-0000-0000-0000820F0000}"/>
    <cellStyle name="0.0 x; (0.0 x) 2 2 2" xfId="4020" xr:uid="{00000000-0005-0000-0000-0000830F0000}"/>
    <cellStyle name="0.0 x; (0.0 x) 2 2 2 2" xfId="4021" xr:uid="{00000000-0005-0000-0000-0000840F0000}"/>
    <cellStyle name="0.0 x; (0.0 x) 2 2 2 2 2" xfId="4022" xr:uid="{00000000-0005-0000-0000-0000850F0000}"/>
    <cellStyle name="0.0 x; (0.0 x) 2 2 2 2 3" xfId="4023" xr:uid="{00000000-0005-0000-0000-0000860F0000}"/>
    <cellStyle name="0.0 x; (0.0 x) 2 2 2 3" xfId="4024" xr:uid="{00000000-0005-0000-0000-0000870F0000}"/>
    <cellStyle name="0.0 x; (0.0 x) 2 2 2 4" xfId="4025" xr:uid="{00000000-0005-0000-0000-0000880F0000}"/>
    <cellStyle name="0.0 x; (0.0 x) 2 2 3" xfId="4026" xr:uid="{00000000-0005-0000-0000-0000890F0000}"/>
    <cellStyle name="0.0 x; (0.0 x) 2 2 3 2" xfId="4027" xr:uid="{00000000-0005-0000-0000-00008A0F0000}"/>
    <cellStyle name="0.0 x; (0.0 x) 2 2 3 3" xfId="4028" xr:uid="{00000000-0005-0000-0000-00008B0F0000}"/>
    <cellStyle name="0.0 x; (0.0 x) 2 2 4" xfId="4029" xr:uid="{00000000-0005-0000-0000-00008C0F0000}"/>
    <cellStyle name="0.0 x; (0.0 x) 2 2 5" xfId="4030" xr:uid="{00000000-0005-0000-0000-00008D0F0000}"/>
    <cellStyle name="0.0 x; (0.0 x) 2 3" xfId="4031" xr:uid="{00000000-0005-0000-0000-00008E0F0000}"/>
    <cellStyle name="0.0 x; (0.0 x) 2 3 2" xfId="4032" xr:uid="{00000000-0005-0000-0000-00008F0F0000}"/>
    <cellStyle name="0.0 x; (0.0 x) 2 3 2 2" xfId="4033" xr:uid="{00000000-0005-0000-0000-0000900F0000}"/>
    <cellStyle name="0.0 x; (0.0 x) 2 3 2 2 2" xfId="4034" xr:uid="{00000000-0005-0000-0000-0000910F0000}"/>
    <cellStyle name="0.0 x; (0.0 x) 2 3 2 2 3" xfId="4035" xr:uid="{00000000-0005-0000-0000-0000920F0000}"/>
    <cellStyle name="0.0 x; (0.0 x) 2 3 2 3" xfId="4036" xr:uid="{00000000-0005-0000-0000-0000930F0000}"/>
    <cellStyle name="0.0 x; (0.0 x) 2 3 2 4" xfId="4037" xr:uid="{00000000-0005-0000-0000-0000940F0000}"/>
    <cellStyle name="0.0 x; (0.0 x) 2 3 3" xfId="4038" xr:uid="{00000000-0005-0000-0000-0000950F0000}"/>
    <cellStyle name="0.0 x; (0.0 x) 2 3 3 2" xfId="4039" xr:uid="{00000000-0005-0000-0000-0000960F0000}"/>
    <cellStyle name="0.0 x; (0.0 x) 2 3 3 3" xfId="4040" xr:uid="{00000000-0005-0000-0000-0000970F0000}"/>
    <cellStyle name="0.0 x; (0.0 x) 2 3 4" xfId="4041" xr:uid="{00000000-0005-0000-0000-0000980F0000}"/>
    <cellStyle name="0.0 x; (0.0 x) 2 3 5" xfId="4042" xr:uid="{00000000-0005-0000-0000-0000990F0000}"/>
    <cellStyle name="0.0 x; (0.0 x) 2 4" xfId="4043" xr:uid="{00000000-0005-0000-0000-00009A0F0000}"/>
    <cellStyle name="0.0 x; (0.0 x) 2 4 2" xfId="4044" xr:uid="{00000000-0005-0000-0000-00009B0F0000}"/>
    <cellStyle name="0.0 x; (0.0 x) 2 4 2 2" xfId="4045" xr:uid="{00000000-0005-0000-0000-00009C0F0000}"/>
    <cellStyle name="0.0 x; (0.0 x) 2 4 2 2 2" xfId="4046" xr:uid="{00000000-0005-0000-0000-00009D0F0000}"/>
    <cellStyle name="0.0 x; (0.0 x) 2 4 2 2 3" xfId="4047" xr:uid="{00000000-0005-0000-0000-00009E0F0000}"/>
    <cellStyle name="0.0 x; (0.0 x) 2 4 2 3" xfId="4048" xr:uid="{00000000-0005-0000-0000-00009F0F0000}"/>
    <cellStyle name="0.0 x; (0.0 x) 2 4 2 4" xfId="4049" xr:uid="{00000000-0005-0000-0000-0000A00F0000}"/>
    <cellStyle name="0.0 x; (0.0 x) 2 4 3" xfId="4050" xr:uid="{00000000-0005-0000-0000-0000A10F0000}"/>
    <cellStyle name="0.0 x; (0.0 x) 2 4 3 2" xfId="4051" xr:uid="{00000000-0005-0000-0000-0000A20F0000}"/>
    <cellStyle name="0.0 x; (0.0 x) 2 4 3 3" xfId="4052" xr:uid="{00000000-0005-0000-0000-0000A30F0000}"/>
    <cellStyle name="0.0 x; (0.0 x) 2 4 4" xfId="4053" xr:uid="{00000000-0005-0000-0000-0000A40F0000}"/>
    <cellStyle name="0.0 x; (0.0 x) 2 4 5" xfId="4054" xr:uid="{00000000-0005-0000-0000-0000A50F0000}"/>
    <cellStyle name="0.0 x; (0.0 x) 2 5" xfId="4055" xr:uid="{00000000-0005-0000-0000-0000A60F0000}"/>
    <cellStyle name="0.0 x; (0.0 x) 2 5 2" xfId="4056" xr:uid="{00000000-0005-0000-0000-0000A70F0000}"/>
    <cellStyle name="0.0 x; (0.0 x) 2 5 2 2" xfId="4057" xr:uid="{00000000-0005-0000-0000-0000A80F0000}"/>
    <cellStyle name="0.0 x; (0.0 x) 2 5 2 2 2" xfId="4058" xr:uid="{00000000-0005-0000-0000-0000A90F0000}"/>
    <cellStyle name="0.0 x; (0.0 x) 2 5 2 2 3" xfId="4059" xr:uid="{00000000-0005-0000-0000-0000AA0F0000}"/>
    <cellStyle name="0.0 x; (0.0 x) 2 5 2 3" xfId="4060" xr:uid="{00000000-0005-0000-0000-0000AB0F0000}"/>
    <cellStyle name="0.0 x; (0.0 x) 2 5 2 4" xfId="4061" xr:uid="{00000000-0005-0000-0000-0000AC0F0000}"/>
    <cellStyle name="0.0 x; (0.0 x) 2 5 3" xfId="4062" xr:uid="{00000000-0005-0000-0000-0000AD0F0000}"/>
    <cellStyle name="0.0 x; (0.0 x) 2 5 3 2" xfId="4063" xr:uid="{00000000-0005-0000-0000-0000AE0F0000}"/>
    <cellStyle name="0.0 x; (0.0 x) 2 5 3 3" xfId="4064" xr:uid="{00000000-0005-0000-0000-0000AF0F0000}"/>
    <cellStyle name="0.0 x; (0.0 x) 2 5 4" xfId="4065" xr:uid="{00000000-0005-0000-0000-0000B00F0000}"/>
    <cellStyle name="0.0 x; (0.0 x) 2 5 5" xfId="4066" xr:uid="{00000000-0005-0000-0000-0000B10F0000}"/>
    <cellStyle name="0.0 x; (0.0 x) 2 6" xfId="4067" xr:uid="{00000000-0005-0000-0000-0000B20F0000}"/>
    <cellStyle name="0.0 x; (0.0 x) 2 6 2" xfId="4068" xr:uid="{00000000-0005-0000-0000-0000B30F0000}"/>
    <cellStyle name="0.0 x; (0.0 x) 2 6 2 2" xfId="4069" xr:uid="{00000000-0005-0000-0000-0000B40F0000}"/>
    <cellStyle name="0.0 x; (0.0 x) 2 6 2 2 2" xfId="4070" xr:uid="{00000000-0005-0000-0000-0000B50F0000}"/>
    <cellStyle name="0.0 x; (0.0 x) 2 6 2 2 3" xfId="4071" xr:uid="{00000000-0005-0000-0000-0000B60F0000}"/>
    <cellStyle name="0.0 x; (0.0 x) 2 6 2 3" xfId="4072" xr:uid="{00000000-0005-0000-0000-0000B70F0000}"/>
    <cellStyle name="0.0 x; (0.0 x) 2 6 2 4" xfId="4073" xr:uid="{00000000-0005-0000-0000-0000B80F0000}"/>
    <cellStyle name="0.0 x; (0.0 x) 2 6 3" xfId="4074" xr:uid="{00000000-0005-0000-0000-0000B90F0000}"/>
    <cellStyle name="0.0 x; (0.0 x) 2 6 3 2" xfId="4075" xr:uid="{00000000-0005-0000-0000-0000BA0F0000}"/>
    <cellStyle name="0.0 x; (0.0 x) 2 6 3 3" xfId="4076" xr:uid="{00000000-0005-0000-0000-0000BB0F0000}"/>
    <cellStyle name="0.0 x; (0.0 x) 2 6 4" xfId="4077" xr:uid="{00000000-0005-0000-0000-0000BC0F0000}"/>
    <cellStyle name="0.0 x; (0.0 x) 2 6 5" xfId="4078" xr:uid="{00000000-0005-0000-0000-0000BD0F0000}"/>
    <cellStyle name="0.0 x; (0.0 x) 2 7" xfId="4079" xr:uid="{00000000-0005-0000-0000-0000BE0F0000}"/>
    <cellStyle name="0.0 x; (0.0 x) 2 7 2" xfId="4080" xr:uid="{00000000-0005-0000-0000-0000BF0F0000}"/>
    <cellStyle name="0.0 x; (0.0 x) 2 7 3" xfId="4081" xr:uid="{00000000-0005-0000-0000-0000C00F0000}"/>
    <cellStyle name="0.0 x; (0.0 x) 2 8" xfId="4082" xr:uid="{00000000-0005-0000-0000-0000C10F0000}"/>
    <cellStyle name="0.0 x; (0.0 x) 2 9" xfId="4083" xr:uid="{00000000-0005-0000-0000-0000C20F0000}"/>
    <cellStyle name="0.0 x; (0.0 x) 3" xfId="4084" xr:uid="{00000000-0005-0000-0000-0000C30F0000}"/>
    <cellStyle name="0.0 x; (0.0 x) 3 2" xfId="4085" xr:uid="{00000000-0005-0000-0000-0000C40F0000}"/>
    <cellStyle name="0.0 x; (0.0 x) 3 2 2" xfId="4086" xr:uid="{00000000-0005-0000-0000-0000C50F0000}"/>
    <cellStyle name="0.0 x; (0.0 x) 3 2 2 2" xfId="4087" xr:uid="{00000000-0005-0000-0000-0000C60F0000}"/>
    <cellStyle name="0.0 x; (0.0 x) 3 2 2 3" xfId="4088" xr:uid="{00000000-0005-0000-0000-0000C70F0000}"/>
    <cellStyle name="0.0 x; (0.0 x) 3 2 3" xfId="4089" xr:uid="{00000000-0005-0000-0000-0000C80F0000}"/>
    <cellStyle name="0.0 x; (0.0 x) 3 2 4" xfId="4090" xr:uid="{00000000-0005-0000-0000-0000C90F0000}"/>
    <cellStyle name="0.0 x; (0.0 x) 3 3" xfId="4091" xr:uid="{00000000-0005-0000-0000-0000CA0F0000}"/>
    <cellStyle name="0.0 x; (0.0 x) 3 3 2" xfId="4092" xr:uid="{00000000-0005-0000-0000-0000CB0F0000}"/>
    <cellStyle name="0.0 x; (0.0 x) 3 3 3" xfId="4093" xr:uid="{00000000-0005-0000-0000-0000CC0F0000}"/>
    <cellStyle name="0.0 x; (0.0 x) 3 4" xfId="4094" xr:uid="{00000000-0005-0000-0000-0000CD0F0000}"/>
    <cellStyle name="0.0 x; (0.0 x) 3 5" xfId="4095" xr:uid="{00000000-0005-0000-0000-0000CE0F0000}"/>
    <cellStyle name="0.0 x; (0.0 x) 4" xfId="4096" xr:uid="{00000000-0005-0000-0000-0000CF0F0000}"/>
    <cellStyle name="0.0 x; (0.0 x) 4 2" xfId="4097" xr:uid="{00000000-0005-0000-0000-0000D00F0000}"/>
    <cellStyle name="0.0 x; (0.0 x) 4 2 2" xfId="4098" xr:uid="{00000000-0005-0000-0000-0000D10F0000}"/>
    <cellStyle name="0.0 x; (0.0 x) 4 2 2 2" xfId="4099" xr:uid="{00000000-0005-0000-0000-0000D20F0000}"/>
    <cellStyle name="0.0 x; (0.0 x) 4 2 2 3" xfId="4100" xr:uid="{00000000-0005-0000-0000-0000D30F0000}"/>
    <cellStyle name="0.0 x; (0.0 x) 4 2 3" xfId="4101" xr:uid="{00000000-0005-0000-0000-0000D40F0000}"/>
    <cellStyle name="0.0 x; (0.0 x) 4 2 4" xfId="4102" xr:uid="{00000000-0005-0000-0000-0000D50F0000}"/>
    <cellStyle name="0.0 x; (0.0 x) 4 3" xfId="4103" xr:uid="{00000000-0005-0000-0000-0000D60F0000}"/>
    <cellStyle name="0.0 x; (0.0 x) 4 3 2" xfId="4104" xr:uid="{00000000-0005-0000-0000-0000D70F0000}"/>
    <cellStyle name="0.0 x; (0.0 x) 4 3 3" xfId="4105" xr:uid="{00000000-0005-0000-0000-0000D80F0000}"/>
    <cellStyle name="0.0 x; (0.0 x) 4 4" xfId="4106" xr:uid="{00000000-0005-0000-0000-0000D90F0000}"/>
    <cellStyle name="0.0 x; (0.0 x) 4 5" xfId="4107" xr:uid="{00000000-0005-0000-0000-0000DA0F0000}"/>
    <cellStyle name="0.0 x; (0.0 x) 5" xfId="4108" xr:uid="{00000000-0005-0000-0000-0000DB0F0000}"/>
    <cellStyle name="0.0 x; (0.0 x) 5 2" xfId="4109" xr:uid="{00000000-0005-0000-0000-0000DC0F0000}"/>
    <cellStyle name="0.0 x; (0.0 x) 5 2 2" xfId="4110" xr:uid="{00000000-0005-0000-0000-0000DD0F0000}"/>
    <cellStyle name="0.0 x; (0.0 x) 5 2 2 2" xfId="4111" xr:uid="{00000000-0005-0000-0000-0000DE0F0000}"/>
    <cellStyle name="0.0 x; (0.0 x) 5 2 2 3" xfId="4112" xr:uid="{00000000-0005-0000-0000-0000DF0F0000}"/>
    <cellStyle name="0.0 x; (0.0 x) 5 2 3" xfId="4113" xr:uid="{00000000-0005-0000-0000-0000E00F0000}"/>
    <cellStyle name="0.0 x; (0.0 x) 5 2 4" xfId="4114" xr:uid="{00000000-0005-0000-0000-0000E10F0000}"/>
    <cellStyle name="0.0 x; (0.0 x) 5 3" xfId="4115" xr:uid="{00000000-0005-0000-0000-0000E20F0000}"/>
    <cellStyle name="0.0 x; (0.0 x) 5 3 2" xfId="4116" xr:uid="{00000000-0005-0000-0000-0000E30F0000}"/>
    <cellStyle name="0.0 x; (0.0 x) 5 3 3" xfId="4117" xr:uid="{00000000-0005-0000-0000-0000E40F0000}"/>
    <cellStyle name="0.0 x; (0.0 x) 5 4" xfId="4118" xr:uid="{00000000-0005-0000-0000-0000E50F0000}"/>
    <cellStyle name="0.0 x; (0.0 x) 5 5" xfId="4119" xr:uid="{00000000-0005-0000-0000-0000E60F0000}"/>
    <cellStyle name="0.0 x; (0.0 x) 6" xfId="4120" xr:uid="{00000000-0005-0000-0000-0000E70F0000}"/>
    <cellStyle name="0.0 x; (0.0 x) 6 2" xfId="4121" xr:uid="{00000000-0005-0000-0000-0000E80F0000}"/>
    <cellStyle name="0.0 x; (0.0 x) 6 2 2" xfId="4122" xr:uid="{00000000-0005-0000-0000-0000E90F0000}"/>
    <cellStyle name="0.0 x; (0.0 x) 6 2 2 2" xfId="4123" xr:uid="{00000000-0005-0000-0000-0000EA0F0000}"/>
    <cellStyle name="0.0 x; (0.0 x) 6 2 2 3" xfId="4124" xr:uid="{00000000-0005-0000-0000-0000EB0F0000}"/>
    <cellStyle name="0.0 x; (0.0 x) 6 2 3" xfId="4125" xr:uid="{00000000-0005-0000-0000-0000EC0F0000}"/>
    <cellStyle name="0.0 x; (0.0 x) 6 2 4" xfId="4126" xr:uid="{00000000-0005-0000-0000-0000ED0F0000}"/>
    <cellStyle name="0.0 x; (0.0 x) 6 3" xfId="4127" xr:uid="{00000000-0005-0000-0000-0000EE0F0000}"/>
    <cellStyle name="0.0 x; (0.0 x) 6 3 2" xfId="4128" xr:uid="{00000000-0005-0000-0000-0000EF0F0000}"/>
    <cellStyle name="0.0 x; (0.0 x) 6 3 3" xfId="4129" xr:uid="{00000000-0005-0000-0000-0000F00F0000}"/>
    <cellStyle name="0.0 x; (0.0 x) 6 4" xfId="4130" xr:uid="{00000000-0005-0000-0000-0000F10F0000}"/>
    <cellStyle name="0.0 x; (0.0 x) 6 5" xfId="4131" xr:uid="{00000000-0005-0000-0000-0000F20F0000}"/>
    <cellStyle name="0.0 x; (0.0 x) 7" xfId="4132" xr:uid="{00000000-0005-0000-0000-0000F30F0000}"/>
    <cellStyle name="0.0 x; (0.0 x) 7 2" xfId="4133" xr:uid="{00000000-0005-0000-0000-0000F40F0000}"/>
    <cellStyle name="0.0 x; (0.0 x) 7 2 2" xfId="4134" xr:uid="{00000000-0005-0000-0000-0000F50F0000}"/>
    <cellStyle name="0.0 x; (0.0 x) 7 2 2 2" xfId="4135" xr:uid="{00000000-0005-0000-0000-0000F60F0000}"/>
    <cellStyle name="0.0 x; (0.0 x) 7 2 2 3" xfId="4136" xr:uid="{00000000-0005-0000-0000-0000F70F0000}"/>
    <cellStyle name="0.0 x; (0.0 x) 7 2 3" xfId="4137" xr:uid="{00000000-0005-0000-0000-0000F80F0000}"/>
    <cellStyle name="0.0 x; (0.0 x) 7 2 4" xfId="4138" xr:uid="{00000000-0005-0000-0000-0000F90F0000}"/>
    <cellStyle name="0.0 x; (0.0 x) 7 3" xfId="4139" xr:uid="{00000000-0005-0000-0000-0000FA0F0000}"/>
    <cellStyle name="0.0 x; (0.0 x) 7 3 2" xfId="4140" xr:uid="{00000000-0005-0000-0000-0000FB0F0000}"/>
    <cellStyle name="0.0 x; (0.0 x) 7 3 3" xfId="4141" xr:uid="{00000000-0005-0000-0000-0000FC0F0000}"/>
    <cellStyle name="0.0 x; (0.0 x) 7 4" xfId="4142" xr:uid="{00000000-0005-0000-0000-0000FD0F0000}"/>
    <cellStyle name="0.0 x; (0.0 x) 7 5" xfId="4143" xr:uid="{00000000-0005-0000-0000-0000FE0F0000}"/>
    <cellStyle name="0.0 x; (0.0 x) 8" xfId="4144" xr:uid="{00000000-0005-0000-0000-0000FF0F0000}"/>
    <cellStyle name="0.0 x; (0.0 x) 8 2" xfId="4145" xr:uid="{00000000-0005-0000-0000-000000100000}"/>
    <cellStyle name="0.0 x; (0.0 x) 8 3" xfId="4146" xr:uid="{00000000-0005-0000-0000-000001100000}"/>
    <cellStyle name="0.0 x; (0.0 x) 9" xfId="4147" xr:uid="{00000000-0005-0000-0000-000002100000}"/>
    <cellStyle name="0.00" xfId="4148" xr:uid="{00000000-0005-0000-0000-000003100000}"/>
    <cellStyle name="0.00%" xfId="4149" xr:uid="{00000000-0005-0000-0000-000004100000}"/>
    <cellStyle name="0.00_Cost Summary for Rod_05052009rev1" xfId="4150" xr:uid="{00000000-0005-0000-0000-000005100000}"/>
    <cellStyle name="0.000" xfId="4151" xr:uid="{00000000-0005-0000-0000-000006100000}"/>
    <cellStyle name="0_Cost Summary for Rod_05052009rev1" xfId="4152" xr:uid="{00000000-0005-0000-0000-000007100000}"/>
    <cellStyle name="0_Cost Summary for Rod_05052009rev1 2" xfId="4153" xr:uid="{00000000-0005-0000-0000-000008100000}"/>
    <cellStyle name="00" xfId="4154" xr:uid="{00000000-0005-0000-0000-000009100000}"/>
    <cellStyle name="000" xfId="4155" xr:uid="{00000000-0005-0000-0000-00000A100000}"/>
    <cellStyle name="000 MF" xfId="4156" xr:uid="{00000000-0005-0000-0000-00000B100000}"/>
    <cellStyle name="000 PN" xfId="4157" xr:uid="{00000000-0005-0000-0000-00000C100000}"/>
    <cellStyle name="000,0" xfId="4158" xr:uid="{00000000-0005-0000-0000-00000D100000}"/>
    <cellStyle name="000_Halloween version SPV" xfId="4159" xr:uid="{00000000-0005-0000-0000-00000E100000}"/>
    <cellStyle name="0000" xfId="4160" xr:uid="{00000000-0005-0000-0000-00000F100000}"/>
    <cellStyle name="000000" xfId="4161" xr:uid="{00000000-0005-0000-0000-000010100000}"/>
    <cellStyle name="1,comma" xfId="4162" xr:uid="{00000000-0005-0000-0000-000011100000}"/>
    <cellStyle name="1o.nível" xfId="4163" xr:uid="{00000000-0005-0000-0000-000012100000}"/>
    <cellStyle name="20% - Accent1 2" xfId="4164" xr:uid="{00000000-0005-0000-0000-000013100000}"/>
    <cellStyle name="20% - Accent1 2 2" xfId="4165" xr:uid="{00000000-0005-0000-0000-000014100000}"/>
    <cellStyle name="20% - Accent1 3" xfId="4166" xr:uid="{00000000-0005-0000-0000-000015100000}"/>
    <cellStyle name="20% - Accent2 2" xfId="4167" xr:uid="{00000000-0005-0000-0000-000016100000}"/>
    <cellStyle name="20% - Accent2 2 2" xfId="4168" xr:uid="{00000000-0005-0000-0000-000017100000}"/>
    <cellStyle name="20% - Accent2 3" xfId="4169" xr:uid="{00000000-0005-0000-0000-000018100000}"/>
    <cellStyle name="20% - Accent3 2" xfId="4170" xr:uid="{00000000-0005-0000-0000-000019100000}"/>
    <cellStyle name="20% - Accent3 2 2" xfId="4171" xr:uid="{00000000-0005-0000-0000-00001A100000}"/>
    <cellStyle name="20% - Accent3 3" xfId="4172" xr:uid="{00000000-0005-0000-0000-00001B100000}"/>
    <cellStyle name="20% - Accent4 2" xfId="4173" xr:uid="{00000000-0005-0000-0000-00001C100000}"/>
    <cellStyle name="20% - Accent4 2 2" xfId="4174" xr:uid="{00000000-0005-0000-0000-00001D100000}"/>
    <cellStyle name="20% - Accent4 3" xfId="4175" xr:uid="{00000000-0005-0000-0000-00001E100000}"/>
    <cellStyle name="20% - Accent5 2" xfId="4176" xr:uid="{00000000-0005-0000-0000-00001F100000}"/>
    <cellStyle name="20% - Accent5 2 2" xfId="4177" xr:uid="{00000000-0005-0000-0000-000020100000}"/>
    <cellStyle name="20% - Accent5 3" xfId="4178" xr:uid="{00000000-0005-0000-0000-000021100000}"/>
    <cellStyle name="20% - Accent6 2" xfId="4179" xr:uid="{00000000-0005-0000-0000-000022100000}"/>
    <cellStyle name="20% - Accent6 2 2" xfId="4180" xr:uid="{00000000-0005-0000-0000-000023100000}"/>
    <cellStyle name="20% - Accent6 3" xfId="4181" xr:uid="{00000000-0005-0000-0000-000024100000}"/>
    <cellStyle name="20% - Ênfase1" xfId="19" builtinId="30" customBuiltin="1"/>
    <cellStyle name="20% - Ênfase1 10" xfId="4182" xr:uid="{00000000-0005-0000-0000-000026100000}"/>
    <cellStyle name="20% - Ênfase1 11" xfId="4183" xr:uid="{00000000-0005-0000-0000-000027100000}"/>
    <cellStyle name="20% - Ênfase1 12" xfId="4184" xr:uid="{00000000-0005-0000-0000-000028100000}"/>
    <cellStyle name="20% - Ênfase1 13" xfId="4185" xr:uid="{00000000-0005-0000-0000-000029100000}"/>
    <cellStyle name="20% - Ênfase1 14" xfId="4186" xr:uid="{00000000-0005-0000-0000-00002A100000}"/>
    <cellStyle name="20% - Ênfase1 15" xfId="4187" xr:uid="{00000000-0005-0000-0000-00002B100000}"/>
    <cellStyle name="20% - Ênfase1 16" xfId="4188" xr:uid="{00000000-0005-0000-0000-00002C100000}"/>
    <cellStyle name="20% - Ênfase1 17" xfId="4189" xr:uid="{00000000-0005-0000-0000-00002D100000}"/>
    <cellStyle name="20% - Ênfase1 18" xfId="4190" xr:uid="{00000000-0005-0000-0000-00002E100000}"/>
    <cellStyle name="20% - Ênfase1 19" xfId="4191" xr:uid="{00000000-0005-0000-0000-00002F100000}"/>
    <cellStyle name="20% - Ênfase1 2" xfId="4192" xr:uid="{00000000-0005-0000-0000-000030100000}"/>
    <cellStyle name="20% - Ênfase1 20" xfId="4193" xr:uid="{00000000-0005-0000-0000-000031100000}"/>
    <cellStyle name="20% - Ênfase1 21" xfId="4194" xr:uid="{00000000-0005-0000-0000-000032100000}"/>
    <cellStyle name="20% - Ênfase1 22" xfId="4195" xr:uid="{00000000-0005-0000-0000-000033100000}"/>
    <cellStyle name="20% - Ênfase1 23" xfId="4196" xr:uid="{00000000-0005-0000-0000-000034100000}"/>
    <cellStyle name="20% - Ênfase1 24" xfId="4197" xr:uid="{00000000-0005-0000-0000-000035100000}"/>
    <cellStyle name="20% - Ênfase1 25" xfId="4198" xr:uid="{00000000-0005-0000-0000-000036100000}"/>
    <cellStyle name="20% - Ênfase1 26" xfId="4199" xr:uid="{00000000-0005-0000-0000-000037100000}"/>
    <cellStyle name="20% - Ênfase1 27" xfId="4200" xr:uid="{00000000-0005-0000-0000-000038100000}"/>
    <cellStyle name="20% - Ênfase1 28" xfId="4201" xr:uid="{00000000-0005-0000-0000-000039100000}"/>
    <cellStyle name="20% - Ênfase1 29" xfId="4202" xr:uid="{00000000-0005-0000-0000-00003A100000}"/>
    <cellStyle name="20% - Ênfase1 3" xfId="4203" xr:uid="{00000000-0005-0000-0000-00003B100000}"/>
    <cellStyle name="20% - Ênfase1 30" xfId="4204" xr:uid="{00000000-0005-0000-0000-00003C100000}"/>
    <cellStyle name="20% - Ênfase1 31" xfId="4205" xr:uid="{00000000-0005-0000-0000-00003D100000}"/>
    <cellStyle name="20% - Ênfase1 32" xfId="4206" xr:uid="{00000000-0005-0000-0000-00003E100000}"/>
    <cellStyle name="20% - Ênfase1 33" xfId="4207" xr:uid="{00000000-0005-0000-0000-00003F100000}"/>
    <cellStyle name="20% - Ênfase1 34" xfId="4208" xr:uid="{00000000-0005-0000-0000-000040100000}"/>
    <cellStyle name="20% - Ênfase1 35" xfId="4209" xr:uid="{00000000-0005-0000-0000-000041100000}"/>
    <cellStyle name="20% - Ênfase1 36" xfId="4210" xr:uid="{00000000-0005-0000-0000-000042100000}"/>
    <cellStyle name="20% - Ênfase1 37" xfId="4211" xr:uid="{00000000-0005-0000-0000-000043100000}"/>
    <cellStyle name="20% - Ênfase1 38" xfId="4212" xr:uid="{00000000-0005-0000-0000-000044100000}"/>
    <cellStyle name="20% - Ênfase1 39" xfId="4213" xr:uid="{00000000-0005-0000-0000-000045100000}"/>
    <cellStyle name="20% - Ênfase1 4" xfId="4214" xr:uid="{00000000-0005-0000-0000-000046100000}"/>
    <cellStyle name="20% - Ênfase1 40" xfId="4215" xr:uid="{00000000-0005-0000-0000-000047100000}"/>
    <cellStyle name="20% - Ênfase1 5" xfId="4216" xr:uid="{00000000-0005-0000-0000-000048100000}"/>
    <cellStyle name="20% - Ênfase1 6" xfId="4217" xr:uid="{00000000-0005-0000-0000-000049100000}"/>
    <cellStyle name="20% - Ênfase1 7" xfId="4218" xr:uid="{00000000-0005-0000-0000-00004A100000}"/>
    <cellStyle name="20% - Ênfase1 8" xfId="4219" xr:uid="{00000000-0005-0000-0000-00004B100000}"/>
    <cellStyle name="20% - Ênfase1 9" xfId="4220" xr:uid="{00000000-0005-0000-0000-00004C100000}"/>
    <cellStyle name="20% - Ênfase2" xfId="22" builtinId="34" customBuiltin="1"/>
    <cellStyle name="20% - Ênfase2 10" xfId="4221" xr:uid="{00000000-0005-0000-0000-00004E100000}"/>
    <cellStyle name="20% - Ênfase2 11" xfId="4222" xr:uid="{00000000-0005-0000-0000-00004F100000}"/>
    <cellStyle name="20% - Ênfase2 12" xfId="4223" xr:uid="{00000000-0005-0000-0000-000050100000}"/>
    <cellStyle name="20% - Ênfase2 13" xfId="4224" xr:uid="{00000000-0005-0000-0000-000051100000}"/>
    <cellStyle name="20% - Ênfase2 14" xfId="4225" xr:uid="{00000000-0005-0000-0000-000052100000}"/>
    <cellStyle name="20% - Ênfase2 15" xfId="4226" xr:uid="{00000000-0005-0000-0000-000053100000}"/>
    <cellStyle name="20% - Ênfase2 16" xfId="4227" xr:uid="{00000000-0005-0000-0000-000054100000}"/>
    <cellStyle name="20% - Ênfase2 17" xfId="4228" xr:uid="{00000000-0005-0000-0000-000055100000}"/>
    <cellStyle name="20% - Ênfase2 18" xfId="4229" xr:uid="{00000000-0005-0000-0000-000056100000}"/>
    <cellStyle name="20% - Ênfase2 19" xfId="4230" xr:uid="{00000000-0005-0000-0000-000057100000}"/>
    <cellStyle name="20% - Ênfase2 2" xfId="4231" xr:uid="{00000000-0005-0000-0000-000058100000}"/>
    <cellStyle name="20% - Ênfase2 20" xfId="4232" xr:uid="{00000000-0005-0000-0000-000059100000}"/>
    <cellStyle name="20% - Ênfase2 21" xfId="4233" xr:uid="{00000000-0005-0000-0000-00005A100000}"/>
    <cellStyle name="20% - Ênfase2 22" xfId="4234" xr:uid="{00000000-0005-0000-0000-00005B100000}"/>
    <cellStyle name="20% - Ênfase2 23" xfId="4235" xr:uid="{00000000-0005-0000-0000-00005C100000}"/>
    <cellStyle name="20% - Ênfase2 24" xfId="4236" xr:uid="{00000000-0005-0000-0000-00005D100000}"/>
    <cellStyle name="20% - Ênfase2 25" xfId="4237" xr:uid="{00000000-0005-0000-0000-00005E100000}"/>
    <cellStyle name="20% - Ênfase2 26" xfId="4238" xr:uid="{00000000-0005-0000-0000-00005F100000}"/>
    <cellStyle name="20% - Ênfase2 27" xfId="4239" xr:uid="{00000000-0005-0000-0000-000060100000}"/>
    <cellStyle name="20% - Ênfase2 28" xfId="4240" xr:uid="{00000000-0005-0000-0000-000061100000}"/>
    <cellStyle name="20% - Ênfase2 29" xfId="4241" xr:uid="{00000000-0005-0000-0000-000062100000}"/>
    <cellStyle name="20% - Ênfase2 3" xfId="4242" xr:uid="{00000000-0005-0000-0000-000063100000}"/>
    <cellStyle name="20% - Ênfase2 30" xfId="4243" xr:uid="{00000000-0005-0000-0000-000064100000}"/>
    <cellStyle name="20% - Ênfase2 31" xfId="4244" xr:uid="{00000000-0005-0000-0000-000065100000}"/>
    <cellStyle name="20% - Ênfase2 32" xfId="4245" xr:uid="{00000000-0005-0000-0000-000066100000}"/>
    <cellStyle name="20% - Ênfase2 33" xfId="4246" xr:uid="{00000000-0005-0000-0000-000067100000}"/>
    <cellStyle name="20% - Ênfase2 34" xfId="4247" xr:uid="{00000000-0005-0000-0000-000068100000}"/>
    <cellStyle name="20% - Ênfase2 35" xfId="4248" xr:uid="{00000000-0005-0000-0000-000069100000}"/>
    <cellStyle name="20% - Ênfase2 36" xfId="4249" xr:uid="{00000000-0005-0000-0000-00006A100000}"/>
    <cellStyle name="20% - Ênfase2 37" xfId="4250" xr:uid="{00000000-0005-0000-0000-00006B100000}"/>
    <cellStyle name="20% - Ênfase2 38" xfId="4251" xr:uid="{00000000-0005-0000-0000-00006C100000}"/>
    <cellStyle name="20% - Ênfase2 39" xfId="4252" xr:uid="{00000000-0005-0000-0000-00006D100000}"/>
    <cellStyle name="20% - Ênfase2 4" xfId="4253" xr:uid="{00000000-0005-0000-0000-00006E100000}"/>
    <cellStyle name="20% - Ênfase2 40" xfId="4254" xr:uid="{00000000-0005-0000-0000-00006F100000}"/>
    <cellStyle name="20% - Ênfase2 5" xfId="4255" xr:uid="{00000000-0005-0000-0000-000070100000}"/>
    <cellStyle name="20% - Ênfase2 6" xfId="4256" xr:uid="{00000000-0005-0000-0000-000071100000}"/>
    <cellStyle name="20% - Ênfase2 7" xfId="4257" xr:uid="{00000000-0005-0000-0000-000072100000}"/>
    <cellStyle name="20% - Ênfase2 8" xfId="4258" xr:uid="{00000000-0005-0000-0000-000073100000}"/>
    <cellStyle name="20% - Ênfase2 9" xfId="4259" xr:uid="{00000000-0005-0000-0000-000074100000}"/>
    <cellStyle name="20% - Ênfase3" xfId="25" builtinId="38" customBuiltin="1"/>
    <cellStyle name="20% - Ênfase3 10" xfId="4260" xr:uid="{00000000-0005-0000-0000-000076100000}"/>
    <cellStyle name="20% - Ênfase3 11" xfId="4261" xr:uid="{00000000-0005-0000-0000-000077100000}"/>
    <cellStyle name="20% - Ênfase3 12" xfId="4262" xr:uid="{00000000-0005-0000-0000-000078100000}"/>
    <cellStyle name="20% - Ênfase3 13" xfId="4263" xr:uid="{00000000-0005-0000-0000-000079100000}"/>
    <cellStyle name="20% - Ênfase3 14" xfId="4264" xr:uid="{00000000-0005-0000-0000-00007A100000}"/>
    <cellStyle name="20% - Ênfase3 15" xfId="4265" xr:uid="{00000000-0005-0000-0000-00007B100000}"/>
    <cellStyle name="20% - Ênfase3 16" xfId="4266" xr:uid="{00000000-0005-0000-0000-00007C100000}"/>
    <cellStyle name="20% - Ênfase3 17" xfId="4267" xr:uid="{00000000-0005-0000-0000-00007D100000}"/>
    <cellStyle name="20% - Ênfase3 18" xfId="4268" xr:uid="{00000000-0005-0000-0000-00007E100000}"/>
    <cellStyle name="20% - Ênfase3 19" xfId="4269" xr:uid="{00000000-0005-0000-0000-00007F100000}"/>
    <cellStyle name="20% - Ênfase3 2" xfId="4270" xr:uid="{00000000-0005-0000-0000-000080100000}"/>
    <cellStyle name="20% - Ênfase3 20" xfId="4271" xr:uid="{00000000-0005-0000-0000-000081100000}"/>
    <cellStyle name="20% - Ênfase3 21" xfId="4272" xr:uid="{00000000-0005-0000-0000-000082100000}"/>
    <cellStyle name="20% - Ênfase3 22" xfId="4273" xr:uid="{00000000-0005-0000-0000-000083100000}"/>
    <cellStyle name="20% - Ênfase3 23" xfId="4274" xr:uid="{00000000-0005-0000-0000-000084100000}"/>
    <cellStyle name="20% - Ênfase3 24" xfId="4275" xr:uid="{00000000-0005-0000-0000-000085100000}"/>
    <cellStyle name="20% - Ênfase3 25" xfId="4276" xr:uid="{00000000-0005-0000-0000-000086100000}"/>
    <cellStyle name="20% - Ênfase3 26" xfId="4277" xr:uid="{00000000-0005-0000-0000-000087100000}"/>
    <cellStyle name="20% - Ênfase3 27" xfId="4278" xr:uid="{00000000-0005-0000-0000-000088100000}"/>
    <cellStyle name="20% - Ênfase3 28" xfId="4279" xr:uid="{00000000-0005-0000-0000-000089100000}"/>
    <cellStyle name="20% - Ênfase3 29" xfId="4280" xr:uid="{00000000-0005-0000-0000-00008A100000}"/>
    <cellStyle name="20% - Ênfase3 3" xfId="4281" xr:uid="{00000000-0005-0000-0000-00008B100000}"/>
    <cellStyle name="20% - Ênfase3 30" xfId="4282" xr:uid="{00000000-0005-0000-0000-00008C100000}"/>
    <cellStyle name="20% - Ênfase3 31" xfId="4283" xr:uid="{00000000-0005-0000-0000-00008D100000}"/>
    <cellStyle name="20% - Ênfase3 32" xfId="4284" xr:uid="{00000000-0005-0000-0000-00008E100000}"/>
    <cellStyle name="20% - Ênfase3 33" xfId="4285" xr:uid="{00000000-0005-0000-0000-00008F100000}"/>
    <cellStyle name="20% - Ênfase3 34" xfId="4286" xr:uid="{00000000-0005-0000-0000-000090100000}"/>
    <cellStyle name="20% - Ênfase3 35" xfId="4287" xr:uid="{00000000-0005-0000-0000-000091100000}"/>
    <cellStyle name="20% - Ênfase3 36" xfId="4288" xr:uid="{00000000-0005-0000-0000-000092100000}"/>
    <cellStyle name="20% - Ênfase3 37" xfId="4289" xr:uid="{00000000-0005-0000-0000-000093100000}"/>
    <cellStyle name="20% - Ênfase3 38" xfId="4290" xr:uid="{00000000-0005-0000-0000-000094100000}"/>
    <cellStyle name="20% - Ênfase3 39" xfId="4291" xr:uid="{00000000-0005-0000-0000-000095100000}"/>
    <cellStyle name="20% - Ênfase3 4" xfId="4292" xr:uid="{00000000-0005-0000-0000-000096100000}"/>
    <cellStyle name="20% - Ênfase3 40" xfId="4293" xr:uid="{00000000-0005-0000-0000-000097100000}"/>
    <cellStyle name="20% - Ênfase3 5" xfId="4294" xr:uid="{00000000-0005-0000-0000-000098100000}"/>
    <cellStyle name="20% - Ênfase3 6" xfId="4295" xr:uid="{00000000-0005-0000-0000-000099100000}"/>
    <cellStyle name="20% - Ênfase3 7" xfId="4296" xr:uid="{00000000-0005-0000-0000-00009A100000}"/>
    <cellStyle name="20% - Ênfase3 8" xfId="4297" xr:uid="{00000000-0005-0000-0000-00009B100000}"/>
    <cellStyle name="20% - Ênfase3 9" xfId="4298" xr:uid="{00000000-0005-0000-0000-00009C100000}"/>
    <cellStyle name="20% - Ênfase4" xfId="28" builtinId="42" customBuiltin="1"/>
    <cellStyle name="20% - Ênfase4 10" xfId="4299" xr:uid="{00000000-0005-0000-0000-00009E100000}"/>
    <cellStyle name="20% - Ênfase4 11" xfId="4300" xr:uid="{00000000-0005-0000-0000-00009F100000}"/>
    <cellStyle name="20% - Ênfase4 12" xfId="4301" xr:uid="{00000000-0005-0000-0000-0000A0100000}"/>
    <cellStyle name="20% - Ênfase4 13" xfId="4302" xr:uid="{00000000-0005-0000-0000-0000A1100000}"/>
    <cellStyle name="20% - Ênfase4 14" xfId="4303" xr:uid="{00000000-0005-0000-0000-0000A2100000}"/>
    <cellStyle name="20% - Ênfase4 15" xfId="4304" xr:uid="{00000000-0005-0000-0000-0000A3100000}"/>
    <cellStyle name="20% - Ênfase4 16" xfId="4305" xr:uid="{00000000-0005-0000-0000-0000A4100000}"/>
    <cellStyle name="20% - Ênfase4 17" xfId="4306" xr:uid="{00000000-0005-0000-0000-0000A5100000}"/>
    <cellStyle name="20% - Ênfase4 18" xfId="4307" xr:uid="{00000000-0005-0000-0000-0000A6100000}"/>
    <cellStyle name="20% - Ênfase4 19" xfId="4308" xr:uid="{00000000-0005-0000-0000-0000A7100000}"/>
    <cellStyle name="20% - Ênfase4 2" xfId="4309" xr:uid="{00000000-0005-0000-0000-0000A8100000}"/>
    <cellStyle name="20% - Ênfase4 20" xfId="4310" xr:uid="{00000000-0005-0000-0000-0000A9100000}"/>
    <cellStyle name="20% - Ênfase4 21" xfId="4311" xr:uid="{00000000-0005-0000-0000-0000AA100000}"/>
    <cellStyle name="20% - Ênfase4 22" xfId="4312" xr:uid="{00000000-0005-0000-0000-0000AB100000}"/>
    <cellStyle name="20% - Ênfase4 23" xfId="4313" xr:uid="{00000000-0005-0000-0000-0000AC100000}"/>
    <cellStyle name="20% - Ênfase4 24" xfId="4314" xr:uid="{00000000-0005-0000-0000-0000AD100000}"/>
    <cellStyle name="20% - Ênfase4 25" xfId="4315" xr:uid="{00000000-0005-0000-0000-0000AE100000}"/>
    <cellStyle name="20% - Ênfase4 26" xfId="4316" xr:uid="{00000000-0005-0000-0000-0000AF100000}"/>
    <cellStyle name="20% - Ênfase4 27" xfId="4317" xr:uid="{00000000-0005-0000-0000-0000B0100000}"/>
    <cellStyle name="20% - Ênfase4 28" xfId="4318" xr:uid="{00000000-0005-0000-0000-0000B1100000}"/>
    <cellStyle name="20% - Ênfase4 29" xfId="4319" xr:uid="{00000000-0005-0000-0000-0000B2100000}"/>
    <cellStyle name="20% - Ênfase4 3" xfId="4320" xr:uid="{00000000-0005-0000-0000-0000B3100000}"/>
    <cellStyle name="20% - Ênfase4 30" xfId="4321" xr:uid="{00000000-0005-0000-0000-0000B4100000}"/>
    <cellStyle name="20% - Ênfase4 31" xfId="4322" xr:uid="{00000000-0005-0000-0000-0000B5100000}"/>
    <cellStyle name="20% - Ênfase4 32" xfId="4323" xr:uid="{00000000-0005-0000-0000-0000B6100000}"/>
    <cellStyle name="20% - Ênfase4 33" xfId="4324" xr:uid="{00000000-0005-0000-0000-0000B7100000}"/>
    <cellStyle name="20% - Ênfase4 34" xfId="4325" xr:uid="{00000000-0005-0000-0000-0000B8100000}"/>
    <cellStyle name="20% - Ênfase4 35" xfId="4326" xr:uid="{00000000-0005-0000-0000-0000B9100000}"/>
    <cellStyle name="20% - Ênfase4 36" xfId="4327" xr:uid="{00000000-0005-0000-0000-0000BA100000}"/>
    <cellStyle name="20% - Ênfase4 37" xfId="4328" xr:uid="{00000000-0005-0000-0000-0000BB100000}"/>
    <cellStyle name="20% - Ênfase4 38" xfId="4329" xr:uid="{00000000-0005-0000-0000-0000BC100000}"/>
    <cellStyle name="20% - Ênfase4 39" xfId="4330" xr:uid="{00000000-0005-0000-0000-0000BD100000}"/>
    <cellStyle name="20% - Ênfase4 4" xfId="4331" xr:uid="{00000000-0005-0000-0000-0000BE100000}"/>
    <cellStyle name="20% - Ênfase4 40" xfId="4332" xr:uid="{00000000-0005-0000-0000-0000BF100000}"/>
    <cellStyle name="20% - Ênfase4 5" xfId="4333" xr:uid="{00000000-0005-0000-0000-0000C0100000}"/>
    <cellStyle name="20% - Ênfase4 6" xfId="4334" xr:uid="{00000000-0005-0000-0000-0000C1100000}"/>
    <cellStyle name="20% - Ênfase4 7" xfId="4335" xr:uid="{00000000-0005-0000-0000-0000C2100000}"/>
    <cellStyle name="20% - Ênfase4 8" xfId="4336" xr:uid="{00000000-0005-0000-0000-0000C3100000}"/>
    <cellStyle name="20% - Ênfase4 9" xfId="4337" xr:uid="{00000000-0005-0000-0000-0000C4100000}"/>
    <cellStyle name="20% - Ênfase5" xfId="31" builtinId="46" customBuiltin="1"/>
    <cellStyle name="20% - Ênfase5 10" xfId="4338" xr:uid="{00000000-0005-0000-0000-0000C6100000}"/>
    <cellStyle name="20% - Ênfase5 11" xfId="4339" xr:uid="{00000000-0005-0000-0000-0000C7100000}"/>
    <cellStyle name="20% - Ênfase5 12" xfId="4340" xr:uid="{00000000-0005-0000-0000-0000C8100000}"/>
    <cellStyle name="20% - Ênfase5 13" xfId="4341" xr:uid="{00000000-0005-0000-0000-0000C9100000}"/>
    <cellStyle name="20% - Ênfase5 14" xfId="4342" xr:uid="{00000000-0005-0000-0000-0000CA100000}"/>
    <cellStyle name="20% - Ênfase5 15" xfId="4343" xr:uid="{00000000-0005-0000-0000-0000CB100000}"/>
    <cellStyle name="20% - Ênfase5 16" xfId="4344" xr:uid="{00000000-0005-0000-0000-0000CC100000}"/>
    <cellStyle name="20% - Ênfase5 17" xfId="4345" xr:uid="{00000000-0005-0000-0000-0000CD100000}"/>
    <cellStyle name="20% - Ênfase5 18" xfId="4346" xr:uid="{00000000-0005-0000-0000-0000CE100000}"/>
    <cellStyle name="20% - Ênfase5 19" xfId="4347" xr:uid="{00000000-0005-0000-0000-0000CF100000}"/>
    <cellStyle name="20% - Ênfase5 2" xfId="4348" xr:uid="{00000000-0005-0000-0000-0000D0100000}"/>
    <cellStyle name="20% - Ênfase5 20" xfId="4349" xr:uid="{00000000-0005-0000-0000-0000D1100000}"/>
    <cellStyle name="20% - Ênfase5 21" xfId="4350" xr:uid="{00000000-0005-0000-0000-0000D2100000}"/>
    <cellStyle name="20% - Ênfase5 22" xfId="4351" xr:uid="{00000000-0005-0000-0000-0000D3100000}"/>
    <cellStyle name="20% - Ênfase5 23" xfId="4352" xr:uid="{00000000-0005-0000-0000-0000D4100000}"/>
    <cellStyle name="20% - Ênfase5 24" xfId="4353" xr:uid="{00000000-0005-0000-0000-0000D5100000}"/>
    <cellStyle name="20% - Ênfase5 25" xfId="4354" xr:uid="{00000000-0005-0000-0000-0000D6100000}"/>
    <cellStyle name="20% - Ênfase5 26" xfId="4355" xr:uid="{00000000-0005-0000-0000-0000D7100000}"/>
    <cellStyle name="20% - Ênfase5 27" xfId="4356" xr:uid="{00000000-0005-0000-0000-0000D8100000}"/>
    <cellStyle name="20% - Ênfase5 28" xfId="4357" xr:uid="{00000000-0005-0000-0000-0000D9100000}"/>
    <cellStyle name="20% - Ênfase5 29" xfId="4358" xr:uid="{00000000-0005-0000-0000-0000DA100000}"/>
    <cellStyle name="20% - Ênfase5 3" xfId="4359" xr:uid="{00000000-0005-0000-0000-0000DB100000}"/>
    <cellStyle name="20% - Ênfase5 30" xfId="4360" xr:uid="{00000000-0005-0000-0000-0000DC100000}"/>
    <cellStyle name="20% - Ênfase5 31" xfId="4361" xr:uid="{00000000-0005-0000-0000-0000DD100000}"/>
    <cellStyle name="20% - Ênfase5 32" xfId="4362" xr:uid="{00000000-0005-0000-0000-0000DE100000}"/>
    <cellStyle name="20% - Ênfase5 33" xfId="4363" xr:uid="{00000000-0005-0000-0000-0000DF100000}"/>
    <cellStyle name="20% - Ênfase5 34" xfId="4364" xr:uid="{00000000-0005-0000-0000-0000E0100000}"/>
    <cellStyle name="20% - Ênfase5 35" xfId="4365" xr:uid="{00000000-0005-0000-0000-0000E1100000}"/>
    <cellStyle name="20% - Ênfase5 36" xfId="4366" xr:uid="{00000000-0005-0000-0000-0000E2100000}"/>
    <cellStyle name="20% - Ênfase5 37" xfId="4367" xr:uid="{00000000-0005-0000-0000-0000E3100000}"/>
    <cellStyle name="20% - Ênfase5 38" xfId="4368" xr:uid="{00000000-0005-0000-0000-0000E4100000}"/>
    <cellStyle name="20% - Ênfase5 39" xfId="4369" xr:uid="{00000000-0005-0000-0000-0000E5100000}"/>
    <cellStyle name="20% - Ênfase5 4" xfId="4370" xr:uid="{00000000-0005-0000-0000-0000E6100000}"/>
    <cellStyle name="20% - Ênfase5 40" xfId="4371" xr:uid="{00000000-0005-0000-0000-0000E7100000}"/>
    <cellStyle name="20% - Ênfase5 5" xfId="4372" xr:uid="{00000000-0005-0000-0000-0000E8100000}"/>
    <cellStyle name="20% - Ênfase5 6" xfId="4373" xr:uid="{00000000-0005-0000-0000-0000E9100000}"/>
    <cellStyle name="20% - Ênfase5 7" xfId="4374" xr:uid="{00000000-0005-0000-0000-0000EA100000}"/>
    <cellStyle name="20% - Ênfase5 8" xfId="4375" xr:uid="{00000000-0005-0000-0000-0000EB100000}"/>
    <cellStyle name="20% - Ênfase5 9" xfId="4376" xr:uid="{00000000-0005-0000-0000-0000EC100000}"/>
    <cellStyle name="20% - Ênfase6" xfId="34" builtinId="50" customBuiltin="1"/>
    <cellStyle name="20% - Ênfase6 10" xfId="4377" xr:uid="{00000000-0005-0000-0000-0000EE100000}"/>
    <cellStyle name="20% - Ênfase6 11" xfId="4378" xr:uid="{00000000-0005-0000-0000-0000EF100000}"/>
    <cellStyle name="20% - Ênfase6 12" xfId="4379" xr:uid="{00000000-0005-0000-0000-0000F0100000}"/>
    <cellStyle name="20% - Ênfase6 13" xfId="4380" xr:uid="{00000000-0005-0000-0000-0000F1100000}"/>
    <cellStyle name="20% - Ênfase6 14" xfId="4381" xr:uid="{00000000-0005-0000-0000-0000F2100000}"/>
    <cellStyle name="20% - Ênfase6 15" xfId="4382" xr:uid="{00000000-0005-0000-0000-0000F3100000}"/>
    <cellStyle name="20% - Ênfase6 16" xfId="4383" xr:uid="{00000000-0005-0000-0000-0000F4100000}"/>
    <cellStyle name="20% - Ênfase6 17" xfId="4384" xr:uid="{00000000-0005-0000-0000-0000F5100000}"/>
    <cellStyle name="20% - Ênfase6 18" xfId="4385" xr:uid="{00000000-0005-0000-0000-0000F6100000}"/>
    <cellStyle name="20% - Ênfase6 19" xfId="4386" xr:uid="{00000000-0005-0000-0000-0000F7100000}"/>
    <cellStyle name="20% - Ênfase6 2" xfId="4387" xr:uid="{00000000-0005-0000-0000-0000F8100000}"/>
    <cellStyle name="20% - Ênfase6 20" xfId="4388" xr:uid="{00000000-0005-0000-0000-0000F9100000}"/>
    <cellStyle name="20% - Ênfase6 21" xfId="4389" xr:uid="{00000000-0005-0000-0000-0000FA100000}"/>
    <cellStyle name="20% - Ênfase6 22" xfId="4390" xr:uid="{00000000-0005-0000-0000-0000FB100000}"/>
    <cellStyle name="20% - Ênfase6 23" xfId="4391" xr:uid="{00000000-0005-0000-0000-0000FC100000}"/>
    <cellStyle name="20% - Ênfase6 24" xfId="4392" xr:uid="{00000000-0005-0000-0000-0000FD100000}"/>
    <cellStyle name="20% - Ênfase6 25" xfId="4393" xr:uid="{00000000-0005-0000-0000-0000FE100000}"/>
    <cellStyle name="20% - Ênfase6 26" xfId="4394" xr:uid="{00000000-0005-0000-0000-0000FF100000}"/>
    <cellStyle name="20% - Ênfase6 27" xfId="4395" xr:uid="{00000000-0005-0000-0000-000000110000}"/>
    <cellStyle name="20% - Ênfase6 28" xfId="4396" xr:uid="{00000000-0005-0000-0000-000001110000}"/>
    <cellStyle name="20% - Ênfase6 29" xfId="4397" xr:uid="{00000000-0005-0000-0000-000002110000}"/>
    <cellStyle name="20% - Ênfase6 3" xfId="4398" xr:uid="{00000000-0005-0000-0000-000003110000}"/>
    <cellStyle name="20% - Ênfase6 30" xfId="4399" xr:uid="{00000000-0005-0000-0000-000004110000}"/>
    <cellStyle name="20% - Ênfase6 31" xfId="4400" xr:uid="{00000000-0005-0000-0000-000005110000}"/>
    <cellStyle name="20% - Ênfase6 32" xfId="4401" xr:uid="{00000000-0005-0000-0000-000006110000}"/>
    <cellStyle name="20% - Ênfase6 33" xfId="4402" xr:uid="{00000000-0005-0000-0000-000007110000}"/>
    <cellStyle name="20% - Ênfase6 34" xfId="4403" xr:uid="{00000000-0005-0000-0000-000008110000}"/>
    <cellStyle name="20% - Ênfase6 35" xfId="4404" xr:uid="{00000000-0005-0000-0000-000009110000}"/>
    <cellStyle name="20% - Ênfase6 36" xfId="4405" xr:uid="{00000000-0005-0000-0000-00000A110000}"/>
    <cellStyle name="20% - Ênfase6 37" xfId="4406" xr:uid="{00000000-0005-0000-0000-00000B110000}"/>
    <cellStyle name="20% - Ênfase6 38" xfId="4407" xr:uid="{00000000-0005-0000-0000-00000C110000}"/>
    <cellStyle name="20% - Ênfase6 39" xfId="4408" xr:uid="{00000000-0005-0000-0000-00000D110000}"/>
    <cellStyle name="20% - Ênfase6 4" xfId="4409" xr:uid="{00000000-0005-0000-0000-00000E110000}"/>
    <cellStyle name="20% - Ênfase6 40" xfId="4410" xr:uid="{00000000-0005-0000-0000-00000F110000}"/>
    <cellStyle name="20% - Ênfase6 5" xfId="4411" xr:uid="{00000000-0005-0000-0000-000010110000}"/>
    <cellStyle name="20% - Ênfase6 6" xfId="4412" xr:uid="{00000000-0005-0000-0000-000011110000}"/>
    <cellStyle name="20% - Ênfase6 7" xfId="4413" xr:uid="{00000000-0005-0000-0000-000012110000}"/>
    <cellStyle name="20% - Ênfase6 8" xfId="4414" xr:uid="{00000000-0005-0000-0000-000013110000}"/>
    <cellStyle name="20% - Ênfase6 9" xfId="4415" xr:uid="{00000000-0005-0000-0000-000014110000}"/>
    <cellStyle name="2o.nível" xfId="4416" xr:uid="{00000000-0005-0000-0000-000015110000}"/>
    <cellStyle name="40% - Accent1 2" xfId="4417" xr:uid="{00000000-0005-0000-0000-000016110000}"/>
    <cellStyle name="40% - Accent1 2 2" xfId="4418" xr:uid="{00000000-0005-0000-0000-000017110000}"/>
    <cellStyle name="40% - Accent1 3" xfId="4419" xr:uid="{00000000-0005-0000-0000-000018110000}"/>
    <cellStyle name="40% - Accent2 2" xfId="4420" xr:uid="{00000000-0005-0000-0000-000019110000}"/>
    <cellStyle name="40% - Accent2 2 2" xfId="4421" xr:uid="{00000000-0005-0000-0000-00001A110000}"/>
    <cellStyle name="40% - Accent2 3" xfId="4422" xr:uid="{00000000-0005-0000-0000-00001B110000}"/>
    <cellStyle name="40% - Accent3 2" xfId="4423" xr:uid="{00000000-0005-0000-0000-00001C110000}"/>
    <cellStyle name="40% - Accent3 2 2" xfId="4424" xr:uid="{00000000-0005-0000-0000-00001D110000}"/>
    <cellStyle name="40% - Accent3 3" xfId="4425" xr:uid="{00000000-0005-0000-0000-00001E110000}"/>
    <cellStyle name="40% - Accent4 2" xfId="4426" xr:uid="{00000000-0005-0000-0000-00001F110000}"/>
    <cellStyle name="40% - Accent4 2 2" xfId="4427" xr:uid="{00000000-0005-0000-0000-000020110000}"/>
    <cellStyle name="40% - Accent4 3" xfId="4428" xr:uid="{00000000-0005-0000-0000-000021110000}"/>
    <cellStyle name="40% - Accent5 2" xfId="4429" xr:uid="{00000000-0005-0000-0000-000022110000}"/>
    <cellStyle name="40% - Accent5 2 2" xfId="4430" xr:uid="{00000000-0005-0000-0000-000023110000}"/>
    <cellStyle name="40% - Accent5 3" xfId="4431" xr:uid="{00000000-0005-0000-0000-000024110000}"/>
    <cellStyle name="40% - Accent6 2" xfId="4432" xr:uid="{00000000-0005-0000-0000-000025110000}"/>
    <cellStyle name="40% - Accent6 2 2" xfId="4433" xr:uid="{00000000-0005-0000-0000-000026110000}"/>
    <cellStyle name="40% - Accent6 3" xfId="4434" xr:uid="{00000000-0005-0000-0000-000027110000}"/>
    <cellStyle name="40% - Ênfase1" xfId="20" builtinId="31" customBuiltin="1"/>
    <cellStyle name="40% - Ênfase1 10" xfId="4435" xr:uid="{00000000-0005-0000-0000-000029110000}"/>
    <cellStyle name="40% - Ênfase1 11" xfId="4436" xr:uid="{00000000-0005-0000-0000-00002A110000}"/>
    <cellStyle name="40% - Ênfase1 12" xfId="4437" xr:uid="{00000000-0005-0000-0000-00002B110000}"/>
    <cellStyle name="40% - Ênfase1 13" xfId="4438" xr:uid="{00000000-0005-0000-0000-00002C110000}"/>
    <cellStyle name="40% - Ênfase1 14" xfId="4439" xr:uid="{00000000-0005-0000-0000-00002D110000}"/>
    <cellStyle name="40% - Ênfase1 15" xfId="4440" xr:uid="{00000000-0005-0000-0000-00002E110000}"/>
    <cellStyle name="40% - Ênfase1 16" xfId="4441" xr:uid="{00000000-0005-0000-0000-00002F110000}"/>
    <cellStyle name="40% - Ênfase1 17" xfId="4442" xr:uid="{00000000-0005-0000-0000-000030110000}"/>
    <cellStyle name="40% - Ênfase1 18" xfId="4443" xr:uid="{00000000-0005-0000-0000-000031110000}"/>
    <cellStyle name="40% - Ênfase1 19" xfId="4444" xr:uid="{00000000-0005-0000-0000-000032110000}"/>
    <cellStyle name="40% - Ênfase1 2" xfId="4445" xr:uid="{00000000-0005-0000-0000-000033110000}"/>
    <cellStyle name="40% - Ênfase1 20" xfId="4446" xr:uid="{00000000-0005-0000-0000-000034110000}"/>
    <cellStyle name="40% - Ênfase1 21" xfId="4447" xr:uid="{00000000-0005-0000-0000-000035110000}"/>
    <cellStyle name="40% - Ênfase1 22" xfId="4448" xr:uid="{00000000-0005-0000-0000-000036110000}"/>
    <cellStyle name="40% - Ênfase1 23" xfId="4449" xr:uid="{00000000-0005-0000-0000-000037110000}"/>
    <cellStyle name="40% - Ênfase1 24" xfId="4450" xr:uid="{00000000-0005-0000-0000-000038110000}"/>
    <cellStyle name="40% - Ênfase1 25" xfId="4451" xr:uid="{00000000-0005-0000-0000-000039110000}"/>
    <cellStyle name="40% - Ênfase1 26" xfId="4452" xr:uid="{00000000-0005-0000-0000-00003A110000}"/>
    <cellStyle name="40% - Ênfase1 27" xfId="4453" xr:uid="{00000000-0005-0000-0000-00003B110000}"/>
    <cellStyle name="40% - Ênfase1 28" xfId="4454" xr:uid="{00000000-0005-0000-0000-00003C110000}"/>
    <cellStyle name="40% - Ênfase1 29" xfId="4455" xr:uid="{00000000-0005-0000-0000-00003D110000}"/>
    <cellStyle name="40% - Ênfase1 3" xfId="4456" xr:uid="{00000000-0005-0000-0000-00003E110000}"/>
    <cellStyle name="40% - Ênfase1 30" xfId="4457" xr:uid="{00000000-0005-0000-0000-00003F110000}"/>
    <cellStyle name="40% - Ênfase1 31" xfId="4458" xr:uid="{00000000-0005-0000-0000-000040110000}"/>
    <cellStyle name="40% - Ênfase1 32" xfId="4459" xr:uid="{00000000-0005-0000-0000-000041110000}"/>
    <cellStyle name="40% - Ênfase1 33" xfId="4460" xr:uid="{00000000-0005-0000-0000-000042110000}"/>
    <cellStyle name="40% - Ênfase1 34" xfId="4461" xr:uid="{00000000-0005-0000-0000-000043110000}"/>
    <cellStyle name="40% - Ênfase1 35" xfId="4462" xr:uid="{00000000-0005-0000-0000-000044110000}"/>
    <cellStyle name="40% - Ênfase1 36" xfId="4463" xr:uid="{00000000-0005-0000-0000-000045110000}"/>
    <cellStyle name="40% - Ênfase1 37" xfId="4464" xr:uid="{00000000-0005-0000-0000-000046110000}"/>
    <cellStyle name="40% - Ênfase1 38" xfId="4465" xr:uid="{00000000-0005-0000-0000-000047110000}"/>
    <cellStyle name="40% - Ênfase1 39" xfId="4466" xr:uid="{00000000-0005-0000-0000-000048110000}"/>
    <cellStyle name="40% - Ênfase1 4" xfId="4467" xr:uid="{00000000-0005-0000-0000-000049110000}"/>
    <cellStyle name="40% - Ênfase1 40" xfId="4468" xr:uid="{00000000-0005-0000-0000-00004A110000}"/>
    <cellStyle name="40% - Ênfase1 5" xfId="4469" xr:uid="{00000000-0005-0000-0000-00004B110000}"/>
    <cellStyle name="40% - Ênfase1 6" xfId="4470" xr:uid="{00000000-0005-0000-0000-00004C110000}"/>
    <cellStyle name="40% - Ênfase1 7" xfId="4471" xr:uid="{00000000-0005-0000-0000-00004D110000}"/>
    <cellStyle name="40% - Ênfase1 8" xfId="4472" xr:uid="{00000000-0005-0000-0000-00004E110000}"/>
    <cellStyle name="40% - Ênfase1 9" xfId="4473" xr:uid="{00000000-0005-0000-0000-00004F110000}"/>
    <cellStyle name="40% - Ênfase2" xfId="23" builtinId="35" customBuiltin="1"/>
    <cellStyle name="40% - Ênfase2 10" xfId="4474" xr:uid="{00000000-0005-0000-0000-000051110000}"/>
    <cellStyle name="40% - Ênfase2 11" xfId="4475" xr:uid="{00000000-0005-0000-0000-000052110000}"/>
    <cellStyle name="40% - Ênfase2 12" xfId="4476" xr:uid="{00000000-0005-0000-0000-000053110000}"/>
    <cellStyle name="40% - Ênfase2 13" xfId="4477" xr:uid="{00000000-0005-0000-0000-000054110000}"/>
    <cellStyle name="40% - Ênfase2 14" xfId="4478" xr:uid="{00000000-0005-0000-0000-000055110000}"/>
    <cellStyle name="40% - Ênfase2 15" xfId="4479" xr:uid="{00000000-0005-0000-0000-000056110000}"/>
    <cellStyle name="40% - Ênfase2 16" xfId="4480" xr:uid="{00000000-0005-0000-0000-000057110000}"/>
    <cellStyle name="40% - Ênfase2 17" xfId="4481" xr:uid="{00000000-0005-0000-0000-000058110000}"/>
    <cellStyle name="40% - Ênfase2 18" xfId="4482" xr:uid="{00000000-0005-0000-0000-000059110000}"/>
    <cellStyle name="40% - Ênfase2 19" xfId="4483" xr:uid="{00000000-0005-0000-0000-00005A110000}"/>
    <cellStyle name="40% - Ênfase2 2" xfId="4484" xr:uid="{00000000-0005-0000-0000-00005B110000}"/>
    <cellStyle name="40% - Ênfase2 20" xfId="4485" xr:uid="{00000000-0005-0000-0000-00005C110000}"/>
    <cellStyle name="40% - Ênfase2 21" xfId="4486" xr:uid="{00000000-0005-0000-0000-00005D110000}"/>
    <cellStyle name="40% - Ênfase2 22" xfId="4487" xr:uid="{00000000-0005-0000-0000-00005E110000}"/>
    <cellStyle name="40% - Ênfase2 23" xfId="4488" xr:uid="{00000000-0005-0000-0000-00005F110000}"/>
    <cellStyle name="40% - Ênfase2 24" xfId="4489" xr:uid="{00000000-0005-0000-0000-000060110000}"/>
    <cellStyle name="40% - Ênfase2 25" xfId="4490" xr:uid="{00000000-0005-0000-0000-000061110000}"/>
    <cellStyle name="40% - Ênfase2 26" xfId="4491" xr:uid="{00000000-0005-0000-0000-000062110000}"/>
    <cellStyle name="40% - Ênfase2 27" xfId="4492" xr:uid="{00000000-0005-0000-0000-000063110000}"/>
    <cellStyle name="40% - Ênfase2 28" xfId="4493" xr:uid="{00000000-0005-0000-0000-000064110000}"/>
    <cellStyle name="40% - Ênfase2 29" xfId="4494" xr:uid="{00000000-0005-0000-0000-000065110000}"/>
    <cellStyle name="40% - Ênfase2 3" xfId="4495" xr:uid="{00000000-0005-0000-0000-000066110000}"/>
    <cellStyle name="40% - Ênfase2 30" xfId="4496" xr:uid="{00000000-0005-0000-0000-000067110000}"/>
    <cellStyle name="40% - Ênfase2 31" xfId="4497" xr:uid="{00000000-0005-0000-0000-000068110000}"/>
    <cellStyle name="40% - Ênfase2 32" xfId="4498" xr:uid="{00000000-0005-0000-0000-000069110000}"/>
    <cellStyle name="40% - Ênfase2 33" xfId="4499" xr:uid="{00000000-0005-0000-0000-00006A110000}"/>
    <cellStyle name="40% - Ênfase2 34" xfId="4500" xr:uid="{00000000-0005-0000-0000-00006B110000}"/>
    <cellStyle name="40% - Ênfase2 35" xfId="4501" xr:uid="{00000000-0005-0000-0000-00006C110000}"/>
    <cellStyle name="40% - Ênfase2 36" xfId="4502" xr:uid="{00000000-0005-0000-0000-00006D110000}"/>
    <cellStyle name="40% - Ênfase2 37" xfId="4503" xr:uid="{00000000-0005-0000-0000-00006E110000}"/>
    <cellStyle name="40% - Ênfase2 38" xfId="4504" xr:uid="{00000000-0005-0000-0000-00006F110000}"/>
    <cellStyle name="40% - Ênfase2 39" xfId="4505" xr:uid="{00000000-0005-0000-0000-000070110000}"/>
    <cellStyle name="40% - Ênfase2 4" xfId="4506" xr:uid="{00000000-0005-0000-0000-000071110000}"/>
    <cellStyle name="40% - Ênfase2 40" xfId="4507" xr:uid="{00000000-0005-0000-0000-000072110000}"/>
    <cellStyle name="40% - Ênfase2 5" xfId="4508" xr:uid="{00000000-0005-0000-0000-000073110000}"/>
    <cellStyle name="40% - Ênfase2 6" xfId="4509" xr:uid="{00000000-0005-0000-0000-000074110000}"/>
    <cellStyle name="40% - Ênfase2 7" xfId="4510" xr:uid="{00000000-0005-0000-0000-000075110000}"/>
    <cellStyle name="40% - Ênfase2 8" xfId="4511" xr:uid="{00000000-0005-0000-0000-000076110000}"/>
    <cellStyle name="40% - Ênfase2 9" xfId="4512" xr:uid="{00000000-0005-0000-0000-000077110000}"/>
    <cellStyle name="40% - Ênfase3" xfId="26" builtinId="39" customBuiltin="1"/>
    <cellStyle name="40% - Ênfase3 10" xfId="4513" xr:uid="{00000000-0005-0000-0000-000079110000}"/>
    <cellStyle name="40% - Ênfase3 11" xfId="4514" xr:uid="{00000000-0005-0000-0000-00007A110000}"/>
    <cellStyle name="40% - Ênfase3 12" xfId="4515" xr:uid="{00000000-0005-0000-0000-00007B110000}"/>
    <cellStyle name="40% - Ênfase3 13" xfId="4516" xr:uid="{00000000-0005-0000-0000-00007C110000}"/>
    <cellStyle name="40% - Ênfase3 14" xfId="4517" xr:uid="{00000000-0005-0000-0000-00007D110000}"/>
    <cellStyle name="40% - Ênfase3 15" xfId="4518" xr:uid="{00000000-0005-0000-0000-00007E110000}"/>
    <cellStyle name="40% - Ênfase3 16" xfId="4519" xr:uid="{00000000-0005-0000-0000-00007F110000}"/>
    <cellStyle name="40% - Ênfase3 17" xfId="4520" xr:uid="{00000000-0005-0000-0000-000080110000}"/>
    <cellStyle name="40% - Ênfase3 18" xfId="4521" xr:uid="{00000000-0005-0000-0000-000081110000}"/>
    <cellStyle name="40% - Ênfase3 19" xfId="4522" xr:uid="{00000000-0005-0000-0000-000082110000}"/>
    <cellStyle name="40% - Ênfase3 2" xfId="4523" xr:uid="{00000000-0005-0000-0000-000083110000}"/>
    <cellStyle name="40% - Ênfase3 20" xfId="4524" xr:uid="{00000000-0005-0000-0000-000084110000}"/>
    <cellStyle name="40% - Ênfase3 21" xfId="4525" xr:uid="{00000000-0005-0000-0000-000085110000}"/>
    <cellStyle name="40% - Ênfase3 22" xfId="4526" xr:uid="{00000000-0005-0000-0000-000086110000}"/>
    <cellStyle name="40% - Ênfase3 23" xfId="4527" xr:uid="{00000000-0005-0000-0000-000087110000}"/>
    <cellStyle name="40% - Ênfase3 24" xfId="4528" xr:uid="{00000000-0005-0000-0000-000088110000}"/>
    <cellStyle name="40% - Ênfase3 25" xfId="4529" xr:uid="{00000000-0005-0000-0000-000089110000}"/>
    <cellStyle name="40% - Ênfase3 26" xfId="4530" xr:uid="{00000000-0005-0000-0000-00008A110000}"/>
    <cellStyle name="40% - Ênfase3 27" xfId="4531" xr:uid="{00000000-0005-0000-0000-00008B110000}"/>
    <cellStyle name="40% - Ênfase3 28" xfId="4532" xr:uid="{00000000-0005-0000-0000-00008C110000}"/>
    <cellStyle name="40% - Ênfase3 29" xfId="4533" xr:uid="{00000000-0005-0000-0000-00008D110000}"/>
    <cellStyle name="40% - Ênfase3 3" xfId="4534" xr:uid="{00000000-0005-0000-0000-00008E110000}"/>
    <cellStyle name="40% - Ênfase3 30" xfId="4535" xr:uid="{00000000-0005-0000-0000-00008F110000}"/>
    <cellStyle name="40% - Ênfase3 31" xfId="4536" xr:uid="{00000000-0005-0000-0000-000090110000}"/>
    <cellStyle name="40% - Ênfase3 32" xfId="4537" xr:uid="{00000000-0005-0000-0000-000091110000}"/>
    <cellStyle name="40% - Ênfase3 33" xfId="4538" xr:uid="{00000000-0005-0000-0000-000092110000}"/>
    <cellStyle name="40% - Ênfase3 34" xfId="4539" xr:uid="{00000000-0005-0000-0000-000093110000}"/>
    <cellStyle name="40% - Ênfase3 35" xfId="4540" xr:uid="{00000000-0005-0000-0000-000094110000}"/>
    <cellStyle name="40% - Ênfase3 36" xfId="4541" xr:uid="{00000000-0005-0000-0000-000095110000}"/>
    <cellStyle name="40% - Ênfase3 37" xfId="4542" xr:uid="{00000000-0005-0000-0000-000096110000}"/>
    <cellStyle name="40% - Ênfase3 38" xfId="4543" xr:uid="{00000000-0005-0000-0000-000097110000}"/>
    <cellStyle name="40% - Ênfase3 39" xfId="4544" xr:uid="{00000000-0005-0000-0000-000098110000}"/>
    <cellStyle name="40% - Ênfase3 4" xfId="4545" xr:uid="{00000000-0005-0000-0000-000099110000}"/>
    <cellStyle name="40% - Ênfase3 40" xfId="4546" xr:uid="{00000000-0005-0000-0000-00009A110000}"/>
    <cellStyle name="40% - Ênfase3 5" xfId="4547" xr:uid="{00000000-0005-0000-0000-00009B110000}"/>
    <cellStyle name="40% - Ênfase3 6" xfId="4548" xr:uid="{00000000-0005-0000-0000-00009C110000}"/>
    <cellStyle name="40% - Ênfase3 7" xfId="4549" xr:uid="{00000000-0005-0000-0000-00009D110000}"/>
    <cellStyle name="40% - Ênfase3 8" xfId="4550" xr:uid="{00000000-0005-0000-0000-00009E110000}"/>
    <cellStyle name="40% - Ênfase3 9" xfId="4551" xr:uid="{00000000-0005-0000-0000-00009F110000}"/>
    <cellStyle name="40% - Ênfase4" xfId="29" builtinId="43" customBuiltin="1"/>
    <cellStyle name="40% - Ênfase4 10" xfId="4552" xr:uid="{00000000-0005-0000-0000-0000A1110000}"/>
    <cellStyle name="40% - Ênfase4 11" xfId="4553" xr:uid="{00000000-0005-0000-0000-0000A2110000}"/>
    <cellStyle name="40% - Ênfase4 12" xfId="4554" xr:uid="{00000000-0005-0000-0000-0000A3110000}"/>
    <cellStyle name="40% - Ênfase4 13" xfId="4555" xr:uid="{00000000-0005-0000-0000-0000A4110000}"/>
    <cellStyle name="40% - Ênfase4 14" xfId="4556" xr:uid="{00000000-0005-0000-0000-0000A5110000}"/>
    <cellStyle name="40% - Ênfase4 15" xfId="4557" xr:uid="{00000000-0005-0000-0000-0000A6110000}"/>
    <cellStyle name="40% - Ênfase4 16" xfId="4558" xr:uid="{00000000-0005-0000-0000-0000A7110000}"/>
    <cellStyle name="40% - Ênfase4 17" xfId="4559" xr:uid="{00000000-0005-0000-0000-0000A8110000}"/>
    <cellStyle name="40% - Ênfase4 18" xfId="4560" xr:uid="{00000000-0005-0000-0000-0000A9110000}"/>
    <cellStyle name="40% - Ênfase4 19" xfId="4561" xr:uid="{00000000-0005-0000-0000-0000AA110000}"/>
    <cellStyle name="40% - Ênfase4 2" xfId="4562" xr:uid="{00000000-0005-0000-0000-0000AB110000}"/>
    <cellStyle name="40% - Ênfase4 20" xfId="4563" xr:uid="{00000000-0005-0000-0000-0000AC110000}"/>
    <cellStyle name="40% - Ênfase4 21" xfId="4564" xr:uid="{00000000-0005-0000-0000-0000AD110000}"/>
    <cellStyle name="40% - Ênfase4 22" xfId="4565" xr:uid="{00000000-0005-0000-0000-0000AE110000}"/>
    <cellStyle name="40% - Ênfase4 23" xfId="4566" xr:uid="{00000000-0005-0000-0000-0000AF110000}"/>
    <cellStyle name="40% - Ênfase4 24" xfId="4567" xr:uid="{00000000-0005-0000-0000-0000B0110000}"/>
    <cellStyle name="40% - Ênfase4 25" xfId="4568" xr:uid="{00000000-0005-0000-0000-0000B1110000}"/>
    <cellStyle name="40% - Ênfase4 26" xfId="4569" xr:uid="{00000000-0005-0000-0000-0000B2110000}"/>
    <cellStyle name="40% - Ênfase4 27" xfId="4570" xr:uid="{00000000-0005-0000-0000-0000B3110000}"/>
    <cellStyle name="40% - Ênfase4 28" xfId="4571" xr:uid="{00000000-0005-0000-0000-0000B4110000}"/>
    <cellStyle name="40% - Ênfase4 29" xfId="4572" xr:uid="{00000000-0005-0000-0000-0000B5110000}"/>
    <cellStyle name="40% - Ênfase4 3" xfId="4573" xr:uid="{00000000-0005-0000-0000-0000B6110000}"/>
    <cellStyle name="40% - Ênfase4 30" xfId="4574" xr:uid="{00000000-0005-0000-0000-0000B7110000}"/>
    <cellStyle name="40% - Ênfase4 31" xfId="4575" xr:uid="{00000000-0005-0000-0000-0000B8110000}"/>
    <cellStyle name="40% - Ênfase4 32" xfId="4576" xr:uid="{00000000-0005-0000-0000-0000B9110000}"/>
    <cellStyle name="40% - Ênfase4 33" xfId="4577" xr:uid="{00000000-0005-0000-0000-0000BA110000}"/>
    <cellStyle name="40% - Ênfase4 34" xfId="4578" xr:uid="{00000000-0005-0000-0000-0000BB110000}"/>
    <cellStyle name="40% - Ênfase4 35" xfId="4579" xr:uid="{00000000-0005-0000-0000-0000BC110000}"/>
    <cellStyle name="40% - Ênfase4 36" xfId="4580" xr:uid="{00000000-0005-0000-0000-0000BD110000}"/>
    <cellStyle name="40% - Ênfase4 37" xfId="4581" xr:uid="{00000000-0005-0000-0000-0000BE110000}"/>
    <cellStyle name="40% - Ênfase4 38" xfId="4582" xr:uid="{00000000-0005-0000-0000-0000BF110000}"/>
    <cellStyle name="40% - Ênfase4 39" xfId="4583" xr:uid="{00000000-0005-0000-0000-0000C0110000}"/>
    <cellStyle name="40% - Ênfase4 4" xfId="4584" xr:uid="{00000000-0005-0000-0000-0000C1110000}"/>
    <cellStyle name="40% - Ênfase4 40" xfId="4585" xr:uid="{00000000-0005-0000-0000-0000C2110000}"/>
    <cellStyle name="40% - Ênfase4 5" xfId="4586" xr:uid="{00000000-0005-0000-0000-0000C3110000}"/>
    <cellStyle name="40% - Ênfase4 6" xfId="4587" xr:uid="{00000000-0005-0000-0000-0000C4110000}"/>
    <cellStyle name="40% - Ênfase4 7" xfId="4588" xr:uid="{00000000-0005-0000-0000-0000C5110000}"/>
    <cellStyle name="40% - Ênfase4 8" xfId="4589" xr:uid="{00000000-0005-0000-0000-0000C6110000}"/>
    <cellStyle name="40% - Ênfase4 9" xfId="4590" xr:uid="{00000000-0005-0000-0000-0000C7110000}"/>
    <cellStyle name="40% - Ênfase5" xfId="32" builtinId="47" customBuiltin="1"/>
    <cellStyle name="40% - Ênfase5 10" xfId="4591" xr:uid="{00000000-0005-0000-0000-0000C9110000}"/>
    <cellStyle name="40% - Ênfase5 11" xfId="4592" xr:uid="{00000000-0005-0000-0000-0000CA110000}"/>
    <cellStyle name="40% - Ênfase5 12" xfId="4593" xr:uid="{00000000-0005-0000-0000-0000CB110000}"/>
    <cellStyle name="40% - Ênfase5 13" xfId="4594" xr:uid="{00000000-0005-0000-0000-0000CC110000}"/>
    <cellStyle name="40% - Ênfase5 14" xfId="4595" xr:uid="{00000000-0005-0000-0000-0000CD110000}"/>
    <cellStyle name="40% - Ênfase5 15" xfId="4596" xr:uid="{00000000-0005-0000-0000-0000CE110000}"/>
    <cellStyle name="40% - Ênfase5 16" xfId="4597" xr:uid="{00000000-0005-0000-0000-0000CF110000}"/>
    <cellStyle name="40% - Ênfase5 17" xfId="4598" xr:uid="{00000000-0005-0000-0000-0000D0110000}"/>
    <cellStyle name="40% - Ênfase5 18" xfId="4599" xr:uid="{00000000-0005-0000-0000-0000D1110000}"/>
    <cellStyle name="40% - Ênfase5 19" xfId="4600" xr:uid="{00000000-0005-0000-0000-0000D2110000}"/>
    <cellStyle name="40% - Ênfase5 2" xfId="4601" xr:uid="{00000000-0005-0000-0000-0000D3110000}"/>
    <cellStyle name="40% - Ênfase5 20" xfId="4602" xr:uid="{00000000-0005-0000-0000-0000D4110000}"/>
    <cellStyle name="40% - Ênfase5 21" xfId="4603" xr:uid="{00000000-0005-0000-0000-0000D5110000}"/>
    <cellStyle name="40% - Ênfase5 22" xfId="4604" xr:uid="{00000000-0005-0000-0000-0000D6110000}"/>
    <cellStyle name="40% - Ênfase5 23" xfId="4605" xr:uid="{00000000-0005-0000-0000-0000D7110000}"/>
    <cellStyle name="40% - Ênfase5 24" xfId="4606" xr:uid="{00000000-0005-0000-0000-0000D8110000}"/>
    <cellStyle name="40% - Ênfase5 25" xfId="4607" xr:uid="{00000000-0005-0000-0000-0000D9110000}"/>
    <cellStyle name="40% - Ênfase5 26" xfId="4608" xr:uid="{00000000-0005-0000-0000-0000DA110000}"/>
    <cellStyle name="40% - Ênfase5 27" xfId="4609" xr:uid="{00000000-0005-0000-0000-0000DB110000}"/>
    <cellStyle name="40% - Ênfase5 28" xfId="4610" xr:uid="{00000000-0005-0000-0000-0000DC110000}"/>
    <cellStyle name="40% - Ênfase5 29" xfId="4611" xr:uid="{00000000-0005-0000-0000-0000DD110000}"/>
    <cellStyle name="40% - Ênfase5 3" xfId="4612" xr:uid="{00000000-0005-0000-0000-0000DE110000}"/>
    <cellStyle name="40% - Ênfase5 30" xfId="4613" xr:uid="{00000000-0005-0000-0000-0000DF110000}"/>
    <cellStyle name="40% - Ênfase5 31" xfId="4614" xr:uid="{00000000-0005-0000-0000-0000E0110000}"/>
    <cellStyle name="40% - Ênfase5 32" xfId="4615" xr:uid="{00000000-0005-0000-0000-0000E1110000}"/>
    <cellStyle name="40% - Ênfase5 33" xfId="4616" xr:uid="{00000000-0005-0000-0000-0000E2110000}"/>
    <cellStyle name="40% - Ênfase5 34" xfId="4617" xr:uid="{00000000-0005-0000-0000-0000E3110000}"/>
    <cellStyle name="40% - Ênfase5 35" xfId="4618" xr:uid="{00000000-0005-0000-0000-0000E4110000}"/>
    <cellStyle name="40% - Ênfase5 36" xfId="4619" xr:uid="{00000000-0005-0000-0000-0000E5110000}"/>
    <cellStyle name="40% - Ênfase5 37" xfId="4620" xr:uid="{00000000-0005-0000-0000-0000E6110000}"/>
    <cellStyle name="40% - Ênfase5 38" xfId="4621" xr:uid="{00000000-0005-0000-0000-0000E7110000}"/>
    <cellStyle name="40% - Ênfase5 39" xfId="4622" xr:uid="{00000000-0005-0000-0000-0000E8110000}"/>
    <cellStyle name="40% - Ênfase5 4" xfId="4623" xr:uid="{00000000-0005-0000-0000-0000E9110000}"/>
    <cellStyle name="40% - Ênfase5 40" xfId="4624" xr:uid="{00000000-0005-0000-0000-0000EA110000}"/>
    <cellStyle name="40% - Ênfase5 5" xfId="4625" xr:uid="{00000000-0005-0000-0000-0000EB110000}"/>
    <cellStyle name="40% - Ênfase5 6" xfId="4626" xr:uid="{00000000-0005-0000-0000-0000EC110000}"/>
    <cellStyle name="40% - Ênfase5 7" xfId="4627" xr:uid="{00000000-0005-0000-0000-0000ED110000}"/>
    <cellStyle name="40% - Ênfase5 8" xfId="4628" xr:uid="{00000000-0005-0000-0000-0000EE110000}"/>
    <cellStyle name="40% - Ênfase5 9" xfId="4629" xr:uid="{00000000-0005-0000-0000-0000EF110000}"/>
    <cellStyle name="40% - Ênfase6" xfId="35" builtinId="51" customBuiltin="1"/>
    <cellStyle name="40% - Ênfase6 10" xfId="4630" xr:uid="{00000000-0005-0000-0000-0000F1110000}"/>
    <cellStyle name="40% - Ênfase6 11" xfId="4631" xr:uid="{00000000-0005-0000-0000-0000F2110000}"/>
    <cellStyle name="40% - Ênfase6 12" xfId="4632" xr:uid="{00000000-0005-0000-0000-0000F3110000}"/>
    <cellStyle name="40% - Ênfase6 13" xfId="4633" xr:uid="{00000000-0005-0000-0000-0000F4110000}"/>
    <cellStyle name="40% - Ênfase6 14" xfId="4634" xr:uid="{00000000-0005-0000-0000-0000F5110000}"/>
    <cellStyle name="40% - Ênfase6 15" xfId="4635" xr:uid="{00000000-0005-0000-0000-0000F6110000}"/>
    <cellStyle name="40% - Ênfase6 16" xfId="4636" xr:uid="{00000000-0005-0000-0000-0000F7110000}"/>
    <cellStyle name="40% - Ênfase6 17" xfId="4637" xr:uid="{00000000-0005-0000-0000-0000F8110000}"/>
    <cellStyle name="40% - Ênfase6 18" xfId="4638" xr:uid="{00000000-0005-0000-0000-0000F9110000}"/>
    <cellStyle name="40% - Ênfase6 19" xfId="4639" xr:uid="{00000000-0005-0000-0000-0000FA110000}"/>
    <cellStyle name="40% - Ênfase6 2" xfId="4640" xr:uid="{00000000-0005-0000-0000-0000FB110000}"/>
    <cellStyle name="40% - Ênfase6 20" xfId="4641" xr:uid="{00000000-0005-0000-0000-0000FC110000}"/>
    <cellStyle name="40% - Ênfase6 21" xfId="4642" xr:uid="{00000000-0005-0000-0000-0000FD110000}"/>
    <cellStyle name="40% - Ênfase6 22" xfId="4643" xr:uid="{00000000-0005-0000-0000-0000FE110000}"/>
    <cellStyle name="40% - Ênfase6 23" xfId="4644" xr:uid="{00000000-0005-0000-0000-0000FF110000}"/>
    <cellStyle name="40% - Ênfase6 24" xfId="4645" xr:uid="{00000000-0005-0000-0000-000000120000}"/>
    <cellStyle name="40% - Ênfase6 25" xfId="4646" xr:uid="{00000000-0005-0000-0000-000001120000}"/>
    <cellStyle name="40% - Ênfase6 26" xfId="4647" xr:uid="{00000000-0005-0000-0000-000002120000}"/>
    <cellStyle name="40% - Ênfase6 27" xfId="4648" xr:uid="{00000000-0005-0000-0000-000003120000}"/>
    <cellStyle name="40% - Ênfase6 28" xfId="4649" xr:uid="{00000000-0005-0000-0000-000004120000}"/>
    <cellStyle name="40% - Ênfase6 29" xfId="4650" xr:uid="{00000000-0005-0000-0000-000005120000}"/>
    <cellStyle name="40% - Ênfase6 3" xfId="4651" xr:uid="{00000000-0005-0000-0000-000006120000}"/>
    <cellStyle name="40% - Ênfase6 30" xfId="4652" xr:uid="{00000000-0005-0000-0000-000007120000}"/>
    <cellStyle name="40% - Ênfase6 31" xfId="4653" xr:uid="{00000000-0005-0000-0000-000008120000}"/>
    <cellStyle name="40% - Ênfase6 32" xfId="4654" xr:uid="{00000000-0005-0000-0000-000009120000}"/>
    <cellStyle name="40% - Ênfase6 33" xfId="4655" xr:uid="{00000000-0005-0000-0000-00000A120000}"/>
    <cellStyle name="40% - Ênfase6 34" xfId="4656" xr:uid="{00000000-0005-0000-0000-00000B120000}"/>
    <cellStyle name="40% - Ênfase6 35" xfId="4657" xr:uid="{00000000-0005-0000-0000-00000C120000}"/>
    <cellStyle name="40% - Ênfase6 36" xfId="4658" xr:uid="{00000000-0005-0000-0000-00000D120000}"/>
    <cellStyle name="40% - Ênfase6 37" xfId="4659" xr:uid="{00000000-0005-0000-0000-00000E120000}"/>
    <cellStyle name="40% - Ênfase6 38" xfId="4660" xr:uid="{00000000-0005-0000-0000-00000F120000}"/>
    <cellStyle name="40% - Ênfase6 39" xfId="4661" xr:uid="{00000000-0005-0000-0000-000010120000}"/>
    <cellStyle name="40% - Ênfase6 4" xfId="4662" xr:uid="{00000000-0005-0000-0000-000011120000}"/>
    <cellStyle name="40% - Ênfase6 40" xfId="4663" xr:uid="{00000000-0005-0000-0000-000012120000}"/>
    <cellStyle name="40% - Ênfase6 5" xfId="4664" xr:uid="{00000000-0005-0000-0000-000013120000}"/>
    <cellStyle name="40% - Ênfase6 6" xfId="4665" xr:uid="{00000000-0005-0000-0000-000014120000}"/>
    <cellStyle name="40% - Ênfase6 7" xfId="4666" xr:uid="{00000000-0005-0000-0000-000015120000}"/>
    <cellStyle name="40% - Ênfase6 8" xfId="4667" xr:uid="{00000000-0005-0000-0000-000016120000}"/>
    <cellStyle name="40% - Ênfase6 9" xfId="4668" xr:uid="{00000000-0005-0000-0000-000017120000}"/>
    <cellStyle name="60% - Accent1 2" xfId="4669" xr:uid="{00000000-0005-0000-0000-000018120000}"/>
    <cellStyle name="60% - Accent2 2" xfId="4670" xr:uid="{00000000-0005-0000-0000-000019120000}"/>
    <cellStyle name="60% - Accent3 2" xfId="4671" xr:uid="{00000000-0005-0000-0000-00001A120000}"/>
    <cellStyle name="60% - Accent4 2" xfId="4672" xr:uid="{00000000-0005-0000-0000-00001B120000}"/>
    <cellStyle name="60% - Accent5 2" xfId="4673" xr:uid="{00000000-0005-0000-0000-00001C120000}"/>
    <cellStyle name="60% - Accent6 2" xfId="4674" xr:uid="{00000000-0005-0000-0000-00001D120000}"/>
    <cellStyle name="60% - Ênfase1 10" xfId="4675" xr:uid="{00000000-0005-0000-0000-00001F120000}"/>
    <cellStyle name="60% - Ênfase1 11" xfId="4676" xr:uid="{00000000-0005-0000-0000-000020120000}"/>
    <cellStyle name="60% - Ênfase1 12" xfId="4677" xr:uid="{00000000-0005-0000-0000-000021120000}"/>
    <cellStyle name="60% - Ênfase1 13" xfId="4678" xr:uid="{00000000-0005-0000-0000-000022120000}"/>
    <cellStyle name="60% - Ênfase1 14" xfId="4679" xr:uid="{00000000-0005-0000-0000-000023120000}"/>
    <cellStyle name="60% - Ênfase1 15" xfId="4680" xr:uid="{00000000-0005-0000-0000-000024120000}"/>
    <cellStyle name="60% - Ênfase1 16" xfId="4681" xr:uid="{00000000-0005-0000-0000-000025120000}"/>
    <cellStyle name="60% - Ênfase1 17" xfId="4682" xr:uid="{00000000-0005-0000-0000-000026120000}"/>
    <cellStyle name="60% - Ênfase1 18" xfId="4683" xr:uid="{00000000-0005-0000-0000-000027120000}"/>
    <cellStyle name="60% - Ênfase1 19" xfId="4684" xr:uid="{00000000-0005-0000-0000-000028120000}"/>
    <cellStyle name="60% - Ênfase1 2" xfId="4685" xr:uid="{00000000-0005-0000-0000-000029120000}"/>
    <cellStyle name="60% - Ênfase1 20" xfId="4686" xr:uid="{00000000-0005-0000-0000-00002A120000}"/>
    <cellStyle name="60% - Ênfase1 21" xfId="4687" xr:uid="{00000000-0005-0000-0000-00002B120000}"/>
    <cellStyle name="60% - Ênfase1 22" xfId="4688" xr:uid="{00000000-0005-0000-0000-00002C120000}"/>
    <cellStyle name="60% - Ênfase1 23" xfId="4689" xr:uid="{00000000-0005-0000-0000-00002D120000}"/>
    <cellStyle name="60% - Ênfase1 24" xfId="4690" xr:uid="{00000000-0005-0000-0000-00002E120000}"/>
    <cellStyle name="60% - Ênfase1 25" xfId="4691" xr:uid="{00000000-0005-0000-0000-00002F120000}"/>
    <cellStyle name="60% - Ênfase1 26" xfId="4692" xr:uid="{00000000-0005-0000-0000-000030120000}"/>
    <cellStyle name="60% - Ênfase1 27" xfId="4693" xr:uid="{00000000-0005-0000-0000-000031120000}"/>
    <cellStyle name="60% - Ênfase1 28" xfId="4694" xr:uid="{00000000-0005-0000-0000-000032120000}"/>
    <cellStyle name="60% - Ênfase1 29" xfId="4695" xr:uid="{00000000-0005-0000-0000-000033120000}"/>
    <cellStyle name="60% - Ênfase1 3" xfId="4696" xr:uid="{00000000-0005-0000-0000-000034120000}"/>
    <cellStyle name="60% - Ênfase1 30" xfId="4697" xr:uid="{00000000-0005-0000-0000-000035120000}"/>
    <cellStyle name="60% - Ênfase1 31" xfId="4698" xr:uid="{00000000-0005-0000-0000-000036120000}"/>
    <cellStyle name="60% - Ênfase1 32" xfId="4699" xr:uid="{00000000-0005-0000-0000-000037120000}"/>
    <cellStyle name="60% - Ênfase1 33" xfId="4700" xr:uid="{00000000-0005-0000-0000-000038120000}"/>
    <cellStyle name="60% - Ênfase1 34" xfId="4701" xr:uid="{00000000-0005-0000-0000-000039120000}"/>
    <cellStyle name="60% - Ênfase1 35" xfId="4702" xr:uid="{00000000-0005-0000-0000-00003A120000}"/>
    <cellStyle name="60% - Ênfase1 36" xfId="4703" xr:uid="{00000000-0005-0000-0000-00003B120000}"/>
    <cellStyle name="60% - Ênfase1 37" xfId="4704" xr:uid="{00000000-0005-0000-0000-00003C120000}"/>
    <cellStyle name="60% - Ênfase1 38" xfId="4705" xr:uid="{00000000-0005-0000-0000-00003D120000}"/>
    <cellStyle name="60% - Ênfase1 39" xfId="4706" xr:uid="{00000000-0005-0000-0000-00003E120000}"/>
    <cellStyle name="60% - Ênfase1 4" xfId="4707" xr:uid="{00000000-0005-0000-0000-00003F120000}"/>
    <cellStyle name="60% - Ênfase1 40" xfId="4708" xr:uid="{00000000-0005-0000-0000-000040120000}"/>
    <cellStyle name="60% - Ênfase1 41" xfId="36" xr:uid="{00000000-0005-0000-0000-000041120000}"/>
    <cellStyle name="60% - Ênfase1 5" xfId="4709" xr:uid="{00000000-0005-0000-0000-000041120000}"/>
    <cellStyle name="60% - Ênfase1 6" xfId="4710" xr:uid="{00000000-0005-0000-0000-000042120000}"/>
    <cellStyle name="60% - Ênfase1 7" xfId="4711" xr:uid="{00000000-0005-0000-0000-000043120000}"/>
    <cellStyle name="60% - Ênfase1 8" xfId="4712" xr:uid="{00000000-0005-0000-0000-000044120000}"/>
    <cellStyle name="60% - Ênfase1 9" xfId="4713" xr:uid="{00000000-0005-0000-0000-000045120000}"/>
    <cellStyle name="60% - Ênfase2 10" xfId="4714" xr:uid="{00000000-0005-0000-0000-000047120000}"/>
    <cellStyle name="60% - Ênfase2 11" xfId="4715" xr:uid="{00000000-0005-0000-0000-000048120000}"/>
    <cellStyle name="60% - Ênfase2 12" xfId="4716" xr:uid="{00000000-0005-0000-0000-000049120000}"/>
    <cellStyle name="60% - Ênfase2 13" xfId="4717" xr:uid="{00000000-0005-0000-0000-00004A120000}"/>
    <cellStyle name="60% - Ênfase2 14" xfId="4718" xr:uid="{00000000-0005-0000-0000-00004B120000}"/>
    <cellStyle name="60% - Ênfase2 15" xfId="4719" xr:uid="{00000000-0005-0000-0000-00004C120000}"/>
    <cellStyle name="60% - Ênfase2 16" xfId="4720" xr:uid="{00000000-0005-0000-0000-00004D120000}"/>
    <cellStyle name="60% - Ênfase2 17" xfId="4721" xr:uid="{00000000-0005-0000-0000-00004E120000}"/>
    <cellStyle name="60% - Ênfase2 18" xfId="4722" xr:uid="{00000000-0005-0000-0000-00004F120000}"/>
    <cellStyle name="60% - Ênfase2 19" xfId="4723" xr:uid="{00000000-0005-0000-0000-000050120000}"/>
    <cellStyle name="60% - Ênfase2 2" xfId="4724" xr:uid="{00000000-0005-0000-0000-000051120000}"/>
    <cellStyle name="60% - Ênfase2 20" xfId="4725" xr:uid="{00000000-0005-0000-0000-000052120000}"/>
    <cellStyle name="60% - Ênfase2 21" xfId="4726" xr:uid="{00000000-0005-0000-0000-000053120000}"/>
    <cellStyle name="60% - Ênfase2 22" xfId="4727" xr:uid="{00000000-0005-0000-0000-000054120000}"/>
    <cellStyle name="60% - Ênfase2 23" xfId="4728" xr:uid="{00000000-0005-0000-0000-000055120000}"/>
    <cellStyle name="60% - Ênfase2 24" xfId="4729" xr:uid="{00000000-0005-0000-0000-000056120000}"/>
    <cellStyle name="60% - Ênfase2 25" xfId="4730" xr:uid="{00000000-0005-0000-0000-000057120000}"/>
    <cellStyle name="60% - Ênfase2 26" xfId="4731" xr:uid="{00000000-0005-0000-0000-000058120000}"/>
    <cellStyle name="60% - Ênfase2 27" xfId="4732" xr:uid="{00000000-0005-0000-0000-000059120000}"/>
    <cellStyle name="60% - Ênfase2 28" xfId="4733" xr:uid="{00000000-0005-0000-0000-00005A120000}"/>
    <cellStyle name="60% - Ênfase2 29" xfId="4734" xr:uid="{00000000-0005-0000-0000-00005B120000}"/>
    <cellStyle name="60% - Ênfase2 3" xfId="4735" xr:uid="{00000000-0005-0000-0000-00005C120000}"/>
    <cellStyle name="60% - Ênfase2 30" xfId="4736" xr:uid="{00000000-0005-0000-0000-00005D120000}"/>
    <cellStyle name="60% - Ênfase2 31" xfId="4737" xr:uid="{00000000-0005-0000-0000-00005E120000}"/>
    <cellStyle name="60% - Ênfase2 32" xfId="4738" xr:uid="{00000000-0005-0000-0000-00005F120000}"/>
    <cellStyle name="60% - Ênfase2 33" xfId="4739" xr:uid="{00000000-0005-0000-0000-000060120000}"/>
    <cellStyle name="60% - Ênfase2 34" xfId="4740" xr:uid="{00000000-0005-0000-0000-000061120000}"/>
    <cellStyle name="60% - Ênfase2 35" xfId="4741" xr:uid="{00000000-0005-0000-0000-000062120000}"/>
    <cellStyle name="60% - Ênfase2 36" xfId="4742" xr:uid="{00000000-0005-0000-0000-000063120000}"/>
    <cellStyle name="60% - Ênfase2 37" xfId="4743" xr:uid="{00000000-0005-0000-0000-000064120000}"/>
    <cellStyle name="60% - Ênfase2 38" xfId="4744" xr:uid="{00000000-0005-0000-0000-000065120000}"/>
    <cellStyle name="60% - Ênfase2 39" xfId="4745" xr:uid="{00000000-0005-0000-0000-000066120000}"/>
    <cellStyle name="60% - Ênfase2 4" xfId="4746" xr:uid="{00000000-0005-0000-0000-000067120000}"/>
    <cellStyle name="60% - Ênfase2 40" xfId="4747" xr:uid="{00000000-0005-0000-0000-000068120000}"/>
    <cellStyle name="60% - Ênfase2 41" xfId="37" xr:uid="{00000000-0005-0000-0000-000069120000}"/>
    <cellStyle name="60% - Ênfase2 5" xfId="4748" xr:uid="{00000000-0005-0000-0000-000069120000}"/>
    <cellStyle name="60% - Ênfase2 6" xfId="4749" xr:uid="{00000000-0005-0000-0000-00006A120000}"/>
    <cellStyle name="60% - Ênfase2 7" xfId="4750" xr:uid="{00000000-0005-0000-0000-00006B120000}"/>
    <cellStyle name="60% - Ênfase2 8" xfId="4751" xr:uid="{00000000-0005-0000-0000-00006C120000}"/>
    <cellStyle name="60% - Ênfase2 9" xfId="4752" xr:uid="{00000000-0005-0000-0000-00006D120000}"/>
    <cellStyle name="60% - Ênfase3 10" xfId="4753" xr:uid="{00000000-0005-0000-0000-00006F120000}"/>
    <cellStyle name="60% - Ênfase3 11" xfId="4754" xr:uid="{00000000-0005-0000-0000-000070120000}"/>
    <cellStyle name="60% - Ênfase3 12" xfId="4755" xr:uid="{00000000-0005-0000-0000-000071120000}"/>
    <cellStyle name="60% - Ênfase3 13" xfId="4756" xr:uid="{00000000-0005-0000-0000-000072120000}"/>
    <cellStyle name="60% - Ênfase3 14" xfId="4757" xr:uid="{00000000-0005-0000-0000-000073120000}"/>
    <cellStyle name="60% - Ênfase3 15" xfId="4758" xr:uid="{00000000-0005-0000-0000-000074120000}"/>
    <cellStyle name="60% - Ênfase3 16" xfId="4759" xr:uid="{00000000-0005-0000-0000-000075120000}"/>
    <cellStyle name="60% - Ênfase3 17" xfId="4760" xr:uid="{00000000-0005-0000-0000-000076120000}"/>
    <cellStyle name="60% - Ênfase3 18" xfId="4761" xr:uid="{00000000-0005-0000-0000-000077120000}"/>
    <cellStyle name="60% - Ênfase3 19" xfId="4762" xr:uid="{00000000-0005-0000-0000-000078120000}"/>
    <cellStyle name="60% - Ênfase3 2" xfId="4763" xr:uid="{00000000-0005-0000-0000-000079120000}"/>
    <cellStyle name="60% - Ênfase3 20" xfId="4764" xr:uid="{00000000-0005-0000-0000-00007A120000}"/>
    <cellStyle name="60% - Ênfase3 21" xfId="4765" xr:uid="{00000000-0005-0000-0000-00007B120000}"/>
    <cellStyle name="60% - Ênfase3 22" xfId="4766" xr:uid="{00000000-0005-0000-0000-00007C120000}"/>
    <cellStyle name="60% - Ênfase3 23" xfId="4767" xr:uid="{00000000-0005-0000-0000-00007D120000}"/>
    <cellStyle name="60% - Ênfase3 24" xfId="4768" xr:uid="{00000000-0005-0000-0000-00007E120000}"/>
    <cellStyle name="60% - Ênfase3 25" xfId="4769" xr:uid="{00000000-0005-0000-0000-00007F120000}"/>
    <cellStyle name="60% - Ênfase3 26" xfId="4770" xr:uid="{00000000-0005-0000-0000-000080120000}"/>
    <cellStyle name="60% - Ênfase3 27" xfId="4771" xr:uid="{00000000-0005-0000-0000-000081120000}"/>
    <cellStyle name="60% - Ênfase3 28" xfId="4772" xr:uid="{00000000-0005-0000-0000-000082120000}"/>
    <cellStyle name="60% - Ênfase3 29" xfId="4773" xr:uid="{00000000-0005-0000-0000-000083120000}"/>
    <cellStyle name="60% - Ênfase3 3" xfId="4774" xr:uid="{00000000-0005-0000-0000-000084120000}"/>
    <cellStyle name="60% - Ênfase3 30" xfId="4775" xr:uid="{00000000-0005-0000-0000-000085120000}"/>
    <cellStyle name="60% - Ênfase3 31" xfId="4776" xr:uid="{00000000-0005-0000-0000-000086120000}"/>
    <cellStyle name="60% - Ênfase3 32" xfId="4777" xr:uid="{00000000-0005-0000-0000-000087120000}"/>
    <cellStyle name="60% - Ênfase3 33" xfId="4778" xr:uid="{00000000-0005-0000-0000-000088120000}"/>
    <cellStyle name="60% - Ênfase3 34" xfId="4779" xr:uid="{00000000-0005-0000-0000-000089120000}"/>
    <cellStyle name="60% - Ênfase3 35" xfId="4780" xr:uid="{00000000-0005-0000-0000-00008A120000}"/>
    <cellStyle name="60% - Ênfase3 36" xfId="4781" xr:uid="{00000000-0005-0000-0000-00008B120000}"/>
    <cellStyle name="60% - Ênfase3 37" xfId="4782" xr:uid="{00000000-0005-0000-0000-00008C120000}"/>
    <cellStyle name="60% - Ênfase3 38" xfId="4783" xr:uid="{00000000-0005-0000-0000-00008D120000}"/>
    <cellStyle name="60% - Ênfase3 39" xfId="4784" xr:uid="{00000000-0005-0000-0000-00008E120000}"/>
    <cellStyle name="60% - Ênfase3 4" xfId="4785" xr:uid="{00000000-0005-0000-0000-00008F120000}"/>
    <cellStyle name="60% - Ênfase3 40" xfId="4786" xr:uid="{00000000-0005-0000-0000-000090120000}"/>
    <cellStyle name="60% - Ênfase3 41" xfId="38" xr:uid="{00000000-0005-0000-0000-000091120000}"/>
    <cellStyle name="60% - Ênfase3 5" xfId="4787" xr:uid="{00000000-0005-0000-0000-000091120000}"/>
    <cellStyle name="60% - Ênfase3 6" xfId="4788" xr:uid="{00000000-0005-0000-0000-000092120000}"/>
    <cellStyle name="60% - Ênfase3 7" xfId="4789" xr:uid="{00000000-0005-0000-0000-000093120000}"/>
    <cellStyle name="60% - Ênfase3 8" xfId="4790" xr:uid="{00000000-0005-0000-0000-000094120000}"/>
    <cellStyle name="60% - Ênfase3 9" xfId="4791" xr:uid="{00000000-0005-0000-0000-000095120000}"/>
    <cellStyle name="60% - Ênfase4 10" xfId="4792" xr:uid="{00000000-0005-0000-0000-000097120000}"/>
    <cellStyle name="60% - Ênfase4 11" xfId="4793" xr:uid="{00000000-0005-0000-0000-000098120000}"/>
    <cellStyle name="60% - Ênfase4 12" xfId="4794" xr:uid="{00000000-0005-0000-0000-000099120000}"/>
    <cellStyle name="60% - Ênfase4 13" xfId="4795" xr:uid="{00000000-0005-0000-0000-00009A120000}"/>
    <cellStyle name="60% - Ênfase4 14" xfId="4796" xr:uid="{00000000-0005-0000-0000-00009B120000}"/>
    <cellStyle name="60% - Ênfase4 15" xfId="4797" xr:uid="{00000000-0005-0000-0000-00009C120000}"/>
    <cellStyle name="60% - Ênfase4 16" xfId="4798" xr:uid="{00000000-0005-0000-0000-00009D120000}"/>
    <cellStyle name="60% - Ênfase4 17" xfId="4799" xr:uid="{00000000-0005-0000-0000-00009E120000}"/>
    <cellStyle name="60% - Ênfase4 18" xfId="4800" xr:uid="{00000000-0005-0000-0000-00009F120000}"/>
    <cellStyle name="60% - Ênfase4 19" xfId="4801" xr:uid="{00000000-0005-0000-0000-0000A0120000}"/>
    <cellStyle name="60% - Ênfase4 2" xfId="4802" xr:uid="{00000000-0005-0000-0000-0000A1120000}"/>
    <cellStyle name="60% - Ênfase4 20" xfId="4803" xr:uid="{00000000-0005-0000-0000-0000A2120000}"/>
    <cellStyle name="60% - Ênfase4 21" xfId="4804" xr:uid="{00000000-0005-0000-0000-0000A3120000}"/>
    <cellStyle name="60% - Ênfase4 22" xfId="4805" xr:uid="{00000000-0005-0000-0000-0000A4120000}"/>
    <cellStyle name="60% - Ênfase4 23" xfId="4806" xr:uid="{00000000-0005-0000-0000-0000A5120000}"/>
    <cellStyle name="60% - Ênfase4 24" xfId="4807" xr:uid="{00000000-0005-0000-0000-0000A6120000}"/>
    <cellStyle name="60% - Ênfase4 25" xfId="4808" xr:uid="{00000000-0005-0000-0000-0000A7120000}"/>
    <cellStyle name="60% - Ênfase4 26" xfId="4809" xr:uid="{00000000-0005-0000-0000-0000A8120000}"/>
    <cellStyle name="60% - Ênfase4 27" xfId="4810" xr:uid="{00000000-0005-0000-0000-0000A9120000}"/>
    <cellStyle name="60% - Ênfase4 28" xfId="4811" xr:uid="{00000000-0005-0000-0000-0000AA120000}"/>
    <cellStyle name="60% - Ênfase4 29" xfId="4812" xr:uid="{00000000-0005-0000-0000-0000AB120000}"/>
    <cellStyle name="60% - Ênfase4 3" xfId="4813" xr:uid="{00000000-0005-0000-0000-0000AC120000}"/>
    <cellStyle name="60% - Ênfase4 30" xfId="4814" xr:uid="{00000000-0005-0000-0000-0000AD120000}"/>
    <cellStyle name="60% - Ênfase4 31" xfId="4815" xr:uid="{00000000-0005-0000-0000-0000AE120000}"/>
    <cellStyle name="60% - Ênfase4 32" xfId="4816" xr:uid="{00000000-0005-0000-0000-0000AF120000}"/>
    <cellStyle name="60% - Ênfase4 33" xfId="4817" xr:uid="{00000000-0005-0000-0000-0000B0120000}"/>
    <cellStyle name="60% - Ênfase4 34" xfId="4818" xr:uid="{00000000-0005-0000-0000-0000B1120000}"/>
    <cellStyle name="60% - Ênfase4 35" xfId="4819" xr:uid="{00000000-0005-0000-0000-0000B2120000}"/>
    <cellStyle name="60% - Ênfase4 36" xfId="4820" xr:uid="{00000000-0005-0000-0000-0000B3120000}"/>
    <cellStyle name="60% - Ênfase4 37" xfId="4821" xr:uid="{00000000-0005-0000-0000-0000B4120000}"/>
    <cellStyle name="60% - Ênfase4 38" xfId="4822" xr:uid="{00000000-0005-0000-0000-0000B5120000}"/>
    <cellStyle name="60% - Ênfase4 39" xfId="4823" xr:uid="{00000000-0005-0000-0000-0000B6120000}"/>
    <cellStyle name="60% - Ênfase4 4" xfId="4824" xr:uid="{00000000-0005-0000-0000-0000B7120000}"/>
    <cellStyle name="60% - Ênfase4 40" xfId="4825" xr:uid="{00000000-0005-0000-0000-0000B8120000}"/>
    <cellStyle name="60% - Ênfase4 41" xfId="39" xr:uid="{00000000-0005-0000-0000-0000B9120000}"/>
    <cellStyle name="60% - Ênfase4 5" xfId="4826" xr:uid="{00000000-0005-0000-0000-0000B9120000}"/>
    <cellStyle name="60% - Ênfase4 6" xfId="4827" xr:uid="{00000000-0005-0000-0000-0000BA120000}"/>
    <cellStyle name="60% - Ênfase4 7" xfId="4828" xr:uid="{00000000-0005-0000-0000-0000BB120000}"/>
    <cellStyle name="60% - Ênfase4 8" xfId="4829" xr:uid="{00000000-0005-0000-0000-0000BC120000}"/>
    <cellStyle name="60% - Ênfase4 9" xfId="4830" xr:uid="{00000000-0005-0000-0000-0000BD120000}"/>
    <cellStyle name="60% - Ênfase5 10" xfId="4831" xr:uid="{00000000-0005-0000-0000-0000BF120000}"/>
    <cellStyle name="60% - Ênfase5 11" xfId="4832" xr:uid="{00000000-0005-0000-0000-0000C0120000}"/>
    <cellStyle name="60% - Ênfase5 12" xfId="4833" xr:uid="{00000000-0005-0000-0000-0000C1120000}"/>
    <cellStyle name="60% - Ênfase5 13" xfId="4834" xr:uid="{00000000-0005-0000-0000-0000C2120000}"/>
    <cellStyle name="60% - Ênfase5 14" xfId="4835" xr:uid="{00000000-0005-0000-0000-0000C3120000}"/>
    <cellStyle name="60% - Ênfase5 15" xfId="4836" xr:uid="{00000000-0005-0000-0000-0000C4120000}"/>
    <cellStyle name="60% - Ênfase5 16" xfId="4837" xr:uid="{00000000-0005-0000-0000-0000C5120000}"/>
    <cellStyle name="60% - Ênfase5 17" xfId="4838" xr:uid="{00000000-0005-0000-0000-0000C6120000}"/>
    <cellStyle name="60% - Ênfase5 18" xfId="4839" xr:uid="{00000000-0005-0000-0000-0000C7120000}"/>
    <cellStyle name="60% - Ênfase5 19" xfId="4840" xr:uid="{00000000-0005-0000-0000-0000C8120000}"/>
    <cellStyle name="60% - Ênfase5 2" xfId="4841" xr:uid="{00000000-0005-0000-0000-0000C9120000}"/>
    <cellStyle name="60% - Ênfase5 20" xfId="4842" xr:uid="{00000000-0005-0000-0000-0000CA120000}"/>
    <cellStyle name="60% - Ênfase5 21" xfId="4843" xr:uid="{00000000-0005-0000-0000-0000CB120000}"/>
    <cellStyle name="60% - Ênfase5 22" xfId="4844" xr:uid="{00000000-0005-0000-0000-0000CC120000}"/>
    <cellStyle name="60% - Ênfase5 23" xfId="4845" xr:uid="{00000000-0005-0000-0000-0000CD120000}"/>
    <cellStyle name="60% - Ênfase5 24" xfId="4846" xr:uid="{00000000-0005-0000-0000-0000CE120000}"/>
    <cellStyle name="60% - Ênfase5 25" xfId="4847" xr:uid="{00000000-0005-0000-0000-0000CF120000}"/>
    <cellStyle name="60% - Ênfase5 26" xfId="4848" xr:uid="{00000000-0005-0000-0000-0000D0120000}"/>
    <cellStyle name="60% - Ênfase5 27" xfId="4849" xr:uid="{00000000-0005-0000-0000-0000D1120000}"/>
    <cellStyle name="60% - Ênfase5 28" xfId="4850" xr:uid="{00000000-0005-0000-0000-0000D2120000}"/>
    <cellStyle name="60% - Ênfase5 29" xfId="4851" xr:uid="{00000000-0005-0000-0000-0000D3120000}"/>
    <cellStyle name="60% - Ênfase5 3" xfId="4852" xr:uid="{00000000-0005-0000-0000-0000D4120000}"/>
    <cellStyle name="60% - Ênfase5 30" xfId="4853" xr:uid="{00000000-0005-0000-0000-0000D5120000}"/>
    <cellStyle name="60% - Ênfase5 31" xfId="4854" xr:uid="{00000000-0005-0000-0000-0000D6120000}"/>
    <cellStyle name="60% - Ênfase5 32" xfId="4855" xr:uid="{00000000-0005-0000-0000-0000D7120000}"/>
    <cellStyle name="60% - Ênfase5 33" xfId="4856" xr:uid="{00000000-0005-0000-0000-0000D8120000}"/>
    <cellStyle name="60% - Ênfase5 34" xfId="4857" xr:uid="{00000000-0005-0000-0000-0000D9120000}"/>
    <cellStyle name="60% - Ênfase5 35" xfId="4858" xr:uid="{00000000-0005-0000-0000-0000DA120000}"/>
    <cellStyle name="60% - Ênfase5 36" xfId="4859" xr:uid="{00000000-0005-0000-0000-0000DB120000}"/>
    <cellStyle name="60% - Ênfase5 37" xfId="4860" xr:uid="{00000000-0005-0000-0000-0000DC120000}"/>
    <cellStyle name="60% - Ênfase5 38" xfId="4861" xr:uid="{00000000-0005-0000-0000-0000DD120000}"/>
    <cellStyle name="60% - Ênfase5 39" xfId="4862" xr:uid="{00000000-0005-0000-0000-0000DE120000}"/>
    <cellStyle name="60% - Ênfase5 4" xfId="4863" xr:uid="{00000000-0005-0000-0000-0000DF120000}"/>
    <cellStyle name="60% - Ênfase5 40" xfId="4864" xr:uid="{00000000-0005-0000-0000-0000E0120000}"/>
    <cellStyle name="60% - Ênfase5 41" xfId="40" xr:uid="{00000000-0005-0000-0000-0000E1120000}"/>
    <cellStyle name="60% - Ênfase5 5" xfId="4865" xr:uid="{00000000-0005-0000-0000-0000E1120000}"/>
    <cellStyle name="60% - Ênfase5 6" xfId="4866" xr:uid="{00000000-0005-0000-0000-0000E2120000}"/>
    <cellStyle name="60% - Ênfase5 7" xfId="4867" xr:uid="{00000000-0005-0000-0000-0000E3120000}"/>
    <cellStyle name="60% - Ênfase5 8" xfId="4868" xr:uid="{00000000-0005-0000-0000-0000E4120000}"/>
    <cellStyle name="60% - Ênfase5 9" xfId="4869" xr:uid="{00000000-0005-0000-0000-0000E5120000}"/>
    <cellStyle name="60% - Ênfase6 10" xfId="4870" xr:uid="{00000000-0005-0000-0000-0000E7120000}"/>
    <cellStyle name="60% - Ênfase6 11" xfId="4871" xr:uid="{00000000-0005-0000-0000-0000E8120000}"/>
    <cellStyle name="60% - Ênfase6 12" xfId="4872" xr:uid="{00000000-0005-0000-0000-0000E9120000}"/>
    <cellStyle name="60% - Ênfase6 13" xfId="4873" xr:uid="{00000000-0005-0000-0000-0000EA120000}"/>
    <cellStyle name="60% - Ênfase6 14" xfId="4874" xr:uid="{00000000-0005-0000-0000-0000EB120000}"/>
    <cellStyle name="60% - Ênfase6 15" xfId="4875" xr:uid="{00000000-0005-0000-0000-0000EC120000}"/>
    <cellStyle name="60% - Ênfase6 16" xfId="4876" xr:uid="{00000000-0005-0000-0000-0000ED120000}"/>
    <cellStyle name="60% - Ênfase6 17" xfId="4877" xr:uid="{00000000-0005-0000-0000-0000EE120000}"/>
    <cellStyle name="60% - Ênfase6 18" xfId="4878" xr:uid="{00000000-0005-0000-0000-0000EF120000}"/>
    <cellStyle name="60% - Ênfase6 19" xfId="4879" xr:uid="{00000000-0005-0000-0000-0000F0120000}"/>
    <cellStyle name="60% - Ênfase6 2" xfId="4880" xr:uid="{00000000-0005-0000-0000-0000F1120000}"/>
    <cellStyle name="60% - Ênfase6 20" xfId="4881" xr:uid="{00000000-0005-0000-0000-0000F2120000}"/>
    <cellStyle name="60% - Ênfase6 21" xfId="4882" xr:uid="{00000000-0005-0000-0000-0000F3120000}"/>
    <cellStyle name="60% - Ênfase6 22" xfId="4883" xr:uid="{00000000-0005-0000-0000-0000F4120000}"/>
    <cellStyle name="60% - Ênfase6 23" xfId="4884" xr:uid="{00000000-0005-0000-0000-0000F5120000}"/>
    <cellStyle name="60% - Ênfase6 24" xfId="4885" xr:uid="{00000000-0005-0000-0000-0000F6120000}"/>
    <cellStyle name="60% - Ênfase6 25" xfId="4886" xr:uid="{00000000-0005-0000-0000-0000F7120000}"/>
    <cellStyle name="60% - Ênfase6 26" xfId="4887" xr:uid="{00000000-0005-0000-0000-0000F8120000}"/>
    <cellStyle name="60% - Ênfase6 27" xfId="4888" xr:uid="{00000000-0005-0000-0000-0000F9120000}"/>
    <cellStyle name="60% - Ênfase6 28" xfId="4889" xr:uid="{00000000-0005-0000-0000-0000FA120000}"/>
    <cellStyle name="60% - Ênfase6 29" xfId="4890" xr:uid="{00000000-0005-0000-0000-0000FB120000}"/>
    <cellStyle name="60% - Ênfase6 3" xfId="4891" xr:uid="{00000000-0005-0000-0000-0000FC120000}"/>
    <cellStyle name="60% - Ênfase6 30" xfId="4892" xr:uid="{00000000-0005-0000-0000-0000FD120000}"/>
    <cellStyle name="60% - Ênfase6 31" xfId="4893" xr:uid="{00000000-0005-0000-0000-0000FE120000}"/>
    <cellStyle name="60% - Ênfase6 32" xfId="4894" xr:uid="{00000000-0005-0000-0000-0000FF120000}"/>
    <cellStyle name="60% - Ênfase6 33" xfId="4895" xr:uid="{00000000-0005-0000-0000-000000130000}"/>
    <cellStyle name="60% - Ênfase6 34" xfId="4896" xr:uid="{00000000-0005-0000-0000-000001130000}"/>
    <cellStyle name="60% - Ênfase6 35" xfId="4897" xr:uid="{00000000-0005-0000-0000-000002130000}"/>
    <cellStyle name="60% - Ênfase6 36" xfId="4898" xr:uid="{00000000-0005-0000-0000-000003130000}"/>
    <cellStyle name="60% - Ênfase6 37" xfId="4899" xr:uid="{00000000-0005-0000-0000-000004130000}"/>
    <cellStyle name="60% - Ênfase6 38" xfId="4900" xr:uid="{00000000-0005-0000-0000-000005130000}"/>
    <cellStyle name="60% - Ênfase6 39" xfId="4901" xr:uid="{00000000-0005-0000-0000-000006130000}"/>
    <cellStyle name="60% - Ênfase6 4" xfId="4902" xr:uid="{00000000-0005-0000-0000-000007130000}"/>
    <cellStyle name="60% - Ênfase6 40" xfId="4903" xr:uid="{00000000-0005-0000-0000-000008130000}"/>
    <cellStyle name="60% - Ênfase6 41" xfId="41" xr:uid="{00000000-0005-0000-0000-000009130000}"/>
    <cellStyle name="60% - Ênfase6 5" xfId="4904" xr:uid="{00000000-0005-0000-0000-000009130000}"/>
    <cellStyle name="60% - Ênfase6 6" xfId="4905" xr:uid="{00000000-0005-0000-0000-00000A130000}"/>
    <cellStyle name="60% - Ênfase6 7" xfId="4906" xr:uid="{00000000-0005-0000-0000-00000B130000}"/>
    <cellStyle name="60% - Ênfase6 8" xfId="4907" xr:uid="{00000000-0005-0000-0000-00000C130000}"/>
    <cellStyle name="60% - Ênfase6 9" xfId="4908" xr:uid="{00000000-0005-0000-0000-00000D130000}"/>
    <cellStyle name="600 PN" xfId="4909" xr:uid="{00000000-0005-0000-0000-00000E130000}"/>
    <cellStyle name="700 PN" xfId="4910" xr:uid="{00000000-0005-0000-0000-00000F130000}"/>
    <cellStyle name="a_normal" xfId="4911" xr:uid="{00000000-0005-0000-0000-000010130000}"/>
    <cellStyle name="a_quebra_2" xfId="4912" xr:uid="{00000000-0005-0000-0000-000011130000}"/>
    <cellStyle name="À‰" xfId="4913" xr:uid="{00000000-0005-0000-0000-000012130000}"/>
    <cellStyle name="A3 297 x 420 mm" xfId="4914" xr:uid="{00000000-0005-0000-0000-000013130000}"/>
    <cellStyle name="Accent1 2" xfId="4915" xr:uid="{00000000-0005-0000-0000-000014130000}"/>
    <cellStyle name="Accent2 2" xfId="4916" xr:uid="{00000000-0005-0000-0000-000015130000}"/>
    <cellStyle name="Accent2 3" xfId="4917" xr:uid="{00000000-0005-0000-0000-000016130000}"/>
    <cellStyle name="Accent3 2" xfId="4918" xr:uid="{00000000-0005-0000-0000-000017130000}"/>
    <cellStyle name="Accent4 2" xfId="4919" xr:uid="{00000000-0005-0000-0000-000018130000}"/>
    <cellStyle name="Accent5 2" xfId="4920" xr:uid="{00000000-0005-0000-0000-000019130000}"/>
    <cellStyle name="Accent6 2" xfId="4921" xr:uid="{00000000-0005-0000-0000-00001A130000}"/>
    <cellStyle name="Acctg" xfId="4922" xr:uid="{00000000-0005-0000-0000-00001B130000}"/>
    <cellStyle name="Acctg$" xfId="4923" xr:uid="{00000000-0005-0000-0000-00001C130000}"/>
    <cellStyle name="Acctg_Ampla - FO.V1.5Betaxls" xfId="4924" xr:uid="{00000000-0005-0000-0000-00001D130000}"/>
    <cellStyle name="Acquisition" xfId="4925" xr:uid="{00000000-0005-0000-0000-00001E130000}"/>
    <cellStyle name="active" xfId="4926" xr:uid="{00000000-0005-0000-0000-00001F130000}"/>
    <cellStyle name="Actual Date" xfId="4927" xr:uid="{00000000-0005-0000-0000-000020130000}"/>
    <cellStyle name="AFE" xfId="4928" xr:uid="{00000000-0005-0000-0000-000021130000}"/>
    <cellStyle name="After Percent" xfId="4929" xr:uid="{00000000-0005-0000-0000-000022130000}"/>
    <cellStyle name="After Percent 2" xfId="4930" xr:uid="{00000000-0005-0000-0000-000023130000}"/>
    <cellStyle name="After Percent 2 2" xfId="4931" xr:uid="{00000000-0005-0000-0000-000024130000}"/>
    <cellStyle name="After Percent 2 2 2" xfId="4932" xr:uid="{00000000-0005-0000-0000-000025130000}"/>
    <cellStyle name="After Percent 2 3" xfId="4933" xr:uid="{00000000-0005-0000-0000-000026130000}"/>
    <cellStyle name="After Percent 3" xfId="4934" xr:uid="{00000000-0005-0000-0000-000027130000}"/>
    <cellStyle name="After Percent 3 2" xfId="4935" xr:uid="{00000000-0005-0000-0000-000028130000}"/>
    <cellStyle name="After Percent 4" xfId="4936" xr:uid="{00000000-0005-0000-0000-000029130000}"/>
    <cellStyle name="Amarelo%" xfId="4937" xr:uid="{00000000-0005-0000-0000-00002A130000}"/>
    <cellStyle name="Andre's Title" xfId="4938" xr:uid="{00000000-0005-0000-0000-00002B130000}"/>
    <cellStyle name="args.style" xfId="4939" xr:uid="{00000000-0005-0000-0000-00002C130000}"/>
    <cellStyle name="Array" xfId="4940" xr:uid="{00000000-0005-0000-0000-00002D130000}"/>
    <cellStyle name="Array 2" xfId="4941" xr:uid="{00000000-0005-0000-0000-00002E130000}"/>
    <cellStyle name="Array 2 2" xfId="4942" xr:uid="{00000000-0005-0000-0000-00002F130000}"/>
    <cellStyle name="Array 2 2 2" xfId="4943" xr:uid="{00000000-0005-0000-0000-000030130000}"/>
    <cellStyle name="Array 2 3" xfId="4944" xr:uid="{00000000-0005-0000-0000-000031130000}"/>
    <cellStyle name="Array 3" xfId="4945" xr:uid="{00000000-0005-0000-0000-000032130000}"/>
    <cellStyle name="Array 3 2" xfId="4946" xr:uid="{00000000-0005-0000-0000-000033130000}"/>
    <cellStyle name="Array 4" xfId="4947" xr:uid="{00000000-0005-0000-0000-000034130000}"/>
    <cellStyle name="Array Enter" xfId="4948" xr:uid="{00000000-0005-0000-0000-000035130000}"/>
    <cellStyle name="Array Enter 2" xfId="4949" xr:uid="{00000000-0005-0000-0000-000036130000}"/>
    <cellStyle name="Array Enter 2 2" xfId="4950" xr:uid="{00000000-0005-0000-0000-000037130000}"/>
    <cellStyle name="Array Enter 2 2 2" xfId="4951" xr:uid="{00000000-0005-0000-0000-000038130000}"/>
    <cellStyle name="Array Enter 2 3" xfId="4952" xr:uid="{00000000-0005-0000-0000-000039130000}"/>
    <cellStyle name="Array Enter 3" xfId="4953" xr:uid="{00000000-0005-0000-0000-00003A130000}"/>
    <cellStyle name="Array Enter 3 2" xfId="4954" xr:uid="{00000000-0005-0000-0000-00003B130000}"/>
    <cellStyle name="Array Enter 4" xfId="4955" xr:uid="{00000000-0005-0000-0000-00003C130000}"/>
    <cellStyle name="Array_HRT O&amp;G" xfId="4956" xr:uid="{00000000-0005-0000-0000-00003D130000}"/>
    <cellStyle name="axlcolour" xfId="4957" xr:uid="{00000000-0005-0000-0000-00003E130000}"/>
    <cellStyle name="B&amp;W" xfId="4958" xr:uid="{00000000-0005-0000-0000-00003F130000}"/>
    <cellStyle name="B&amp;Wbold" xfId="4959" xr:uid="{00000000-0005-0000-0000-000040130000}"/>
    <cellStyle name="Bad 2" xfId="4960" xr:uid="{00000000-0005-0000-0000-000041130000}"/>
    <cellStyle name="-Bas de tableau" xfId="4961" xr:uid="{00000000-0005-0000-0000-000042130000}"/>
    <cellStyle name="-Bas de tableau 2" xfId="4962" xr:uid="{00000000-0005-0000-0000-000043130000}"/>
    <cellStyle name="-Bas de tableau 2 2" xfId="4963" xr:uid="{00000000-0005-0000-0000-000044130000}"/>
    <cellStyle name="Black" xfId="4964" xr:uid="{00000000-0005-0000-0000-000045130000}"/>
    <cellStyle name="BlackStrike" xfId="4965" xr:uid="{00000000-0005-0000-0000-000046130000}"/>
    <cellStyle name="BlackText" xfId="4966" xr:uid="{00000000-0005-0000-0000-000047130000}"/>
    <cellStyle name="blank" xfId="4967" xr:uid="{00000000-0005-0000-0000-000048130000}"/>
    <cellStyle name="BLOQUES" xfId="4968" xr:uid="{00000000-0005-0000-0000-000049130000}"/>
    <cellStyle name="blp_column_header" xfId="42" xr:uid="{00000000-0005-0000-0000-00004A130000}"/>
    <cellStyle name="Blue" xfId="4969" xr:uid="{00000000-0005-0000-0000-00004B130000}"/>
    <cellStyle name="blue font" xfId="4970" xr:uid="{00000000-0005-0000-0000-00004C130000}"/>
    <cellStyle name="Blue Shading" xfId="4971" xr:uid="{00000000-0005-0000-0000-00004D130000}"/>
    <cellStyle name="Blue Shading 2" xfId="4972" xr:uid="{00000000-0005-0000-0000-00004E130000}"/>
    <cellStyle name="Blue Shading 3" xfId="4973" xr:uid="{00000000-0005-0000-0000-00004F130000}"/>
    <cellStyle name="Blue Title" xfId="4974" xr:uid="{00000000-0005-0000-0000-000050130000}"/>
    <cellStyle name="blue_Bioenergia_Model_259" xfId="4975" xr:uid="{00000000-0005-0000-0000-000051130000}"/>
    <cellStyle name="Bold/Border" xfId="4976" xr:uid="{00000000-0005-0000-0000-000052130000}"/>
    <cellStyle name="Bold/Border 10" xfId="4977" xr:uid="{00000000-0005-0000-0000-000053130000}"/>
    <cellStyle name="Bold/Border 10 2" xfId="4978" xr:uid="{00000000-0005-0000-0000-000054130000}"/>
    <cellStyle name="Bold/Border 10 2 2" xfId="4979" xr:uid="{00000000-0005-0000-0000-000055130000}"/>
    <cellStyle name="Bold/Border 11" xfId="4980" xr:uid="{00000000-0005-0000-0000-000056130000}"/>
    <cellStyle name="Bold/Border 11 2" xfId="4981" xr:uid="{00000000-0005-0000-0000-000057130000}"/>
    <cellStyle name="Bold/Border 11 2 2" xfId="4982" xr:uid="{00000000-0005-0000-0000-000058130000}"/>
    <cellStyle name="Bold/Border 2" xfId="4983" xr:uid="{00000000-0005-0000-0000-000059130000}"/>
    <cellStyle name="Bold/Border 2 2" xfId="4984" xr:uid="{00000000-0005-0000-0000-00005A130000}"/>
    <cellStyle name="Bold/Border 2 2 10" xfId="4985" xr:uid="{00000000-0005-0000-0000-00005B130000}"/>
    <cellStyle name="Bold/Border 2 2 10 2" xfId="4986" xr:uid="{00000000-0005-0000-0000-00005C130000}"/>
    <cellStyle name="Bold/Border 2 2 10 2 2" xfId="4987" xr:uid="{00000000-0005-0000-0000-00005D130000}"/>
    <cellStyle name="Bold/Border 2 2 11" xfId="4988" xr:uid="{00000000-0005-0000-0000-00005E130000}"/>
    <cellStyle name="Bold/Border 2 2 11 2" xfId="4989" xr:uid="{00000000-0005-0000-0000-00005F130000}"/>
    <cellStyle name="Bold/Border 2 2 11 2 2" xfId="4990" xr:uid="{00000000-0005-0000-0000-000060130000}"/>
    <cellStyle name="Bold/Border 2 2 12" xfId="4991" xr:uid="{00000000-0005-0000-0000-000061130000}"/>
    <cellStyle name="Bold/Border 2 2 12 2" xfId="4992" xr:uid="{00000000-0005-0000-0000-000062130000}"/>
    <cellStyle name="Bold/Border 2 2 12 2 2" xfId="4993" xr:uid="{00000000-0005-0000-0000-000063130000}"/>
    <cellStyle name="Bold/Border 2 2 13" xfId="4994" xr:uid="{00000000-0005-0000-0000-000064130000}"/>
    <cellStyle name="Bold/Border 2 2 13 2" xfId="4995" xr:uid="{00000000-0005-0000-0000-000065130000}"/>
    <cellStyle name="Bold/Border 2 2 13 2 2" xfId="4996" xr:uid="{00000000-0005-0000-0000-000066130000}"/>
    <cellStyle name="Bold/Border 2 2 14" xfId="4997" xr:uid="{00000000-0005-0000-0000-000067130000}"/>
    <cellStyle name="Bold/Border 2 2 14 2" xfId="4998" xr:uid="{00000000-0005-0000-0000-000068130000}"/>
    <cellStyle name="Bold/Border 2 2 14 2 2" xfId="4999" xr:uid="{00000000-0005-0000-0000-000069130000}"/>
    <cellStyle name="Bold/Border 2 2 15" xfId="5000" xr:uid="{00000000-0005-0000-0000-00006A130000}"/>
    <cellStyle name="Bold/Border 2 2 15 2" xfId="5001" xr:uid="{00000000-0005-0000-0000-00006B130000}"/>
    <cellStyle name="Bold/Border 2 2 2" xfId="5002" xr:uid="{00000000-0005-0000-0000-00006C130000}"/>
    <cellStyle name="Bold/Border 2 2 2 2" xfId="5003" xr:uid="{00000000-0005-0000-0000-00006D130000}"/>
    <cellStyle name="Bold/Border 2 2 2 2 2" xfId="5004" xr:uid="{00000000-0005-0000-0000-00006E130000}"/>
    <cellStyle name="Bold/Border 2 2 3" xfId="5005" xr:uid="{00000000-0005-0000-0000-00006F130000}"/>
    <cellStyle name="Bold/Border 2 2 3 2" xfId="5006" xr:uid="{00000000-0005-0000-0000-000070130000}"/>
    <cellStyle name="Bold/Border 2 2 3 2 2" xfId="5007" xr:uid="{00000000-0005-0000-0000-000071130000}"/>
    <cellStyle name="Bold/Border 2 2 4" xfId="5008" xr:uid="{00000000-0005-0000-0000-000072130000}"/>
    <cellStyle name="Bold/Border 2 2 4 2" xfId="5009" xr:uid="{00000000-0005-0000-0000-000073130000}"/>
    <cellStyle name="Bold/Border 2 2 4 2 2" xfId="5010" xr:uid="{00000000-0005-0000-0000-000074130000}"/>
    <cellStyle name="Bold/Border 2 2 5" xfId="5011" xr:uid="{00000000-0005-0000-0000-000075130000}"/>
    <cellStyle name="Bold/Border 2 2 5 2" xfId="5012" xr:uid="{00000000-0005-0000-0000-000076130000}"/>
    <cellStyle name="Bold/Border 2 2 5 2 2" xfId="5013" xr:uid="{00000000-0005-0000-0000-000077130000}"/>
    <cellStyle name="Bold/Border 2 2 6" xfId="5014" xr:uid="{00000000-0005-0000-0000-000078130000}"/>
    <cellStyle name="Bold/Border 2 2 6 2" xfId="5015" xr:uid="{00000000-0005-0000-0000-000079130000}"/>
    <cellStyle name="Bold/Border 2 2 6 2 2" xfId="5016" xr:uid="{00000000-0005-0000-0000-00007A130000}"/>
    <cellStyle name="Bold/Border 2 2 7" xfId="5017" xr:uid="{00000000-0005-0000-0000-00007B130000}"/>
    <cellStyle name="Bold/Border 2 2 7 2" xfId="5018" xr:uid="{00000000-0005-0000-0000-00007C130000}"/>
    <cellStyle name="Bold/Border 2 2 7 2 2" xfId="5019" xr:uid="{00000000-0005-0000-0000-00007D130000}"/>
    <cellStyle name="Bold/Border 2 2 8" xfId="5020" xr:uid="{00000000-0005-0000-0000-00007E130000}"/>
    <cellStyle name="Bold/Border 2 2 8 2" xfId="5021" xr:uid="{00000000-0005-0000-0000-00007F130000}"/>
    <cellStyle name="Bold/Border 2 2 8 2 2" xfId="5022" xr:uid="{00000000-0005-0000-0000-000080130000}"/>
    <cellStyle name="Bold/Border 2 2 9" xfId="5023" xr:uid="{00000000-0005-0000-0000-000081130000}"/>
    <cellStyle name="Bold/Border 2 2 9 2" xfId="5024" xr:uid="{00000000-0005-0000-0000-000082130000}"/>
    <cellStyle name="Bold/Border 2 2 9 2 2" xfId="5025" xr:uid="{00000000-0005-0000-0000-000083130000}"/>
    <cellStyle name="Bold/Border 2 3" xfId="5026" xr:uid="{00000000-0005-0000-0000-000084130000}"/>
    <cellStyle name="Bold/Border 2 3 2" xfId="5027" xr:uid="{00000000-0005-0000-0000-000085130000}"/>
    <cellStyle name="Bold/Border 2 3 2 2" xfId="5028" xr:uid="{00000000-0005-0000-0000-000086130000}"/>
    <cellStyle name="Bold/Border 2 4" xfId="5029" xr:uid="{00000000-0005-0000-0000-000087130000}"/>
    <cellStyle name="Bold/Border 2 4 2" xfId="5030" xr:uid="{00000000-0005-0000-0000-000088130000}"/>
    <cellStyle name="Bold/Border 2 4 2 2" xfId="5031" xr:uid="{00000000-0005-0000-0000-000089130000}"/>
    <cellStyle name="Bold/Border 3" xfId="5032" xr:uid="{00000000-0005-0000-0000-00008A130000}"/>
    <cellStyle name="Bold/Border 3 10" xfId="5033" xr:uid="{00000000-0005-0000-0000-00008B130000}"/>
    <cellStyle name="Bold/Border 3 10 2" xfId="5034" xr:uid="{00000000-0005-0000-0000-00008C130000}"/>
    <cellStyle name="Bold/Border 3 10 2 2" xfId="5035" xr:uid="{00000000-0005-0000-0000-00008D130000}"/>
    <cellStyle name="Bold/Border 3 2" xfId="5036" xr:uid="{00000000-0005-0000-0000-00008E130000}"/>
    <cellStyle name="Bold/Border 3 2 2" xfId="5037" xr:uid="{00000000-0005-0000-0000-00008F130000}"/>
    <cellStyle name="Bold/Border 3 2 2 2" xfId="5038" xr:uid="{00000000-0005-0000-0000-000090130000}"/>
    <cellStyle name="Bold/Border 3 2 3" xfId="5039" xr:uid="{00000000-0005-0000-0000-000091130000}"/>
    <cellStyle name="Bold/Border 3 3" xfId="5040" xr:uid="{00000000-0005-0000-0000-000092130000}"/>
    <cellStyle name="Bold/Border 3 3 2" xfId="5041" xr:uid="{00000000-0005-0000-0000-000093130000}"/>
    <cellStyle name="Bold/Border 3 3 2 2" xfId="5042" xr:uid="{00000000-0005-0000-0000-000094130000}"/>
    <cellStyle name="Bold/Border 3 3 3" xfId="5043" xr:uid="{00000000-0005-0000-0000-000095130000}"/>
    <cellStyle name="Bold/Border 3 4" xfId="5044" xr:uid="{00000000-0005-0000-0000-000096130000}"/>
    <cellStyle name="Bold/Border 3 4 2" xfId="5045" xr:uid="{00000000-0005-0000-0000-000097130000}"/>
    <cellStyle name="Bold/Border 3 5" xfId="5046" xr:uid="{00000000-0005-0000-0000-000098130000}"/>
    <cellStyle name="Bold/Border 3 5 2" xfId="5047" xr:uid="{00000000-0005-0000-0000-000099130000}"/>
    <cellStyle name="Bold/Border 3 5 2 2" xfId="5048" xr:uid="{00000000-0005-0000-0000-00009A130000}"/>
    <cellStyle name="Bold/Border 3 6" xfId="5049" xr:uid="{00000000-0005-0000-0000-00009B130000}"/>
    <cellStyle name="Bold/Border 3 6 2" xfId="5050" xr:uid="{00000000-0005-0000-0000-00009C130000}"/>
    <cellStyle name="Bold/Border 3 6 2 2" xfId="5051" xr:uid="{00000000-0005-0000-0000-00009D130000}"/>
    <cellStyle name="Bold/Border 3 7" xfId="5052" xr:uid="{00000000-0005-0000-0000-00009E130000}"/>
    <cellStyle name="Bold/Border 3 7 2" xfId="5053" xr:uid="{00000000-0005-0000-0000-00009F130000}"/>
    <cellStyle name="Bold/Border 3 7 2 2" xfId="5054" xr:uid="{00000000-0005-0000-0000-0000A0130000}"/>
    <cellStyle name="Bold/Border 3 8" xfId="5055" xr:uid="{00000000-0005-0000-0000-0000A1130000}"/>
    <cellStyle name="Bold/Border 3 8 2" xfId="5056" xr:uid="{00000000-0005-0000-0000-0000A2130000}"/>
    <cellStyle name="Bold/Border 3 8 2 2" xfId="5057" xr:uid="{00000000-0005-0000-0000-0000A3130000}"/>
    <cellStyle name="Bold/Border 3 9" xfId="5058" xr:uid="{00000000-0005-0000-0000-0000A4130000}"/>
    <cellStyle name="Bold/Border 3 9 2" xfId="5059" xr:uid="{00000000-0005-0000-0000-0000A5130000}"/>
    <cellStyle name="Bold/Border 3 9 2 2" xfId="5060" xr:uid="{00000000-0005-0000-0000-0000A6130000}"/>
    <cellStyle name="Bold/Border 4" xfId="5061" xr:uid="{00000000-0005-0000-0000-0000A7130000}"/>
    <cellStyle name="Bold/Border 4 10" xfId="5062" xr:uid="{00000000-0005-0000-0000-0000A8130000}"/>
    <cellStyle name="Bold/Border 4 10 2" xfId="5063" xr:uid="{00000000-0005-0000-0000-0000A9130000}"/>
    <cellStyle name="Bold/Border 4 10 2 2" xfId="5064" xr:uid="{00000000-0005-0000-0000-0000AA130000}"/>
    <cellStyle name="Bold/Border 4 11" xfId="5065" xr:uid="{00000000-0005-0000-0000-0000AB130000}"/>
    <cellStyle name="Bold/Border 4 11 2" xfId="5066" xr:uid="{00000000-0005-0000-0000-0000AC130000}"/>
    <cellStyle name="Bold/Border 4 11 2 2" xfId="5067" xr:uid="{00000000-0005-0000-0000-0000AD130000}"/>
    <cellStyle name="Bold/Border 4 12" xfId="5068" xr:uid="{00000000-0005-0000-0000-0000AE130000}"/>
    <cellStyle name="Bold/Border 4 12 2" xfId="5069" xr:uid="{00000000-0005-0000-0000-0000AF130000}"/>
    <cellStyle name="Bold/Border 4 12 2 2" xfId="5070" xr:uid="{00000000-0005-0000-0000-0000B0130000}"/>
    <cellStyle name="Bold/Border 4 13" xfId="5071" xr:uid="{00000000-0005-0000-0000-0000B1130000}"/>
    <cellStyle name="Bold/Border 4 13 2" xfId="5072" xr:uid="{00000000-0005-0000-0000-0000B2130000}"/>
    <cellStyle name="Bold/Border 4 13 2 2" xfId="5073" xr:uid="{00000000-0005-0000-0000-0000B3130000}"/>
    <cellStyle name="Bold/Border 4 14" xfId="5074" xr:uid="{00000000-0005-0000-0000-0000B4130000}"/>
    <cellStyle name="Bold/Border 4 14 2" xfId="5075" xr:uid="{00000000-0005-0000-0000-0000B5130000}"/>
    <cellStyle name="Bold/Border 4 14 2 2" xfId="5076" xr:uid="{00000000-0005-0000-0000-0000B6130000}"/>
    <cellStyle name="Bold/Border 4 2" xfId="5077" xr:uid="{00000000-0005-0000-0000-0000B7130000}"/>
    <cellStyle name="Bold/Border 4 2 2" xfId="5078" xr:uid="{00000000-0005-0000-0000-0000B8130000}"/>
    <cellStyle name="Bold/Border 4 2 2 2" xfId="5079" xr:uid="{00000000-0005-0000-0000-0000B9130000}"/>
    <cellStyle name="Bold/Border 4 2 3" xfId="5080" xr:uid="{00000000-0005-0000-0000-0000BA130000}"/>
    <cellStyle name="Bold/Border 4 3" xfId="5081" xr:uid="{00000000-0005-0000-0000-0000BB130000}"/>
    <cellStyle name="Bold/Border 4 3 2" xfId="5082" xr:uid="{00000000-0005-0000-0000-0000BC130000}"/>
    <cellStyle name="Bold/Border 4 3 2 2" xfId="5083" xr:uid="{00000000-0005-0000-0000-0000BD130000}"/>
    <cellStyle name="Bold/Border 4 3 3" xfId="5084" xr:uid="{00000000-0005-0000-0000-0000BE130000}"/>
    <cellStyle name="Bold/Border 4 4" xfId="5085" xr:uid="{00000000-0005-0000-0000-0000BF130000}"/>
    <cellStyle name="Bold/Border 4 4 2" xfId="5086" xr:uid="{00000000-0005-0000-0000-0000C0130000}"/>
    <cellStyle name="Bold/Border 4 5" xfId="5087" xr:uid="{00000000-0005-0000-0000-0000C1130000}"/>
    <cellStyle name="Bold/Border 4 5 2" xfId="5088" xr:uid="{00000000-0005-0000-0000-0000C2130000}"/>
    <cellStyle name="Bold/Border 4 5 2 2" xfId="5089" xr:uid="{00000000-0005-0000-0000-0000C3130000}"/>
    <cellStyle name="Bold/Border 4 6" xfId="5090" xr:uid="{00000000-0005-0000-0000-0000C4130000}"/>
    <cellStyle name="Bold/Border 4 6 2" xfId="5091" xr:uid="{00000000-0005-0000-0000-0000C5130000}"/>
    <cellStyle name="Bold/Border 4 6 2 2" xfId="5092" xr:uid="{00000000-0005-0000-0000-0000C6130000}"/>
    <cellStyle name="Bold/Border 4 7" xfId="5093" xr:uid="{00000000-0005-0000-0000-0000C7130000}"/>
    <cellStyle name="Bold/Border 4 7 2" xfId="5094" xr:uid="{00000000-0005-0000-0000-0000C8130000}"/>
    <cellStyle name="Bold/Border 4 7 2 2" xfId="5095" xr:uid="{00000000-0005-0000-0000-0000C9130000}"/>
    <cellStyle name="Bold/Border 4 8" xfId="5096" xr:uid="{00000000-0005-0000-0000-0000CA130000}"/>
    <cellStyle name="Bold/Border 4 8 2" xfId="5097" xr:uid="{00000000-0005-0000-0000-0000CB130000}"/>
    <cellStyle name="Bold/Border 4 8 2 2" xfId="5098" xr:uid="{00000000-0005-0000-0000-0000CC130000}"/>
    <cellStyle name="Bold/Border 4 9" xfId="5099" xr:uid="{00000000-0005-0000-0000-0000CD130000}"/>
    <cellStyle name="Bold/Border 4 9 2" xfId="5100" xr:uid="{00000000-0005-0000-0000-0000CE130000}"/>
    <cellStyle name="Bold/Border 4 9 2 2" xfId="5101" xr:uid="{00000000-0005-0000-0000-0000CF130000}"/>
    <cellStyle name="Bold/Border 5" xfId="5102" xr:uid="{00000000-0005-0000-0000-0000D0130000}"/>
    <cellStyle name="Bold/Border 5 10" xfId="5103" xr:uid="{00000000-0005-0000-0000-0000D1130000}"/>
    <cellStyle name="Bold/Border 5 10 2" xfId="5104" xr:uid="{00000000-0005-0000-0000-0000D2130000}"/>
    <cellStyle name="Bold/Border 5 10 2 2" xfId="5105" xr:uid="{00000000-0005-0000-0000-0000D3130000}"/>
    <cellStyle name="Bold/Border 5 11" xfId="5106" xr:uid="{00000000-0005-0000-0000-0000D4130000}"/>
    <cellStyle name="Bold/Border 5 11 2" xfId="5107" xr:uid="{00000000-0005-0000-0000-0000D5130000}"/>
    <cellStyle name="Bold/Border 5 11 2 2" xfId="5108" xr:uid="{00000000-0005-0000-0000-0000D6130000}"/>
    <cellStyle name="Bold/Border 5 12" xfId="5109" xr:uid="{00000000-0005-0000-0000-0000D7130000}"/>
    <cellStyle name="Bold/Border 5 12 2" xfId="5110" xr:uid="{00000000-0005-0000-0000-0000D8130000}"/>
    <cellStyle name="Bold/Border 5 12 2 2" xfId="5111" xr:uid="{00000000-0005-0000-0000-0000D9130000}"/>
    <cellStyle name="Bold/Border 5 13" xfId="5112" xr:uid="{00000000-0005-0000-0000-0000DA130000}"/>
    <cellStyle name="Bold/Border 5 13 2" xfId="5113" xr:uid="{00000000-0005-0000-0000-0000DB130000}"/>
    <cellStyle name="Bold/Border 5 13 2 2" xfId="5114" xr:uid="{00000000-0005-0000-0000-0000DC130000}"/>
    <cellStyle name="Bold/Border 5 14" xfId="5115" xr:uid="{00000000-0005-0000-0000-0000DD130000}"/>
    <cellStyle name="Bold/Border 5 14 2" xfId="5116" xr:uid="{00000000-0005-0000-0000-0000DE130000}"/>
    <cellStyle name="Bold/Border 5 14 2 2" xfId="5117" xr:uid="{00000000-0005-0000-0000-0000DF130000}"/>
    <cellStyle name="Bold/Border 5 2" xfId="5118" xr:uid="{00000000-0005-0000-0000-0000E0130000}"/>
    <cellStyle name="Bold/Border 5 2 2" xfId="5119" xr:uid="{00000000-0005-0000-0000-0000E1130000}"/>
    <cellStyle name="Bold/Border 5 2 2 2" xfId="5120" xr:uid="{00000000-0005-0000-0000-0000E2130000}"/>
    <cellStyle name="Bold/Border 5 3" xfId="5121" xr:uid="{00000000-0005-0000-0000-0000E3130000}"/>
    <cellStyle name="Bold/Border 5 3 2" xfId="5122" xr:uid="{00000000-0005-0000-0000-0000E4130000}"/>
    <cellStyle name="Bold/Border 5 3 2 2" xfId="5123" xr:uid="{00000000-0005-0000-0000-0000E5130000}"/>
    <cellStyle name="Bold/Border 5 4" xfId="5124" xr:uid="{00000000-0005-0000-0000-0000E6130000}"/>
    <cellStyle name="Bold/Border 5 4 2" xfId="5125" xr:uid="{00000000-0005-0000-0000-0000E7130000}"/>
    <cellStyle name="Bold/Border 5 4 2 2" xfId="5126" xr:uid="{00000000-0005-0000-0000-0000E8130000}"/>
    <cellStyle name="Bold/Border 5 5" xfId="5127" xr:uid="{00000000-0005-0000-0000-0000E9130000}"/>
    <cellStyle name="Bold/Border 5 5 2" xfId="5128" xr:uid="{00000000-0005-0000-0000-0000EA130000}"/>
    <cellStyle name="Bold/Border 5 5 2 2" xfId="5129" xr:uid="{00000000-0005-0000-0000-0000EB130000}"/>
    <cellStyle name="Bold/Border 5 6" xfId="5130" xr:uid="{00000000-0005-0000-0000-0000EC130000}"/>
    <cellStyle name="Bold/Border 5 6 2" xfId="5131" xr:uid="{00000000-0005-0000-0000-0000ED130000}"/>
    <cellStyle name="Bold/Border 5 6 2 2" xfId="5132" xr:uid="{00000000-0005-0000-0000-0000EE130000}"/>
    <cellStyle name="Bold/Border 5 7" xfId="5133" xr:uid="{00000000-0005-0000-0000-0000EF130000}"/>
    <cellStyle name="Bold/Border 5 7 2" xfId="5134" xr:uid="{00000000-0005-0000-0000-0000F0130000}"/>
    <cellStyle name="Bold/Border 5 7 2 2" xfId="5135" xr:uid="{00000000-0005-0000-0000-0000F1130000}"/>
    <cellStyle name="Bold/Border 5 8" xfId="5136" xr:uid="{00000000-0005-0000-0000-0000F2130000}"/>
    <cellStyle name="Bold/Border 5 8 2" xfId="5137" xr:uid="{00000000-0005-0000-0000-0000F3130000}"/>
    <cellStyle name="Bold/Border 5 8 2 2" xfId="5138" xr:uid="{00000000-0005-0000-0000-0000F4130000}"/>
    <cellStyle name="Bold/Border 5 9" xfId="5139" xr:uid="{00000000-0005-0000-0000-0000F5130000}"/>
    <cellStyle name="Bold/Border 5 9 2" xfId="5140" xr:uid="{00000000-0005-0000-0000-0000F6130000}"/>
    <cellStyle name="Bold/Border 5 9 2 2" xfId="5141" xr:uid="{00000000-0005-0000-0000-0000F7130000}"/>
    <cellStyle name="Bold/Border 6" xfId="5142" xr:uid="{00000000-0005-0000-0000-0000F8130000}"/>
    <cellStyle name="Bold/Border 6 2" xfId="5143" xr:uid="{00000000-0005-0000-0000-0000F9130000}"/>
    <cellStyle name="Bold/Border 6 2 2" xfId="5144" xr:uid="{00000000-0005-0000-0000-0000FA130000}"/>
    <cellStyle name="Bold/Border 7" xfId="5145" xr:uid="{00000000-0005-0000-0000-0000FB130000}"/>
    <cellStyle name="Bold/Border 7 2" xfId="5146" xr:uid="{00000000-0005-0000-0000-0000FC130000}"/>
    <cellStyle name="Bold/Border 7 2 2" xfId="5147" xr:uid="{00000000-0005-0000-0000-0000FD130000}"/>
    <cellStyle name="Bold/Border 8" xfId="5148" xr:uid="{00000000-0005-0000-0000-0000FE130000}"/>
    <cellStyle name="Bold/Border 8 2" xfId="5149" xr:uid="{00000000-0005-0000-0000-0000FF130000}"/>
    <cellStyle name="Bold/Border 8 2 2" xfId="5150" xr:uid="{00000000-0005-0000-0000-000000140000}"/>
    <cellStyle name="Bold/Border 9" xfId="5151" xr:uid="{00000000-0005-0000-0000-000001140000}"/>
    <cellStyle name="Bold/Border 9 2" xfId="5152" xr:uid="{00000000-0005-0000-0000-000002140000}"/>
    <cellStyle name="Bold/Border 9 2 2" xfId="5153" xr:uid="{00000000-0005-0000-0000-000003140000}"/>
    <cellStyle name="Bol-Data" xfId="5154" xr:uid="{00000000-0005-0000-0000-000004140000}"/>
    <cellStyle name="BoldText" xfId="5155" xr:uid="{00000000-0005-0000-0000-000005140000}"/>
    <cellStyle name="BoldText 2" xfId="5156" xr:uid="{00000000-0005-0000-0000-000006140000}"/>
    <cellStyle name="BoldText 2 2" xfId="5157" xr:uid="{00000000-0005-0000-0000-000007140000}"/>
    <cellStyle name="BoldText 2 2 2" xfId="5158" xr:uid="{00000000-0005-0000-0000-000008140000}"/>
    <cellStyle name="BoldText 2 3" xfId="5159" xr:uid="{00000000-0005-0000-0000-000009140000}"/>
    <cellStyle name="BoldText 3" xfId="5160" xr:uid="{00000000-0005-0000-0000-00000A140000}"/>
    <cellStyle name="BoldText 3 2" xfId="5161" xr:uid="{00000000-0005-0000-0000-00000B140000}"/>
    <cellStyle name="BoldText 4" xfId="5162" xr:uid="{00000000-0005-0000-0000-00000C140000}"/>
    <cellStyle name="bolet" xfId="5163" xr:uid="{00000000-0005-0000-0000-00000D140000}"/>
    <cellStyle name="Bom" xfId="7" builtinId="26" customBuiltin="1"/>
    <cellStyle name="Bom 10" xfId="5164" xr:uid="{00000000-0005-0000-0000-00000F140000}"/>
    <cellStyle name="Bom 11" xfId="5165" xr:uid="{00000000-0005-0000-0000-000010140000}"/>
    <cellStyle name="Bom 12" xfId="5166" xr:uid="{00000000-0005-0000-0000-000011140000}"/>
    <cellStyle name="Bom 13" xfId="5167" xr:uid="{00000000-0005-0000-0000-000012140000}"/>
    <cellStyle name="Bom 14" xfId="5168" xr:uid="{00000000-0005-0000-0000-000013140000}"/>
    <cellStyle name="Bom 15" xfId="5169" xr:uid="{00000000-0005-0000-0000-000014140000}"/>
    <cellStyle name="Bom 16" xfId="5170" xr:uid="{00000000-0005-0000-0000-000015140000}"/>
    <cellStyle name="Bom 17" xfId="5171" xr:uid="{00000000-0005-0000-0000-000016140000}"/>
    <cellStyle name="Bom 18" xfId="5172" xr:uid="{00000000-0005-0000-0000-000017140000}"/>
    <cellStyle name="Bom 19" xfId="5173" xr:uid="{00000000-0005-0000-0000-000018140000}"/>
    <cellStyle name="Bom 2" xfId="5174" xr:uid="{00000000-0005-0000-0000-000019140000}"/>
    <cellStyle name="Bom 20" xfId="5175" xr:uid="{00000000-0005-0000-0000-00001A140000}"/>
    <cellStyle name="Bom 21" xfId="5176" xr:uid="{00000000-0005-0000-0000-00001B140000}"/>
    <cellStyle name="Bom 22" xfId="5177" xr:uid="{00000000-0005-0000-0000-00001C140000}"/>
    <cellStyle name="Bom 23" xfId="5178" xr:uid="{00000000-0005-0000-0000-00001D140000}"/>
    <cellStyle name="Bom 24" xfId="5179" xr:uid="{00000000-0005-0000-0000-00001E140000}"/>
    <cellStyle name="Bom 25" xfId="5180" xr:uid="{00000000-0005-0000-0000-00001F140000}"/>
    <cellStyle name="Bom 26" xfId="5181" xr:uid="{00000000-0005-0000-0000-000020140000}"/>
    <cellStyle name="Bom 27" xfId="5182" xr:uid="{00000000-0005-0000-0000-000021140000}"/>
    <cellStyle name="Bom 28" xfId="5183" xr:uid="{00000000-0005-0000-0000-000022140000}"/>
    <cellStyle name="Bom 29" xfId="5184" xr:uid="{00000000-0005-0000-0000-000023140000}"/>
    <cellStyle name="Bom 3" xfId="5185" xr:uid="{00000000-0005-0000-0000-000024140000}"/>
    <cellStyle name="Bom 30" xfId="5186" xr:uid="{00000000-0005-0000-0000-000025140000}"/>
    <cellStyle name="Bom 31" xfId="5187" xr:uid="{00000000-0005-0000-0000-000026140000}"/>
    <cellStyle name="Bom 32" xfId="5188" xr:uid="{00000000-0005-0000-0000-000027140000}"/>
    <cellStyle name="Bom 33" xfId="5189" xr:uid="{00000000-0005-0000-0000-000028140000}"/>
    <cellStyle name="Bom 34" xfId="5190" xr:uid="{00000000-0005-0000-0000-000029140000}"/>
    <cellStyle name="Bom 35" xfId="5191" xr:uid="{00000000-0005-0000-0000-00002A140000}"/>
    <cellStyle name="Bom 36" xfId="5192" xr:uid="{00000000-0005-0000-0000-00002B140000}"/>
    <cellStyle name="Bom 37" xfId="5193" xr:uid="{00000000-0005-0000-0000-00002C140000}"/>
    <cellStyle name="Bom 38" xfId="5194" xr:uid="{00000000-0005-0000-0000-00002D140000}"/>
    <cellStyle name="Bom 39" xfId="5195" xr:uid="{00000000-0005-0000-0000-00002E140000}"/>
    <cellStyle name="Bom 4" xfId="5196" xr:uid="{00000000-0005-0000-0000-00002F140000}"/>
    <cellStyle name="Bom 40" xfId="5197" xr:uid="{00000000-0005-0000-0000-000030140000}"/>
    <cellStyle name="Bom 5" xfId="5198" xr:uid="{00000000-0005-0000-0000-000031140000}"/>
    <cellStyle name="Bom 6" xfId="5199" xr:uid="{00000000-0005-0000-0000-000032140000}"/>
    <cellStyle name="Bom 7" xfId="5200" xr:uid="{00000000-0005-0000-0000-000033140000}"/>
    <cellStyle name="Bom 8" xfId="5201" xr:uid="{00000000-0005-0000-0000-000034140000}"/>
    <cellStyle name="Bom 9" xfId="5202" xr:uid="{00000000-0005-0000-0000-000035140000}"/>
    <cellStyle name="Border" xfId="5203" xr:uid="{00000000-0005-0000-0000-000036140000}"/>
    <cellStyle name="Border 2" xfId="5204" xr:uid="{00000000-0005-0000-0000-000037140000}"/>
    <cellStyle name="Border 2 2" xfId="5205" xr:uid="{00000000-0005-0000-0000-000038140000}"/>
    <cellStyle name="Border 2 2 2" xfId="5206" xr:uid="{00000000-0005-0000-0000-000039140000}"/>
    <cellStyle name="Border 2 2 2 2" xfId="5207" xr:uid="{00000000-0005-0000-0000-00003A140000}"/>
    <cellStyle name="Border 2 2 2 2 2" xfId="5208" xr:uid="{00000000-0005-0000-0000-00003B140000}"/>
    <cellStyle name="Border 2 2 2 3" xfId="5209" xr:uid="{00000000-0005-0000-0000-00003C140000}"/>
    <cellStyle name="Border 2 2 3" xfId="5210" xr:uid="{00000000-0005-0000-0000-00003D140000}"/>
    <cellStyle name="Border 2 2 3 2" xfId="5211" xr:uid="{00000000-0005-0000-0000-00003E140000}"/>
    <cellStyle name="Border 2 2 4" xfId="5212" xr:uid="{00000000-0005-0000-0000-00003F140000}"/>
    <cellStyle name="Border 2 3" xfId="5213" xr:uid="{00000000-0005-0000-0000-000040140000}"/>
    <cellStyle name="Border 2 3 2" xfId="5214" xr:uid="{00000000-0005-0000-0000-000041140000}"/>
    <cellStyle name="Border 2 3 2 2" xfId="5215" xr:uid="{00000000-0005-0000-0000-000042140000}"/>
    <cellStyle name="Border 2 3 2 2 2" xfId="5216" xr:uid="{00000000-0005-0000-0000-000043140000}"/>
    <cellStyle name="Border 2 3 2 3" xfId="5217" xr:uid="{00000000-0005-0000-0000-000044140000}"/>
    <cellStyle name="Border 2 3 3" xfId="5218" xr:uid="{00000000-0005-0000-0000-000045140000}"/>
    <cellStyle name="Border 2 3 3 2" xfId="5219" xr:uid="{00000000-0005-0000-0000-000046140000}"/>
    <cellStyle name="Border 2 3 4" xfId="5220" xr:uid="{00000000-0005-0000-0000-000047140000}"/>
    <cellStyle name="Border 2 4" xfId="5221" xr:uid="{00000000-0005-0000-0000-000048140000}"/>
    <cellStyle name="Border 2 4 2" xfId="5222" xr:uid="{00000000-0005-0000-0000-000049140000}"/>
    <cellStyle name="Border 2 4 2 2" xfId="5223" xr:uid="{00000000-0005-0000-0000-00004A140000}"/>
    <cellStyle name="Border 2 4 2 2 2" xfId="5224" xr:uid="{00000000-0005-0000-0000-00004B140000}"/>
    <cellStyle name="Border 2 4 2 3" xfId="5225" xr:uid="{00000000-0005-0000-0000-00004C140000}"/>
    <cellStyle name="Border 2 4 3" xfId="5226" xr:uid="{00000000-0005-0000-0000-00004D140000}"/>
    <cellStyle name="Border 2 4 3 2" xfId="5227" xr:uid="{00000000-0005-0000-0000-00004E140000}"/>
    <cellStyle name="Border 2 4 4" xfId="5228" xr:uid="{00000000-0005-0000-0000-00004F140000}"/>
    <cellStyle name="Border 2 5" xfId="5229" xr:uid="{00000000-0005-0000-0000-000050140000}"/>
    <cellStyle name="Border 2 5 2" xfId="5230" xr:uid="{00000000-0005-0000-0000-000051140000}"/>
    <cellStyle name="Border 2 5 2 2" xfId="5231" xr:uid="{00000000-0005-0000-0000-000052140000}"/>
    <cellStyle name="Border 2 5 2 2 2" xfId="5232" xr:uid="{00000000-0005-0000-0000-000053140000}"/>
    <cellStyle name="Border 2 5 2 3" xfId="5233" xr:uid="{00000000-0005-0000-0000-000054140000}"/>
    <cellStyle name="Border 2 5 3" xfId="5234" xr:uid="{00000000-0005-0000-0000-000055140000}"/>
    <cellStyle name="Border 2 5 3 2" xfId="5235" xr:uid="{00000000-0005-0000-0000-000056140000}"/>
    <cellStyle name="Border 2 5 4" xfId="5236" xr:uid="{00000000-0005-0000-0000-000057140000}"/>
    <cellStyle name="Border 2 6" xfId="5237" xr:uid="{00000000-0005-0000-0000-000058140000}"/>
    <cellStyle name="Border 2 6 2" xfId="5238" xr:uid="{00000000-0005-0000-0000-000059140000}"/>
    <cellStyle name="Border 2 6 2 2" xfId="5239" xr:uid="{00000000-0005-0000-0000-00005A140000}"/>
    <cellStyle name="Border 2 6 2 2 2" xfId="5240" xr:uid="{00000000-0005-0000-0000-00005B140000}"/>
    <cellStyle name="Border 2 6 2 3" xfId="5241" xr:uid="{00000000-0005-0000-0000-00005C140000}"/>
    <cellStyle name="Border 2 6 3" xfId="5242" xr:uid="{00000000-0005-0000-0000-00005D140000}"/>
    <cellStyle name="Border 2 6 3 2" xfId="5243" xr:uid="{00000000-0005-0000-0000-00005E140000}"/>
    <cellStyle name="Border 2 6 4" xfId="5244" xr:uid="{00000000-0005-0000-0000-00005F140000}"/>
    <cellStyle name="Border 2 7" xfId="5245" xr:uid="{00000000-0005-0000-0000-000060140000}"/>
    <cellStyle name="Border 2 7 2" xfId="5246" xr:uid="{00000000-0005-0000-0000-000061140000}"/>
    <cellStyle name="Border 2 8" xfId="5247" xr:uid="{00000000-0005-0000-0000-000062140000}"/>
    <cellStyle name="Border 3" xfId="5248" xr:uid="{00000000-0005-0000-0000-000063140000}"/>
    <cellStyle name="Border 3 2" xfId="5249" xr:uid="{00000000-0005-0000-0000-000064140000}"/>
    <cellStyle name="Border 3 2 2" xfId="5250" xr:uid="{00000000-0005-0000-0000-000065140000}"/>
    <cellStyle name="Border 3 2 2 2" xfId="5251" xr:uid="{00000000-0005-0000-0000-000066140000}"/>
    <cellStyle name="Border 3 2 3" xfId="5252" xr:uid="{00000000-0005-0000-0000-000067140000}"/>
    <cellStyle name="Border 3 3" xfId="5253" xr:uid="{00000000-0005-0000-0000-000068140000}"/>
    <cellStyle name="Border 3 3 2" xfId="5254" xr:uid="{00000000-0005-0000-0000-000069140000}"/>
    <cellStyle name="Border 3 4" xfId="5255" xr:uid="{00000000-0005-0000-0000-00006A140000}"/>
    <cellStyle name="Border 4" xfId="5256" xr:uid="{00000000-0005-0000-0000-00006B140000}"/>
    <cellStyle name="Border 4 2" xfId="5257" xr:uid="{00000000-0005-0000-0000-00006C140000}"/>
    <cellStyle name="Border 4 2 2" xfId="5258" xr:uid="{00000000-0005-0000-0000-00006D140000}"/>
    <cellStyle name="Border 4 2 2 2" xfId="5259" xr:uid="{00000000-0005-0000-0000-00006E140000}"/>
    <cellStyle name="Border 4 2 3" xfId="5260" xr:uid="{00000000-0005-0000-0000-00006F140000}"/>
    <cellStyle name="Border 4 3" xfId="5261" xr:uid="{00000000-0005-0000-0000-000070140000}"/>
    <cellStyle name="Border 4 3 2" xfId="5262" xr:uid="{00000000-0005-0000-0000-000071140000}"/>
    <cellStyle name="Border 4 4" xfId="5263" xr:uid="{00000000-0005-0000-0000-000072140000}"/>
    <cellStyle name="Border 5" xfId="5264" xr:uid="{00000000-0005-0000-0000-000073140000}"/>
    <cellStyle name="Border 5 2" xfId="5265" xr:uid="{00000000-0005-0000-0000-000074140000}"/>
    <cellStyle name="Border 5 2 2" xfId="5266" xr:uid="{00000000-0005-0000-0000-000075140000}"/>
    <cellStyle name="Border 5 2 2 2" xfId="5267" xr:uid="{00000000-0005-0000-0000-000076140000}"/>
    <cellStyle name="Border 5 2 3" xfId="5268" xr:uid="{00000000-0005-0000-0000-000077140000}"/>
    <cellStyle name="Border 5 3" xfId="5269" xr:uid="{00000000-0005-0000-0000-000078140000}"/>
    <cellStyle name="Border 5 3 2" xfId="5270" xr:uid="{00000000-0005-0000-0000-000079140000}"/>
    <cellStyle name="Border 5 4" xfId="5271" xr:uid="{00000000-0005-0000-0000-00007A140000}"/>
    <cellStyle name="Border 6" xfId="5272" xr:uid="{00000000-0005-0000-0000-00007B140000}"/>
    <cellStyle name="Border 6 2" xfId="5273" xr:uid="{00000000-0005-0000-0000-00007C140000}"/>
    <cellStyle name="Border 6 2 2" xfId="5274" xr:uid="{00000000-0005-0000-0000-00007D140000}"/>
    <cellStyle name="Border 6 2 2 2" xfId="5275" xr:uid="{00000000-0005-0000-0000-00007E140000}"/>
    <cellStyle name="Border 6 2 3" xfId="5276" xr:uid="{00000000-0005-0000-0000-00007F140000}"/>
    <cellStyle name="Border 6 3" xfId="5277" xr:uid="{00000000-0005-0000-0000-000080140000}"/>
    <cellStyle name="Border 6 3 2" xfId="5278" xr:uid="{00000000-0005-0000-0000-000081140000}"/>
    <cellStyle name="Border 6 4" xfId="5279" xr:uid="{00000000-0005-0000-0000-000082140000}"/>
    <cellStyle name="Border 7" xfId="5280" xr:uid="{00000000-0005-0000-0000-000083140000}"/>
    <cellStyle name="Border 7 2" xfId="5281" xr:uid="{00000000-0005-0000-0000-000084140000}"/>
    <cellStyle name="Border 7 2 2" xfId="5282" xr:uid="{00000000-0005-0000-0000-000085140000}"/>
    <cellStyle name="Border 7 2 2 2" xfId="5283" xr:uid="{00000000-0005-0000-0000-000086140000}"/>
    <cellStyle name="Border 7 2 3" xfId="5284" xr:uid="{00000000-0005-0000-0000-000087140000}"/>
    <cellStyle name="Border 7 3" xfId="5285" xr:uid="{00000000-0005-0000-0000-000088140000}"/>
    <cellStyle name="Border 7 3 2" xfId="5286" xr:uid="{00000000-0005-0000-0000-000089140000}"/>
    <cellStyle name="Border 7 4" xfId="5287" xr:uid="{00000000-0005-0000-0000-00008A140000}"/>
    <cellStyle name="Border 8" xfId="5288" xr:uid="{00000000-0005-0000-0000-00008B140000}"/>
    <cellStyle name="Border 8 2" xfId="5289" xr:uid="{00000000-0005-0000-0000-00008C140000}"/>
    <cellStyle name="Border 9" xfId="5290" xr:uid="{00000000-0005-0000-0000-00008D140000}"/>
    <cellStyle name="Border Heavy" xfId="5291" xr:uid="{00000000-0005-0000-0000-00008E140000}"/>
    <cellStyle name="Border Heavy 2" xfId="5292" xr:uid="{00000000-0005-0000-0000-00008F140000}"/>
    <cellStyle name="Border Heavy 2 2" xfId="5293" xr:uid="{00000000-0005-0000-0000-000090140000}"/>
    <cellStyle name="Border Heavy 2 2 2" xfId="5294" xr:uid="{00000000-0005-0000-0000-000091140000}"/>
    <cellStyle name="Border Heavy 2 3" xfId="5295" xr:uid="{00000000-0005-0000-0000-000092140000}"/>
    <cellStyle name="Border Heavy 3" xfId="5296" xr:uid="{00000000-0005-0000-0000-000093140000}"/>
    <cellStyle name="Border Thin" xfId="5297" xr:uid="{00000000-0005-0000-0000-000094140000}"/>
    <cellStyle name="Border Thin 10" xfId="5298" xr:uid="{00000000-0005-0000-0000-000095140000}"/>
    <cellStyle name="Border Thin 11" xfId="5299" xr:uid="{00000000-0005-0000-0000-000096140000}"/>
    <cellStyle name="Border Thin 12" xfId="5300" xr:uid="{00000000-0005-0000-0000-000097140000}"/>
    <cellStyle name="Border Thin 13" xfId="5301" xr:uid="{00000000-0005-0000-0000-000098140000}"/>
    <cellStyle name="Border Thin 14" xfId="5302" xr:uid="{00000000-0005-0000-0000-000099140000}"/>
    <cellStyle name="Border Thin 15" xfId="5303" xr:uid="{00000000-0005-0000-0000-00009A140000}"/>
    <cellStyle name="Border Thin 16" xfId="5304" xr:uid="{00000000-0005-0000-0000-00009B140000}"/>
    <cellStyle name="Border Thin 17" xfId="5305" xr:uid="{00000000-0005-0000-0000-00009C140000}"/>
    <cellStyle name="Border Thin 18" xfId="5306" xr:uid="{00000000-0005-0000-0000-00009D140000}"/>
    <cellStyle name="Border Thin 19" xfId="5307" xr:uid="{00000000-0005-0000-0000-00009E140000}"/>
    <cellStyle name="Border Thin 2" xfId="5308" xr:uid="{00000000-0005-0000-0000-00009F140000}"/>
    <cellStyle name="Border Thin 2 10" xfId="5309" xr:uid="{00000000-0005-0000-0000-0000A0140000}"/>
    <cellStyle name="Border Thin 2 11" xfId="5310" xr:uid="{00000000-0005-0000-0000-0000A1140000}"/>
    <cellStyle name="Border Thin 2 2" xfId="5311" xr:uid="{00000000-0005-0000-0000-0000A2140000}"/>
    <cellStyle name="Border Thin 2 2 2" xfId="5312" xr:uid="{00000000-0005-0000-0000-0000A3140000}"/>
    <cellStyle name="Border Thin 2 2 2 2" xfId="5313" xr:uid="{00000000-0005-0000-0000-0000A4140000}"/>
    <cellStyle name="Border Thin 2 2 3" xfId="5314" xr:uid="{00000000-0005-0000-0000-0000A5140000}"/>
    <cellStyle name="Border Thin 2 2 4" xfId="5315" xr:uid="{00000000-0005-0000-0000-0000A6140000}"/>
    <cellStyle name="Border Thin 2 2 5" xfId="5316" xr:uid="{00000000-0005-0000-0000-0000A7140000}"/>
    <cellStyle name="Border Thin 2 2 6" xfId="5317" xr:uid="{00000000-0005-0000-0000-0000A8140000}"/>
    <cellStyle name="Border Thin 2 2 7" xfId="5318" xr:uid="{00000000-0005-0000-0000-0000A9140000}"/>
    <cellStyle name="Border Thin 2 2 8" xfId="5319" xr:uid="{00000000-0005-0000-0000-0000AA140000}"/>
    <cellStyle name="Border Thin 2 2 9" xfId="5320" xr:uid="{00000000-0005-0000-0000-0000AB140000}"/>
    <cellStyle name="Border Thin 2 3" xfId="5321" xr:uid="{00000000-0005-0000-0000-0000AC140000}"/>
    <cellStyle name="Border Thin 2 3 2" xfId="5322" xr:uid="{00000000-0005-0000-0000-0000AD140000}"/>
    <cellStyle name="Border Thin 2 3 2 2" xfId="5323" xr:uid="{00000000-0005-0000-0000-0000AE140000}"/>
    <cellStyle name="Border Thin 2 3 3" xfId="5324" xr:uid="{00000000-0005-0000-0000-0000AF140000}"/>
    <cellStyle name="Border Thin 2 3 4" xfId="5325" xr:uid="{00000000-0005-0000-0000-0000B0140000}"/>
    <cellStyle name="Border Thin 2 3 5" xfId="5326" xr:uid="{00000000-0005-0000-0000-0000B1140000}"/>
    <cellStyle name="Border Thin 2 3 6" xfId="5327" xr:uid="{00000000-0005-0000-0000-0000B2140000}"/>
    <cellStyle name="Border Thin 2 3 7" xfId="5328" xr:uid="{00000000-0005-0000-0000-0000B3140000}"/>
    <cellStyle name="Border Thin 2 3 8" xfId="5329" xr:uid="{00000000-0005-0000-0000-0000B4140000}"/>
    <cellStyle name="Border Thin 2 3 9" xfId="5330" xr:uid="{00000000-0005-0000-0000-0000B5140000}"/>
    <cellStyle name="Border Thin 2 4" xfId="5331" xr:uid="{00000000-0005-0000-0000-0000B6140000}"/>
    <cellStyle name="Border Thin 2 4 2" xfId="5332" xr:uid="{00000000-0005-0000-0000-0000B7140000}"/>
    <cellStyle name="Border Thin 2 5" xfId="5333" xr:uid="{00000000-0005-0000-0000-0000B8140000}"/>
    <cellStyle name="Border Thin 2 6" xfId="5334" xr:uid="{00000000-0005-0000-0000-0000B9140000}"/>
    <cellStyle name="Border Thin 2 7" xfId="5335" xr:uid="{00000000-0005-0000-0000-0000BA140000}"/>
    <cellStyle name="Border Thin 2 8" xfId="5336" xr:uid="{00000000-0005-0000-0000-0000BB140000}"/>
    <cellStyle name="Border Thin 2 9" xfId="5337" xr:uid="{00000000-0005-0000-0000-0000BC140000}"/>
    <cellStyle name="Border Thin 20" xfId="5338" xr:uid="{00000000-0005-0000-0000-0000BD140000}"/>
    <cellStyle name="Border Thin 3" xfId="5339" xr:uid="{00000000-0005-0000-0000-0000BE140000}"/>
    <cellStyle name="Border Thin 3 2" xfId="5340" xr:uid="{00000000-0005-0000-0000-0000BF140000}"/>
    <cellStyle name="Border Thin 3 2 2" xfId="5341" xr:uid="{00000000-0005-0000-0000-0000C0140000}"/>
    <cellStyle name="Border Thin 3 2 2 2" xfId="5342" xr:uid="{00000000-0005-0000-0000-0000C1140000}"/>
    <cellStyle name="Border Thin 3 2 3" xfId="5343" xr:uid="{00000000-0005-0000-0000-0000C2140000}"/>
    <cellStyle name="Border Thin 3 3" xfId="5344" xr:uid="{00000000-0005-0000-0000-0000C3140000}"/>
    <cellStyle name="Border Thin 3 3 2" xfId="5345" xr:uid="{00000000-0005-0000-0000-0000C4140000}"/>
    <cellStyle name="Border Thin 3 3 2 2" xfId="5346" xr:uid="{00000000-0005-0000-0000-0000C5140000}"/>
    <cellStyle name="Border Thin 3 3 3" xfId="5347" xr:uid="{00000000-0005-0000-0000-0000C6140000}"/>
    <cellStyle name="Border Thin 3 4" xfId="5348" xr:uid="{00000000-0005-0000-0000-0000C7140000}"/>
    <cellStyle name="Border Thin 3 4 2" xfId="5349" xr:uid="{00000000-0005-0000-0000-0000C8140000}"/>
    <cellStyle name="Border Thin 3 5" xfId="5350" xr:uid="{00000000-0005-0000-0000-0000C9140000}"/>
    <cellStyle name="Border Thin 3 6" xfId="5351" xr:uid="{00000000-0005-0000-0000-0000CA140000}"/>
    <cellStyle name="Border Thin 3 7" xfId="5352" xr:uid="{00000000-0005-0000-0000-0000CB140000}"/>
    <cellStyle name="Border Thin 3 8" xfId="5353" xr:uid="{00000000-0005-0000-0000-0000CC140000}"/>
    <cellStyle name="Border Thin 3 9" xfId="5354" xr:uid="{00000000-0005-0000-0000-0000CD140000}"/>
    <cellStyle name="Border Thin 4" xfId="5355" xr:uid="{00000000-0005-0000-0000-0000CE140000}"/>
    <cellStyle name="Border Thin 4 2" xfId="5356" xr:uid="{00000000-0005-0000-0000-0000CF140000}"/>
    <cellStyle name="Border Thin 4 2 2" xfId="5357" xr:uid="{00000000-0005-0000-0000-0000D0140000}"/>
    <cellStyle name="Border Thin 4 2 2 2" xfId="5358" xr:uid="{00000000-0005-0000-0000-0000D1140000}"/>
    <cellStyle name="Border Thin 4 2 3" xfId="5359" xr:uid="{00000000-0005-0000-0000-0000D2140000}"/>
    <cellStyle name="Border Thin 4 3" xfId="5360" xr:uid="{00000000-0005-0000-0000-0000D3140000}"/>
    <cellStyle name="Border Thin 4 3 2" xfId="5361" xr:uid="{00000000-0005-0000-0000-0000D4140000}"/>
    <cellStyle name="Border Thin 4 3 2 2" xfId="5362" xr:uid="{00000000-0005-0000-0000-0000D5140000}"/>
    <cellStyle name="Border Thin 4 3 3" xfId="5363" xr:uid="{00000000-0005-0000-0000-0000D6140000}"/>
    <cellStyle name="Border Thin 4 4" xfId="5364" xr:uid="{00000000-0005-0000-0000-0000D7140000}"/>
    <cellStyle name="Border Thin 4 4 2" xfId="5365" xr:uid="{00000000-0005-0000-0000-0000D8140000}"/>
    <cellStyle name="Border Thin 4 5" xfId="5366" xr:uid="{00000000-0005-0000-0000-0000D9140000}"/>
    <cellStyle name="Border Thin 4 6" xfId="5367" xr:uid="{00000000-0005-0000-0000-0000DA140000}"/>
    <cellStyle name="Border Thin 4 7" xfId="5368" xr:uid="{00000000-0005-0000-0000-0000DB140000}"/>
    <cellStyle name="Border Thin 4 8" xfId="5369" xr:uid="{00000000-0005-0000-0000-0000DC140000}"/>
    <cellStyle name="Border Thin 4 9" xfId="5370" xr:uid="{00000000-0005-0000-0000-0000DD140000}"/>
    <cellStyle name="Border Thin 5" xfId="5371" xr:uid="{00000000-0005-0000-0000-0000DE140000}"/>
    <cellStyle name="Border Thin 5 2" xfId="5372" xr:uid="{00000000-0005-0000-0000-0000DF140000}"/>
    <cellStyle name="Border Thin 5 2 2" xfId="5373" xr:uid="{00000000-0005-0000-0000-0000E0140000}"/>
    <cellStyle name="Border Thin 5 2 2 2" xfId="5374" xr:uid="{00000000-0005-0000-0000-0000E1140000}"/>
    <cellStyle name="Border Thin 5 2 3" xfId="5375" xr:uid="{00000000-0005-0000-0000-0000E2140000}"/>
    <cellStyle name="Border Thin 5 3" xfId="5376" xr:uid="{00000000-0005-0000-0000-0000E3140000}"/>
    <cellStyle name="Border Thin 5 3 2" xfId="5377" xr:uid="{00000000-0005-0000-0000-0000E4140000}"/>
    <cellStyle name="Border Thin 5 3 2 2" xfId="5378" xr:uid="{00000000-0005-0000-0000-0000E5140000}"/>
    <cellStyle name="Border Thin 5 3 3" xfId="5379" xr:uid="{00000000-0005-0000-0000-0000E6140000}"/>
    <cellStyle name="Border Thin 5 4" xfId="5380" xr:uid="{00000000-0005-0000-0000-0000E7140000}"/>
    <cellStyle name="Border Thin 5 4 2" xfId="5381" xr:uid="{00000000-0005-0000-0000-0000E8140000}"/>
    <cellStyle name="Border Thin 5 5" xfId="5382" xr:uid="{00000000-0005-0000-0000-0000E9140000}"/>
    <cellStyle name="Border Thin 5 6" xfId="5383" xr:uid="{00000000-0005-0000-0000-0000EA140000}"/>
    <cellStyle name="Border Thin 5 7" xfId="5384" xr:uid="{00000000-0005-0000-0000-0000EB140000}"/>
    <cellStyle name="Border Thin 5 8" xfId="5385" xr:uid="{00000000-0005-0000-0000-0000EC140000}"/>
    <cellStyle name="Border Thin 5 9" xfId="5386" xr:uid="{00000000-0005-0000-0000-0000ED140000}"/>
    <cellStyle name="Border Thin 6" xfId="5387" xr:uid="{00000000-0005-0000-0000-0000EE140000}"/>
    <cellStyle name="Border Thin 6 2" xfId="5388" xr:uid="{00000000-0005-0000-0000-0000EF140000}"/>
    <cellStyle name="Border Thin 6 2 2" xfId="5389" xr:uid="{00000000-0005-0000-0000-0000F0140000}"/>
    <cellStyle name="Border Thin 6 2 2 2" xfId="5390" xr:uid="{00000000-0005-0000-0000-0000F1140000}"/>
    <cellStyle name="Border Thin 6 2 3" xfId="5391" xr:uid="{00000000-0005-0000-0000-0000F2140000}"/>
    <cellStyle name="Border Thin 6 3" xfId="5392" xr:uid="{00000000-0005-0000-0000-0000F3140000}"/>
    <cellStyle name="Border Thin 6 3 2" xfId="5393" xr:uid="{00000000-0005-0000-0000-0000F4140000}"/>
    <cellStyle name="Border Thin 6 3 2 2" xfId="5394" xr:uid="{00000000-0005-0000-0000-0000F5140000}"/>
    <cellStyle name="Border Thin 6 3 3" xfId="5395" xr:uid="{00000000-0005-0000-0000-0000F6140000}"/>
    <cellStyle name="Border Thin 6 4" xfId="5396" xr:uid="{00000000-0005-0000-0000-0000F7140000}"/>
    <cellStyle name="Border Thin 6 4 2" xfId="5397" xr:uid="{00000000-0005-0000-0000-0000F8140000}"/>
    <cellStyle name="Border Thin 6 5" xfId="5398" xr:uid="{00000000-0005-0000-0000-0000F9140000}"/>
    <cellStyle name="Border Thin 7" xfId="5399" xr:uid="{00000000-0005-0000-0000-0000FA140000}"/>
    <cellStyle name="Border Thin 7 2" xfId="5400" xr:uid="{00000000-0005-0000-0000-0000FB140000}"/>
    <cellStyle name="Border Thin 7 2 2" xfId="5401" xr:uid="{00000000-0005-0000-0000-0000FC140000}"/>
    <cellStyle name="Border Thin 7 2 2 2" xfId="5402" xr:uid="{00000000-0005-0000-0000-0000FD140000}"/>
    <cellStyle name="Border Thin 7 2 3" xfId="5403" xr:uid="{00000000-0005-0000-0000-0000FE140000}"/>
    <cellStyle name="Border Thin 7 3" xfId="5404" xr:uid="{00000000-0005-0000-0000-0000FF140000}"/>
    <cellStyle name="Border Thin 7 3 2" xfId="5405" xr:uid="{00000000-0005-0000-0000-000000150000}"/>
    <cellStyle name="Border Thin 7 3 2 2" xfId="5406" xr:uid="{00000000-0005-0000-0000-000001150000}"/>
    <cellStyle name="Border Thin 7 3 3" xfId="5407" xr:uid="{00000000-0005-0000-0000-000002150000}"/>
    <cellStyle name="Border Thin 7 4" xfId="5408" xr:uid="{00000000-0005-0000-0000-000003150000}"/>
    <cellStyle name="Border Thin 7 4 2" xfId="5409" xr:uid="{00000000-0005-0000-0000-000004150000}"/>
    <cellStyle name="Border Thin 7 5" xfId="5410" xr:uid="{00000000-0005-0000-0000-000005150000}"/>
    <cellStyle name="Border Thin 8" xfId="5411" xr:uid="{00000000-0005-0000-0000-000006150000}"/>
    <cellStyle name="Border Thin 8 2" xfId="5412" xr:uid="{00000000-0005-0000-0000-000007150000}"/>
    <cellStyle name="Border Thin 9" xfId="5413" xr:uid="{00000000-0005-0000-0000-000008150000}"/>
    <cellStyle name="Bottom Edge" xfId="5414" xr:uid="{00000000-0005-0000-0000-000009150000}"/>
    <cellStyle name="Bottom Edge 10" xfId="5415" xr:uid="{00000000-0005-0000-0000-00000A150000}"/>
    <cellStyle name="Bottom Edge 10 2" xfId="5416" xr:uid="{00000000-0005-0000-0000-00000B150000}"/>
    <cellStyle name="Bottom Edge 11" xfId="5417" xr:uid="{00000000-0005-0000-0000-00000C150000}"/>
    <cellStyle name="Bottom Edge 2" xfId="5418" xr:uid="{00000000-0005-0000-0000-00000D150000}"/>
    <cellStyle name="Bottom Edge 2 2" xfId="5419" xr:uid="{00000000-0005-0000-0000-00000E150000}"/>
    <cellStyle name="Bottom Edge 2 2 2" xfId="5420" xr:uid="{00000000-0005-0000-0000-00000F150000}"/>
    <cellStyle name="Bottom Edge 2 2 2 2" xfId="5421" xr:uid="{00000000-0005-0000-0000-000010150000}"/>
    <cellStyle name="Bottom Edge 2 2 2 2 2" xfId="5422" xr:uid="{00000000-0005-0000-0000-000011150000}"/>
    <cellStyle name="Bottom Edge 2 2 2 3" xfId="5423" xr:uid="{00000000-0005-0000-0000-000012150000}"/>
    <cellStyle name="Bottom Edge 2 2 3" xfId="5424" xr:uid="{00000000-0005-0000-0000-000013150000}"/>
    <cellStyle name="Bottom Edge 2 2 3 2" xfId="5425" xr:uid="{00000000-0005-0000-0000-000014150000}"/>
    <cellStyle name="Bottom Edge 2 2 4" xfId="5426" xr:uid="{00000000-0005-0000-0000-000015150000}"/>
    <cellStyle name="Bottom Edge 2 3" xfId="5427" xr:uid="{00000000-0005-0000-0000-000016150000}"/>
    <cellStyle name="Bottom Edge 2 3 2" xfId="5428" xr:uid="{00000000-0005-0000-0000-000017150000}"/>
    <cellStyle name="Bottom Edge 2 3 2 2" xfId="5429" xr:uid="{00000000-0005-0000-0000-000018150000}"/>
    <cellStyle name="Bottom Edge 2 3 3" xfId="5430" xr:uid="{00000000-0005-0000-0000-000019150000}"/>
    <cellStyle name="Bottom Edge 2 4" xfId="5431" xr:uid="{00000000-0005-0000-0000-00001A150000}"/>
    <cellStyle name="Bottom Edge 2 4 2" xfId="5432" xr:uid="{00000000-0005-0000-0000-00001B150000}"/>
    <cellStyle name="Bottom Edge 2 5" xfId="5433" xr:uid="{00000000-0005-0000-0000-00001C150000}"/>
    <cellStyle name="Bottom Edge 3" xfId="5434" xr:uid="{00000000-0005-0000-0000-00001D150000}"/>
    <cellStyle name="Bottom Edge 3 2" xfId="5435" xr:uid="{00000000-0005-0000-0000-00001E150000}"/>
    <cellStyle name="Bottom Edge 3 2 2" xfId="5436" xr:uid="{00000000-0005-0000-0000-00001F150000}"/>
    <cellStyle name="Bottom Edge 3 2 2 2" xfId="5437" xr:uid="{00000000-0005-0000-0000-000020150000}"/>
    <cellStyle name="Bottom Edge 3 2 2 2 2" xfId="5438" xr:uid="{00000000-0005-0000-0000-000021150000}"/>
    <cellStyle name="Bottom Edge 3 2 2 3" xfId="5439" xr:uid="{00000000-0005-0000-0000-000022150000}"/>
    <cellStyle name="Bottom Edge 3 2 3" xfId="5440" xr:uid="{00000000-0005-0000-0000-000023150000}"/>
    <cellStyle name="Bottom Edge 3 2 3 2" xfId="5441" xr:uid="{00000000-0005-0000-0000-000024150000}"/>
    <cellStyle name="Bottom Edge 3 2 4" xfId="5442" xr:uid="{00000000-0005-0000-0000-000025150000}"/>
    <cellStyle name="Bottom Edge 3 3" xfId="5443" xr:uid="{00000000-0005-0000-0000-000026150000}"/>
    <cellStyle name="Bottom Edge 3 3 2" xfId="5444" xr:uid="{00000000-0005-0000-0000-000027150000}"/>
    <cellStyle name="Bottom Edge 3 3 2 2" xfId="5445" xr:uid="{00000000-0005-0000-0000-000028150000}"/>
    <cellStyle name="Bottom Edge 3 3 3" xfId="5446" xr:uid="{00000000-0005-0000-0000-000029150000}"/>
    <cellStyle name="Bottom Edge 3 4" xfId="5447" xr:uid="{00000000-0005-0000-0000-00002A150000}"/>
    <cellStyle name="Bottom Edge 3 4 2" xfId="5448" xr:uid="{00000000-0005-0000-0000-00002B150000}"/>
    <cellStyle name="Bottom Edge 3 5" xfId="5449" xr:uid="{00000000-0005-0000-0000-00002C150000}"/>
    <cellStyle name="Bottom Edge 4" xfId="5450" xr:uid="{00000000-0005-0000-0000-00002D150000}"/>
    <cellStyle name="Bottom Edge 4 2" xfId="5451" xr:uid="{00000000-0005-0000-0000-00002E150000}"/>
    <cellStyle name="Bottom Edge 4 2 2" xfId="5452" xr:uid="{00000000-0005-0000-0000-00002F150000}"/>
    <cellStyle name="Bottom Edge 4 2 2 2" xfId="5453" xr:uid="{00000000-0005-0000-0000-000030150000}"/>
    <cellStyle name="Bottom Edge 4 2 2 2 2" xfId="5454" xr:uid="{00000000-0005-0000-0000-000031150000}"/>
    <cellStyle name="Bottom Edge 4 2 2 3" xfId="5455" xr:uid="{00000000-0005-0000-0000-000032150000}"/>
    <cellStyle name="Bottom Edge 4 2 3" xfId="5456" xr:uid="{00000000-0005-0000-0000-000033150000}"/>
    <cellStyle name="Bottom Edge 4 2 3 2" xfId="5457" xr:uid="{00000000-0005-0000-0000-000034150000}"/>
    <cellStyle name="Bottom Edge 4 2 4" xfId="5458" xr:uid="{00000000-0005-0000-0000-000035150000}"/>
    <cellStyle name="Bottom Edge 4 3" xfId="5459" xr:uid="{00000000-0005-0000-0000-000036150000}"/>
    <cellStyle name="Bottom Edge 4 3 2" xfId="5460" xr:uid="{00000000-0005-0000-0000-000037150000}"/>
    <cellStyle name="Bottom Edge 4 3 2 2" xfId="5461" xr:uid="{00000000-0005-0000-0000-000038150000}"/>
    <cellStyle name="Bottom Edge 4 3 3" xfId="5462" xr:uid="{00000000-0005-0000-0000-000039150000}"/>
    <cellStyle name="Bottom Edge 4 4" xfId="5463" xr:uid="{00000000-0005-0000-0000-00003A150000}"/>
    <cellStyle name="Bottom Edge 4 4 2" xfId="5464" xr:uid="{00000000-0005-0000-0000-00003B150000}"/>
    <cellStyle name="Bottom Edge 4 5" xfId="5465" xr:uid="{00000000-0005-0000-0000-00003C150000}"/>
    <cellStyle name="Bottom Edge 5" xfId="5466" xr:uid="{00000000-0005-0000-0000-00003D150000}"/>
    <cellStyle name="Bottom Edge 5 2" xfId="5467" xr:uid="{00000000-0005-0000-0000-00003E150000}"/>
    <cellStyle name="Bottom Edge 5 2 2" xfId="5468" xr:uid="{00000000-0005-0000-0000-00003F150000}"/>
    <cellStyle name="Bottom Edge 5 2 2 2" xfId="5469" xr:uid="{00000000-0005-0000-0000-000040150000}"/>
    <cellStyle name="Bottom Edge 5 2 2 2 2" xfId="5470" xr:uid="{00000000-0005-0000-0000-000041150000}"/>
    <cellStyle name="Bottom Edge 5 2 2 3" xfId="5471" xr:uid="{00000000-0005-0000-0000-000042150000}"/>
    <cellStyle name="Bottom Edge 5 2 3" xfId="5472" xr:uid="{00000000-0005-0000-0000-000043150000}"/>
    <cellStyle name="Bottom Edge 5 2 3 2" xfId="5473" xr:uid="{00000000-0005-0000-0000-000044150000}"/>
    <cellStyle name="Bottom Edge 5 2 4" xfId="5474" xr:uid="{00000000-0005-0000-0000-000045150000}"/>
    <cellStyle name="Bottom Edge 5 3" xfId="5475" xr:uid="{00000000-0005-0000-0000-000046150000}"/>
    <cellStyle name="Bottom Edge 5 3 2" xfId="5476" xr:uid="{00000000-0005-0000-0000-000047150000}"/>
    <cellStyle name="Bottom Edge 5 3 2 2" xfId="5477" xr:uid="{00000000-0005-0000-0000-000048150000}"/>
    <cellStyle name="Bottom Edge 5 3 3" xfId="5478" xr:uid="{00000000-0005-0000-0000-000049150000}"/>
    <cellStyle name="Bottom Edge 5 4" xfId="5479" xr:uid="{00000000-0005-0000-0000-00004A150000}"/>
    <cellStyle name="Bottom Edge 5 4 2" xfId="5480" xr:uid="{00000000-0005-0000-0000-00004B150000}"/>
    <cellStyle name="Bottom Edge 5 5" xfId="5481" xr:uid="{00000000-0005-0000-0000-00004C150000}"/>
    <cellStyle name="Bottom Edge 6" xfId="5482" xr:uid="{00000000-0005-0000-0000-00004D150000}"/>
    <cellStyle name="Bottom Edge 6 2" xfId="5483" xr:uid="{00000000-0005-0000-0000-00004E150000}"/>
    <cellStyle name="Bottom Edge 6 2 2" xfId="5484" xr:uid="{00000000-0005-0000-0000-00004F150000}"/>
    <cellStyle name="Bottom Edge 6 2 2 2" xfId="5485" xr:uid="{00000000-0005-0000-0000-000050150000}"/>
    <cellStyle name="Bottom Edge 6 2 2 2 2" xfId="5486" xr:uid="{00000000-0005-0000-0000-000051150000}"/>
    <cellStyle name="Bottom Edge 6 2 2 3" xfId="5487" xr:uid="{00000000-0005-0000-0000-000052150000}"/>
    <cellStyle name="Bottom Edge 6 2 3" xfId="5488" xr:uid="{00000000-0005-0000-0000-000053150000}"/>
    <cellStyle name="Bottom Edge 6 2 3 2" xfId="5489" xr:uid="{00000000-0005-0000-0000-000054150000}"/>
    <cellStyle name="Bottom Edge 6 2 4" xfId="5490" xr:uid="{00000000-0005-0000-0000-000055150000}"/>
    <cellStyle name="Bottom Edge 6 3" xfId="5491" xr:uid="{00000000-0005-0000-0000-000056150000}"/>
    <cellStyle name="Bottom Edge 6 3 2" xfId="5492" xr:uid="{00000000-0005-0000-0000-000057150000}"/>
    <cellStyle name="Bottom Edge 6 3 2 2" xfId="5493" xr:uid="{00000000-0005-0000-0000-000058150000}"/>
    <cellStyle name="Bottom Edge 6 3 3" xfId="5494" xr:uid="{00000000-0005-0000-0000-000059150000}"/>
    <cellStyle name="Bottom Edge 6 4" xfId="5495" xr:uid="{00000000-0005-0000-0000-00005A150000}"/>
    <cellStyle name="Bottom Edge 6 4 2" xfId="5496" xr:uid="{00000000-0005-0000-0000-00005B150000}"/>
    <cellStyle name="Bottom Edge 6 5" xfId="5497" xr:uid="{00000000-0005-0000-0000-00005C150000}"/>
    <cellStyle name="Bottom Edge 7" xfId="5498" xr:uid="{00000000-0005-0000-0000-00005D150000}"/>
    <cellStyle name="Bottom Edge 7 2" xfId="5499" xr:uid="{00000000-0005-0000-0000-00005E150000}"/>
    <cellStyle name="Bottom Edge 7 2 2" xfId="5500" xr:uid="{00000000-0005-0000-0000-00005F150000}"/>
    <cellStyle name="Bottom Edge 7 2 2 2" xfId="5501" xr:uid="{00000000-0005-0000-0000-000060150000}"/>
    <cellStyle name="Bottom Edge 7 2 2 2 2" xfId="5502" xr:uid="{00000000-0005-0000-0000-000061150000}"/>
    <cellStyle name="Bottom Edge 7 2 2 3" xfId="5503" xr:uid="{00000000-0005-0000-0000-000062150000}"/>
    <cellStyle name="Bottom Edge 7 2 3" xfId="5504" xr:uid="{00000000-0005-0000-0000-000063150000}"/>
    <cellStyle name="Bottom Edge 7 2 3 2" xfId="5505" xr:uid="{00000000-0005-0000-0000-000064150000}"/>
    <cellStyle name="Bottom Edge 7 2 4" xfId="5506" xr:uid="{00000000-0005-0000-0000-000065150000}"/>
    <cellStyle name="Bottom Edge 7 3" xfId="5507" xr:uid="{00000000-0005-0000-0000-000066150000}"/>
    <cellStyle name="Bottom Edge 7 3 2" xfId="5508" xr:uid="{00000000-0005-0000-0000-000067150000}"/>
    <cellStyle name="Bottom Edge 7 3 2 2" xfId="5509" xr:uid="{00000000-0005-0000-0000-000068150000}"/>
    <cellStyle name="Bottom Edge 7 3 3" xfId="5510" xr:uid="{00000000-0005-0000-0000-000069150000}"/>
    <cellStyle name="Bottom Edge 7 4" xfId="5511" xr:uid="{00000000-0005-0000-0000-00006A150000}"/>
    <cellStyle name="Bottom Edge 7 4 2" xfId="5512" xr:uid="{00000000-0005-0000-0000-00006B150000}"/>
    <cellStyle name="Bottom Edge 7 5" xfId="5513" xr:uid="{00000000-0005-0000-0000-00006C150000}"/>
    <cellStyle name="Bottom Edge 8" xfId="5514" xr:uid="{00000000-0005-0000-0000-00006D150000}"/>
    <cellStyle name="Bottom Edge 8 2" xfId="5515" xr:uid="{00000000-0005-0000-0000-00006E150000}"/>
    <cellStyle name="Bottom Edge 8 2 2" xfId="5516" xr:uid="{00000000-0005-0000-0000-00006F150000}"/>
    <cellStyle name="Bottom Edge 8 2 2 2" xfId="5517" xr:uid="{00000000-0005-0000-0000-000070150000}"/>
    <cellStyle name="Bottom Edge 8 2 3" xfId="5518" xr:uid="{00000000-0005-0000-0000-000071150000}"/>
    <cellStyle name="Bottom Edge 8 3" xfId="5519" xr:uid="{00000000-0005-0000-0000-000072150000}"/>
    <cellStyle name="Bottom Edge 8 3 2" xfId="5520" xr:uid="{00000000-0005-0000-0000-000073150000}"/>
    <cellStyle name="Bottom Edge 8 4" xfId="5521" xr:uid="{00000000-0005-0000-0000-000074150000}"/>
    <cellStyle name="Bottom Edge 9" xfId="5522" xr:uid="{00000000-0005-0000-0000-000075150000}"/>
    <cellStyle name="Bottom Edge 9 2" xfId="5523" xr:uid="{00000000-0005-0000-0000-000076150000}"/>
    <cellStyle name="Bottom Edge 9 2 2" xfId="5524" xr:uid="{00000000-0005-0000-0000-000077150000}"/>
    <cellStyle name="Bottom Edge 9 3" xfId="5525" xr:uid="{00000000-0005-0000-0000-000078150000}"/>
    <cellStyle name="bp--" xfId="5526" xr:uid="{00000000-0005-0000-0000-000079150000}"/>
    <cellStyle name="bud" xfId="5527" xr:uid="{00000000-0005-0000-0000-00007A150000}"/>
    <cellStyle name="bud 10" xfId="5528" xr:uid="{00000000-0005-0000-0000-00007B150000}"/>
    <cellStyle name="bud 10 2" xfId="5529" xr:uid="{00000000-0005-0000-0000-00007C150000}"/>
    <cellStyle name="bud 10 2 2" xfId="5530" xr:uid="{00000000-0005-0000-0000-00007D150000}"/>
    <cellStyle name="bud 11" xfId="5531" xr:uid="{00000000-0005-0000-0000-00007E150000}"/>
    <cellStyle name="bud 11 2" xfId="5532" xr:uid="{00000000-0005-0000-0000-00007F150000}"/>
    <cellStyle name="bud 11 2 2" xfId="5533" xr:uid="{00000000-0005-0000-0000-000080150000}"/>
    <cellStyle name="bud 2" xfId="5534" xr:uid="{00000000-0005-0000-0000-000081150000}"/>
    <cellStyle name="bud 2 2" xfId="5535" xr:uid="{00000000-0005-0000-0000-000082150000}"/>
    <cellStyle name="bud 2 2 10" xfId="5536" xr:uid="{00000000-0005-0000-0000-000083150000}"/>
    <cellStyle name="bud 2 2 10 2" xfId="5537" xr:uid="{00000000-0005-0000-0000-000084150000}"/>
    <cellStyle name="bud 2 2 10 2 2" xfId="5538" xr:uid="{00000000-0005-0000-0000-000085150000}"/>
    <cellStyle name="bud 2 2 11" xfId="5539" xr:uid="{00000000-0005-0000-0000-000086150000}"/>
    <cellStyle name="bud 2 2 11 2" xfId="5540" xr:uid="{00000000-0005-0000-0000-000087150000}"/>
    <cellStyle name="bud 2 2 11 2 2" xfId="5541" xr:uid="{00000000-0005-0000-0000-000088150000}"/>
    <cellStyle name="bud 2 2 12" xfId="5542" xr:uid="{00000000-0005-0000-0000-000089150000}"/>
    <cellStyle name="bud 2 2 12 2" xfId="5543" xr:uid="{00000000-0005-0000-0000-00008A150000}"/>
    <cellStyle name="bud 2 2 12 2 2" xfId="5544" xr:uid="{00000000-0005-0000-0000-00008B150000}"/>
    <cellStyle name="bud 2 2 13" xfId="5545" xr:uid="{00000000-0005-0000-0000-00008C150000}"/>
    <cellStyle name="bud 2 2 13 2" xfId="5546" xr:uid="{00000000-0005-0000-0000-00008D150000}"/>
    <cellStyle name="bud 2 2 13 2 2" xfId="5547" xr:uid="{00000000-0005-0000-0000-00008E150000}"/>
    <cellStyle name="bud 2 2 14" xfId="5548" xr:uid="{00000000-0005-0000-0000-00008F150000}"/>
    <cellStyle name="bud 2 2 14 2" xfId="5549" xr:uid="{00000000-0005-0000-0000-000090150000}"/>
    <cellStyle name="bud 2 2 14 2 2" xfId="5550" xr:uid="{00000000-0005-0000-0000-000091150000}"/>
    <cellStyle name="bud 2 2 15" xfId="5551" xr:uid="{00000000-0005-0000-0000-000092150000}"/>
    <cellStyle name="bud 2 2 15 2" xfId="5552" xr:uid="{00000000-0005-0000-0000-000093150000}"/>
    <cellStyle name="bud 2 2 2" xfId="5553" xr:uid="{00000000-0005-0000-0000-000094150000}"/>
    <cellStyle name="bud 2 2 2 2" xfId="5554" xr:uid="{00000000-0005-0000-0000-000095150000}"/>
    <cellStyle name="bud 2 2 2 2 2" xfId="5555" xr:uid="{00000000-0005-0000-0000-000096150000}"/>
    <cellStyle name="bud 2 2 3" xfId="5556" xr:uid="{00000000-0005-0000-0000-000097150000}"/>
    <cellStyle name="bud 2 2 3 2" xfId="5557" xr:uid="{00000000-0005-0000-0000-000098150000}"/>
    <cellStyle name="bud 2 2 3 2 2" xfId="5558" xr:uid="{00000000-0005-0000-0000-000099150000}"/>
    <cellStyle name="bud 2 2 4" xfId="5559" xr:uid="{00000000-0005-0000-0000-00009A150000}"/>
    <cellStyle name="bud 2 2 4 2" xfId="5560" xr:uid="{00000000-0005-0000-0000-00009B150000}"/>
    <cellStyle name="bud 2 2 4 2 2" xfId="5561" xr:uid="{00000000-0005-0000-0000-00009C150000}"/>
    <cellStyle name="bud 2 2 5" xfId="5562" xr:uid="{00000000-0005-0000-0000-00009D150000}"/>
    <cellStyle name="bud 2 2 5 2" xfId="5563" xr:uid="{00000000-0005-0000-0000-00009E150000}"/>
    <cellStyle name="bud 2 2 5 2 2" xfId="5564" xr:uid="{00000000-0005-0000-0000-00009F150000}"/>
    <cellStyle name="bud 2 2 6" xfId="5565" xr:uid="{00000000-0005-0000-0000-0000A0150000}"/>
    <cellStyle name="bud 2 2 6 2" xfId="5566" xr:uid="{00000000-0005-0000-0000-0000A1150000}"/>
    <cellStyle name="bud 2 2 6 2 2" xfId="5567" xr:uid="{00000000-0005-0000-0000-0000A2150000}"/>
    <cellStyle name="bud 2 2 7" xfId="5568" xr:uid="{00000000-0005-0000-0000-0000A3150000}"/>
    <cellStyle name="bud 2 2 7 2" xfId="5569" xr:uid="{00000000-0005-0000-0000-0000A4150000}"/>
    <cellStyle name="bud 2 2 7 2 2" xfId="5570" xr:uid="{00000000-0005-0000-0000-0000A5150000}"/>
    <cellStyle name="bud 2 2 8" xfId="5571" xr:uid="{00000000-0005-0000-0000-0000A6150000}"/>
    <cellStyle name="bud 2 2 8 2" xfId="5572" xr:uid="{00000000-0005-0000-0000-0000A7150000}"/>
    <cellStyle name="bud 2 2 8 2 2" xfId="5573" xr:uid="{00000000-0005-0000-0000-0000A8150000}"/>
    <cellStyle name="bud 2 2 9" xfId="5574" xr:uid="{00000000-0005-0000-0000-0000A9150000}"/>
    <cellStyle name="bud 2 2 9 2" xfId="5575" xr:uid="{00000000-0005-0000-0000-0000AA150000}"/>
    <cellStyle name="bud 2 2 9 2 2" xfId="5576" xr:uid="{00000000-0005-0000-0000-0000AB150000}"/>
    <cellStyle name="bud 2 3" xfId="5577" xr:uid="{00000000-0005-0000-0000-0000AC150000}"/>
    <cellStyle name="bud 2 3 2" xfId="5578" xr:uid="{00000000-0005-0000-0000-0000AD150000}"/>
    <cellStyle name="bud 2 3 2 2" xfId="5579" xr:uid="{00000000-0005-0000-0000-0000AE150000}"/>
    <cellStyle name="bud 2 4" xfId="5580" xr:uid="{00000000-0005-0000-0000-0000AF150000}"/>
    <cellStyle name="bud 2 4 2" xfId="5581" xr:uid="{00000000-0005-0000-0000-0000B0150000}"/>
    <cellStyle name="bud 2 4 2 2" xfId="5582" xr:uid="{00000000-0005-0000-0000-0000B1150000}"/>
    <cellStyle name="bud 3" xfId="5583" xr:uid="{00000000-0005-0000-0000-0000B2150000}"/>
    <cellStyle name="bud 3 10" xfId="5584" xr:uid="{00000000-0005-0000-0000-0000B3150000}"/>
    <cellStyle name="bud 3 10 2" xfId="5585" xr:uid="{00000000-0005-0000-0000-0000B4150000}"/>
    <cellStyle name="bud 3 10 2 2" xfId="5586" xr:uid="{00000000-0005-0000-0000-0000B5150000}"/>
    <cellStyle name="bud 3 2" xfId="5587" xr:uid="{00000000-0005-0000-0000-0000B6150000}"/>
    <cellStyle name="bud 3 2 2" xfId="5588" xr:uid="{00000000-0005-0000-0000-0000B7150000}"/>
    <cellStyle name="bud 3 2 2 2" xfId="5589" xr:uid="{00000000-0005-0000-0000-0000B8150000}"/>
    <cellStyle name="bud 3 2 2 2 2" xfId="5590" xr:uid="{00000000-0005-0000-0000-0000B9150000}"/>
    <cellStyle name="bud 3 2 2 2 2 2" xfId="5591" xr:uid="{00000000-0005-0000-0000-0000BA150000}"/>
    <cellStyle name="bud 3 2 3" xfId="5592" xr:uid="{00000000-0005-0000-0000-0000BB150000}"/>
    <cellStyle name="bud 3 2 3 2" xfId="5593" xr:uid="{00000000-0005-0000-0000-0000BC150000}"/>
    <cellStyle name="bud 3 2 3 2 2" xfId="5594" xr:uid="{00000000-0005-0000-0000-0000BD150000}"/>
    <cellStyle name="bud 3 3" xfId="5595" xr:uid="{00000000-0005-0000-0000-0000BE150000}"/>
    <cellStyle name="bud 3 3 2" xfId="5596" xr:uid="{00000000-0005-0000-0000-0000BF150000}"/>
    <cellStyle name="bud 3 3 2 2" xfId="5597" xr:uid="{00000000-0005-0000-0000-0000C0150000}"/>
    <cellStyle name="bud 3 3 2 2 2" xfId="5598" xr:uid="{00000000-0005-0000-0000-0000C1150000}"/>
    <cellStyle name="bud 3 3 2 2 2 2" xfId="5599" xr:uid="{00000000-0005-0000-0000-0000C2150000}"/>
    <cellStyle name="bud 3 3 3" xfId="5600" xr:uid="{00000000-0005-0000-0000-0000C3150000}"/>
    <cellStyle name="bud 3 3 3 2" xfId="5601" xr:uid="{00000000-0005-0000-0000-0000C4150000}"/>
    <cellStyle name="bud 3 3 3 2 2" xfId="5602" xr:uid="{00000000-0005-0000-0000-0000C5150000}"/>
    <cellStyle name="bud 3 4" xfId="5603" xr:uid="{00000000-0005-0000-0000-0000C6150000}"/>
    <cellStyle name="bud 3 4 2" xfId="5604" xr:uid="{00000000-0005-0000-0000-0000C7150000}"/>
    <cellStyle name="bud 3 4 2 2" xfId="5605" xr:uid="{00000000-0005-0000-0000-0000C8150000}"/>
    <cellStyle name="bud 3 4 2 2 2" xfId="5606" xr:uid="{00000000-0005-0000-0000-0000C9150000}"/>
    <cellStyle name="bud 3 5" xfId="5607" xr:uid="{00000000-0005-0000-0000-0000CA150000}"/>
    <cellStyle name="bud 3 5 2" xfId="5608" xr:uid="{00000000-0005-0000-0000-0000CB150000}"/>
    <cellStyle name="bud 3 5 2 2" xfId="5609" xr:uid="{00000000-0005-0000-0000-0000CC150000}"/>
    <cellStyle name="bud 3 6" xfId="5610" xr:uid="{00000000-0005-0000-0000-0000CD150000}"/>
    <cellStyle name="bud 3 6 2" xfId="5611" xr:uid="{00000000-0005-0000-0000-0000CE150000}"/>
    <cellStyle name="bud 3 6 2 2" xfId="5612" xr:uid="{00000000-0005-0000-0000-0000CF150000}"/>
    <cellStyle name="bud 3 7" xfId="5613" xr:uid="{00000000-0005-0000-0000-0000D0150000}"/>
    <cellStyle name="bud 3 7 2" xfId="5614" xr:uid="{00000000-0005-0000-0000-0000D1150000}"/>
    <cellStyle name="bud 3 7 2 2" xfId="5615" xr:uid="{00000000-0005-0000-0000-0000D2150000}"/>
    <cellStyle name="bud 3 8" xfId="5616" xr:uid="{00000000-0005-0000-0000-0000D3150000}"/>
    <cellStyle name="bud 3 8 2" xfId="5617" xr:uid="{00000000-0005-0000-0000-0000D4150000}"/>
    <cellStyle name="bud 3 8 2 2" xfId="5618" xr:uid="{00000000-0005-0000-0000-0000D5150000}"/>
    <cellStyle name="bud 3 9" xfId="5619" xr:uid="{00000000-0005-0000-0000-0000D6150000}"/>
    <cellStyle name="bud 3 9 2" xfId="5620" xr:uid="{00000000-0005-0000-0000-0000D7150000}"/>
    <cellStyle name="bud 3 9 2 2" xfId="5621" xr:uid="{00000000-0005-0000-0000-0000D8150000}"/>
    <cellStyle name="bud 4" xfId="5622" xr:uid="{00000000-0005-0000-0000-0000D9150000}"/>
    <cellStyle name="bud 4 10" xfId="5623" xr:uid="{00000000-0005-0000-0000-0000DA150000}"/>
    <cellStyle name="bud 4 10 2" xfId="5624" xr:uid="{00000000-0005-0000-0000-0000DB150000}"/>
    <cellStyle name="bud 4 10 2 2" xfId="5625" xr:uid="{00000000-0005-0000-0000-0000DC150000}"/>
    <cellStyle name="bud 4 11" xfId="5626" xr:uid="{00000000-0005-0000-0000-0000DD150000}"/>
    <cellStyle name="bud 4 11 2" xfId="5627" xr:uid="{00000000-0005-0000-0000-0000DE150000}"/>
    <cellStyle name="bud 4 11 2 2" xfId="5628" xr:uid="{00000000-0005-0000-0000-0000DF150000}"/>
    <cellStyle name="bud 4 12" xfId="5629" xr:uid="{00000000-0005-0000-0000-0000E0150000}"/>
    <cellStyle name="bud 4 12 2" xfId="5630" xr:uid="{00000000-0005-0000-0000-0000E1150000}"/>
    <cellStyle name="bud 4 12 2 2" xfId="5631" xr:uid="{00000000-0005-0000-0000-0000E2150000}"/>
    <cellStyle name="bud 4 13" xfId="5632" xr:uid="{00000000-0005-0000-0000-0000E3150000}"/>
    <cellStyle name="bud 4 13 2" xfId="5633" xr:uid="{00000000-0005-0000-0000-0000E4150000}"/>
    <cellStyle name="bud 4 13 2 2" xfId="5634" xr:uid="{00000000-0005-0000-0000-0000E5150000}"/>
    <cellStyle name="bud 4 14" xfId="5635" xr:uid="{00000000-0005-0000-0000-0000E6150000}"/>
    <cellStyle name="bud 4 14 2" xfId="5636" xr:uid="{00000000-0005-0000-0000-0000E7150000}"/>
    <cellStyle name="bud 4 14 2 2" xfId="5637" xr:uid="{00000000-0005-0000-0000-0000E8150000}"/>
    <cellStyle name="bud 4 2" xfId="5638" xr:uid="{00000000-0005-0000-0000-0000E9150000}"/>
    <cellStyle name="bud 4 2 2" xfId="5639" xr:uid="{00000000-0005-0000-0000-0000EA150000}"/>
    <cellStyle name="bud 4 2 2 2" xfId="5640" xr:uid="{00000000-0005-0000-0000-0000EB150000}"/>
    <cellStyle name="bud 4 2 2 2 2" xfId="5641" xr:uid="{00000000-0005-0000-0000-0000EC150000}"/>
    <cellStyle name="bud 4 2 2 2 2 2" xfId="5642" xr:uid="{00000000-0005-0000-0000-0000ED150000}"/>
    <cellStyle name="bud 4 2 3" xfId="5643" xr:uid="{00000000-0005-0000-0000-0000EE150000}"/>
    <cellStyle name="bud 4 2 3 2" xfId="5644" xr:uid="{00000000-0005-0000-0000-0000EF150000}"/>
    <cellStyle name="bud 4 2 3 2 2" xfId="5645" xr:uid="{00000000-0005-0000-0000-0000F0150000}"/>
    <cellStyle name="bud 4 3" xfId="5646" xr:uid="{00000000-0005-0000-0000-0000F1150000}"/>
    <cellStyle name="bud 4 3 2" xfId="5647" xr:uid="{00000000-0005-0000-0000-0000F2150000}"/>
    <cellStyle name="bud 4 3 2 2" xfId="5648" xr:uid="{00000000-0005-0000-0000-0000F3150000}"/>
    <cellStyle name="bud 4 3 2 2 2" xfId="5649" xr:uid="{00000000-0005-0000-0000-0000F4150000}"/>
    <cellStyle name="bud 4 3 2 2 2 2" xfId="5650" xr:uid="{00000000-0005-0000-0000-0000F5150000}"/>
    <cellStyle name="bud 4 3 3" xfId="5651" xr:uid="{00000000-0005-0000-0000-0000F6150000}"/>
    <cellStyle name="bud 4 3 3 2" xfId="5652" xr:uid="{00000000-0005-0000-0000-0000F7150000}"/>
    <cellStyle name="bud 4 3 3 2 2" xfId="5653" xr:uid="{00000000-0005-0000-0000-0000F8150000}"/>
    <cellStyle name="bud 4 4" xfId="5654" xr:uid="{00000000-0005-0000-0000-0000F9150000}"/>
    <cellStyle name="bud 4 4 2" xfId="5655" xr:uid="{00000000-0005-0000-0000-0000FA150000}"/>
    <cellStyle name="bud 4 4 2 2" xfId="5656" xr:uid="{00000000-0005-0000-0000-0000FB150000}"/>
    <cellStyle name="bud 4 4 2 2 2" xfId="5657" xr:uid="{00000000-0005-0000-0000-0000FC150000}"/>
    <cellStyle name="bud 4 5" xfId="5658" xr:uid="{00000000-0005-0000-0000-0000FD150000}"/>
    <cellStyle name="bud 4 5 2" xfId="5659" xr:uid="{00000000-0005-0000-0000-0000FE150000}"/>
    <cellStyle name="bud 4 5 2 2" xfId="5660" xr:uid="{00000000-0005-0000-0000-0000FF150000}"/>
    <cellStyle name="bud 4 6" xfId="5661" xr:uid="{00000000-0005-0000-0000-000000160000}"/>
    <cellStyle name="bud 4 6 2" xfId="5662" xr:uid="{00000000-0005-0000-0000-000001160000}"/>
    <cellStyle name="bud 4 6 2 2" xfId="5663" xr:uid="{00000000-0005-0000-0000-000002160000}"/>
    <cellStyle name="bud 4 7" xfId="5664" xr:uid="{00000000-0005-0000-0000-000003160000}"/>
    <cellStyle name="bud 4 7 2" xfId="5665" xr:uid="{00000000-0005-0000-0000-000004160000}"/>
    <cellStyle name="bud 4 7 2 2" xfId="5666" xr:uid="{00000000-0005-0000-0000-000005160000}"/>
    <cellStyle name="bud 4 8" xfId="5667" xr:uid="{00000000-0005-0000-0000-000006160000}"/>
    <cellStyle name="bud 4 8 2" xfId="5668" xr:uid="{00000000-0005-0000-0000-000007160000}"/>
    <cellStyle name="bud 4 8 2 2" xfId="5669" xr:uid="{00000000-0005-0000-0000-000008160000}"/>
    <cellStyle name="bud 4 9" xfId="5670" xr:uid="{00000000-0005-0000-0000-000009160000}"/>
    <cellStyle name="bud 4 9 2" xfId="5671" xr:uid="{00000000-0005-0000-0000-00000A160000}"/>
    <cellStyle name="bud 4 9 2 2" xfId="5672" xr:uid="{00000000-0005-0000-0000-00000B160000}"/>
    <cellStyle name="bud 5" xfId="5673" xr:uid="{00000000-0005-0000-0000-00000C160000}"/>
    <cellStyle name="bud 5 10" xfId="5674" xr:uid="{00000000-0005-0000-0000-00000D160000}"/>
    <cellStyle name="bud 5 10 2" xfId="5675" xr:uid="{00000000-0005-0000-0000-00000E160000}"/>
    <cellStyle name="bud 5 10 2 2" xfId="5676" xr:uid="{00000000-0005-0000-0000-00000F160000}"/>
    <cellStyle name="bud 5 11" xfId="5677" xr:uid="{00000000-0005-0000-0000-000010160000}"/>
    <cellStyle name="bud 5 11 2" xfId="5678" xr:uid="{00000000-0005-0000-0000-000011160000}"/>
    <cellStyle name="bud 5 11 2 2" xfId="5679" xr:uid="{00000000-0005-0000-0000-000012160000}"/>
    <cellStyle name="bud 5 12" xfId="5680" xr:uid="{00000000-0005-0000-0000-000013160000}"/>
    <cellStyle name="bud 5 12 2" xfId="5681" xr:uid="{00000000-0005-0000-0000-000014160000}"/>
    <cellStyle name="bud 5 12 2 2" xfId="5682" xr:uid="{00000000-0005-0000-0000-000015160000}"/>
    <cellStyle name="bud 5 13" xfId="5683" xr:uid="{00000000-0005-0000-0000-000016160000}"/>
    <cellStyle name="bud 5 13 2" xfId="5684" xr:uid="{00000000-0005-0000-0000-000017160000}"/>
    <cellStyle name="bud 5 13 2 2" xfId="5685" xr:uid="{00000000-0005-0000-0000-000018160000}"/>
    <cellStyle name="bud 5 14" xfId="5686" xr:uid="{00000000-0005-0000-0000-000019160000}"/>
    <cellStyle name="bud 5 14 2" xfId="5687" xr:uid="{00000000-0005-0000-0000-00001A160000}"/>
    <cellStyle name="bud 5 14 2 2" xfId="5688" xr:uid="{00000000-0005-0000-0000-00001B160000}"/>
    <cellStyle name="bud 5 2" xfId="5689" xr:uid="{00000000-0005-0000-0000-00001C160000}"/>
    <cellStyle name="bud 5 2 2" xfId="5690" xr:uid="{00000000-0005-0000-0000-00001D160000}"/>
    <cellStyle name="bud 5 2 2 2" xfId="5691" xr:uid="{00000000-0005-0000-0000-00001E160000}"/>
    <cellStyle name="bud 5 3" xfId="5692" xr:uid="{00000000-0005-0000-0000-00001F160000}"/>
    <cellStyle name="bud 5 3 2" xfId="5693" xr:uid="{00000000-0005-0000-0000-000020160000}"/>
    <cellStyle name="bud 5 3 2 2" xfId="5694" xr:uid="{00000000-0005-0000-0000-000021160000}"/>
    <cellStyle name="bud 5 4" xfId="5695" xr:uid="{00000000-0005-0000-0000-000022160000}"/>
    <cellStyle name="bud 5 4 2" xfId="5696" xr:uid="{00000000-0005-0000-0000-000023160000}"/>
    <cellStyle name="bud 5 4 2 2" xfId="5697" xr:uid="{00000000-0005-0000-0000-000024160000}"/>
    <cellStyle name="bud 5 5" xfId="5698" xr:uid="{00000000-0005-0000-0000-000025160000}"/>
    <cellStyle name="bud 5 5 2" xfId="5699" xr:uid="{00000000-0005-0000-0000-000026160000}"/>
    <cellStyle name="bud 5 5 2 2" xfId="5700" xr:uid="{00000000-0005-0000-0000-000027160000}"/>
    <cellStyle name="bud 5 6" xfId="5701" xr:uid="{00000000-0005-0000-0000-000028160000}"/>
    <cellStyle name="bud 5 6 2" xfId="5702" xr:uid="{00000000-0005-0000-0000-000029160000}"/>
    <cellStyle name="bud 5 6 2 2" xfId="5703" xr:uid="{00000000-0005-0000-0000-00002A160000}"/>
    <cellStyle name="bud 5 7" xfId="5704" xr:uid="{00000000-0005-0000-0000-00002B160000}"/>
    <cellStyle name="bud 5 7 2" xfId="5705" xr:uid="{00000000-0005-0000-0000-00002C160000}"/>
    <cellStyle name="bud 5 7 2 2" xfId="5706" xr:uid="{00000000-0005-0000-0000-00002D160000}"/>
    <cellStyle name="bud 5 8" xfId="5707" xr:uid="{00000000-0005-0000-0000-00002E160000}"/>
    <cellStyle name="bud 5 8 2" xfId="5708" xr:uid="{00000000-0005-0000-0000-00002F160000}"/>
    <cellStyle name="bud 5 8 2 2" xfId="5709" xr:uid="{00000000-0005-0000-0000-000030160000}"/>
    <cellStyle name="bud 5 9" xfId="5710" xr:uid="{00000000-0005-0000-0000-000031160000}"/>
    <cellStyle name="bud 5 9 2" xfId="5711" xr:uid="{00000000-0005-0000-0000-000032160000}"/>
    <cellStyle name="bud 5 9 2 2" xfId="5712" xr:uid="{00000000-0005-0000-0000-000033160000}"/>
    <cellStyle name="bud 6" xfId="5713" xr:uid="{00000000-0005-0000-0000-000034160000}"/>
    <cellStyle name="bud 6 2" xfId="5714" xr:uid="{00000000-0005-0000-0000-000035160000}"/>
    <cellStyle name="bud 6 2 2" xfId="5715" xr:uid="{00000000-0005-0000-0000-000036160000}"/>
    <cellStyle name="bud 7" xfId="5716" xr:uid="{00000000-0005-0000-0000-000037160000}"/>
    <cellStyle name="bud 7 2" xfId="5717" xr:uid="{00000000-0005-0000-0000-000038160000}"/>
    <cellStyle name="bud 7 2 2" xfId="5718" xr:uid="{00000000-0005-0000-0000-000039160000}"/>
    <cellStyle name="bud 8" xfId="5719" xr:uid="{00000000-0005-0000-0000-00003A160000}"/>
    <cellStyle name="bud 8 2" xfId="5720" xr:uid="{00000000-0005-0000-0000-00003B160000}"/>
    <cellStyle name="bud 8 2 2" xfId="5721" xr:uid="{00000000-0005-0000-0000-00003C160000}"/>
    <cellStyle name="bud 9" xfId="5722" xr:uid="{00000000-0005-0000-0000-00003D160000}"/>
    <cellStyle name="bud 9 2" xfId="5723" xr:uid="{00000000-0005-0000-0000-00003E160000}"/>
    <cellStyle name="bud 9 2 2" xfId="5724" xr:uid="{00000000-0005-0000-0000-00003F160000}"/>
    <cellStyle name="Bullet" xfId="5725" xr:uid="{00000000-0005-0000-0000-000040160000}"/>
    <cellStyle name="Business Description" xfId="5726" xr:uid="{00000000-0005-0000-0000-000041160000}"/>
    <cellStyle name="BvDAddIn_Currency" xfId="5727" xr:uid="{00000000-0005-0000-0000-000042160000}"/>
    <cellStyle name="Cabecera 1" xfId="5728" xr:uid="{00000000-0005-0000-0000-000043160000}"/>
    <cellStyle name="Cabecera 2" xfId="5729" xr:uid="{00000000-0005-0000-0000-000044160000}"/>
    <cellStyle name="Calc Currency (0)" xfId="5730" xr:uid="{00000000-0005-0000-0000-000045160000}"/>
    <cellStyle name="Calc Currency (2)" xfId="5731" xr:uid="{00000000-0005-0000-0000-000046160000}"/>
    <cellStyle name="Calc Percent (0)" xfId="5732" xr:uid="{00000000-0005-0000-0000-000047160000}"/>
    <cellStyle name="Calc Percent (1)" xfId="5733" xr:uid="{00000000-0005-0000-0000-000048160000}"/>
    <cellStyle name="Calc Percent (2)" xfId="5734" xr:uid="{00000000-0005-0000-0000-000049160000}"/>
    <cellStyle name="Calc Units (0)" xfId="5735" xr:uid="{00000000-0005-0000-0000-00004A160000}"/>
    <cellStyle name="Calc Units (1)" xfId="5736" xr:uid="{00000000-0005-0000-0000-00004B160000}"/>
    <cellStyle name="Calc Units (2)" xfId="5737" xr:uid="{00000000-0005-0000-0000-00004C160000}"/>
    <cellStyle name="Calculation 2" xfId="5738" xr:uid="{00000000-0005-0000-0000-00004D160000}"/>
    <cellStyle name="Calculation 2 2" xfId="5739" xr:uid="{00000000-0005-0000-0000-00004E160000}"/>
    <cellStyle name="Cálculo" xfId="11" builtinId="22" customBuiltin="1"/>
    <cellStyle name="Cálculo 10" xfId="5740" xr:uid="{00000000-0005-0000-0000-000050160000}"/>
    <cellStyle name="Cálculo 11" xfId="5741" xr:uid="{00000000-0005-0000-0000-000051160000}"/>
    <cellStyle name="Cálculo 12" xfId="5742" xr:uid="{00000000-0005-0000-0000-000052160000}"/>
    <cellStyle name="Cálculo 13" xfId="5743" xr:uid="{00000000-0005-0000-0000-000053160000}"/>
    <cellStyle name="Cálculo 14" xfId="5744" xr:uid="{00000000-0005-0000-0000-000054160000}"/>
    <cellStyle name="Cálculo 15" xfId="5745" xr:uid="{00000000-0005-0000-0000-000055160000}"/>
    <cellStyle name="Cálculo 16" xfId="5746" xr:uid="{00000000-0005-0000-0000-000056160000}"/>
    <cellStyle name="Cálculo 17" xfId="5747" xr:uid="{00000000-0005-0000-0000-000057160000}"/>
    <cellStyle name="Cálculo 18" xfId="5748" xr:uid="{00000000-0005-0000-0000-000058160000}"/>
    <cellStyle name="Cálculo 19" xfId="5749" xr:uid="{00000000-0005-0000-0000-000059160000}"/>
    <cellStyle name="Cálculo 2" xfId="5750" xr:uid="{00000000-0005-0000-0000-00005A160000}"/>
    <cellStyle name="Cálculo 2 10" xfId="5751" xr:uid="{00000000-0005-0000-0000-00005B160000}"/>
    <cellStyle name="Cálculo 2 2" xfId="5752" xr:uid="{00000000-0005-0000-0000-00005C160000}"/>
    <cellStyle name="Cálculo 2 2 2" xfId="5753" xr:uid="{00000000-0005-0000-0000-00005D160000}"/>
    <cellStyle name="Cálculo 2 2 2 2" xfId="5754" xr:uid="{00000000-0005-0000-0000-00005E160000}"/>
    <cellStyle name="Cálculo 2 2 2 2 2" xfId="5755" xr:uid="{00000000-0005-0000-0000-00005F160000}"/>
    <cellStyle name="Cálculo 2 2 2 2 2 2" xfId="5756" xr:uid="{00000000-0005-0000-0000-000060160000}"/>
    <cellStyle name="Cálculo 2 2 2 2 3" xfId="5757" xr:uid="{00000000-0005-0000-0000-000061160000}"/>
    <cellStyle name="Cálculo 2 2 2 3" xfId="5758" xr:uid="{00000000-0005-0000-0000-000062160000}"/>
    <cellStyle name="Cálculo 2 2 2 3 2" xfId="5759" xr:uid="{00000000-0005-0000-0000-000063160000}"/>
    <cellStyle name="Cálculo 2 2 2 4" xfId="5760" xr:uid="{00000000-0005-0000-0000-000064160000}"/>
    <cellStyle name="Cálculo 2 2 3" xfId="5761" xr:uid="{00000000-0005-0000-0000-000065160000}"/>
    <cellStyle name="Cálculo 2 2 3 2" xfId="5762" xr:uid="{00000000-0005-0000-0000-000066160000}"/>
    <cellStyle name="Cálculo 2 2 3 2 2" xfId="5763" xr:uid="{00000000-0005-0000-0000-000067160000}"/>
    <cellStyle name="Cálculo 2 2 3 3" xfId="5764" xr:uid="{00000000-0005-0000-0000-000068160000}"/>
    <cellStyle name="Cálculo 2 2 4" xfId="5765" xr:uid="{00000000-0005-0000-0000-000069160000}"/>
    <cellStyle name="Cálculo 2 2 4 2" xfId="5766" xr:uid="{00000000-0005-0000-0000-00006A160000}"/>
    <cellStyle name="Cálculo 2 2 5" xfId="5767" xr:uid="{00000000-0005-0000-0000-00006B160000}"/>
    <cellStyle name="Cálculo 2 3" xfId="5768" xr:uid="{00000000-0005-0000-0000-00006C160000}"/>
    <cellStyle name="Cálculo 2 3 2" xfId="5769" xr:uid="{00000000-0005-0000-0000-00006D160000}"/>
    <cellStyle name="Cálculo 2 3 2 2" xfId="5770" xr:uid="{00000000-0005-0000-0000-00006E160000}"/>
    <cellStyle name="Cálculo 2 3 2 2 2" xfId="5771" xr:uid="{00000000-0005-0000-0000-00006F160000}"/>
    <cellStyle name="Cálculo 2 3 2 2 2 2" xfId="5772" xr:uid="{00000000-0005-0000-0000-000070160000}"/>
    <cellStyle name="Cálculo 2 3 2 2 3" xfId="5773" xr:uid="{00000000-0005-0000-0000-000071160000}"/>
    <cellStyle name="Cálculo 2 3 2 3" xfId="5774" xr:uid="{00000000-0005-0000-0000-000072160000}"/>
    <cellStyle name="Cálculo 2 3 2 3 2" xfId="5775" xr:uid="{00000000-0005-0000-0000-000073160000}"/>
    <cellStyle name="Cálculo 2 3 2 4" xfId="5776" xr:uid="{00000000-0005-0000-0000-000074160000}"/>
    <cellStyle name="Cálculo 2 3 3" xfId="5777" xr:uid="{00000000-0005-0000-0000-000075160000}"/>
    <cellStyle name="Cálculo 2 3 3 2" xfId="5778" xr:uid="{00000000-0005-0000-0000-000076160000}"/>
    <cellStyle name="Cálculo 2 3 3 2 2" xfId="5779" xr:uid="{00000000-0005-0000-0000-000077160000}"/>
    <cellStyle name="Cálculo 2 3 3 3" xfId="5780" xr:uid="{00000000-0005-0000-0000-000078160000}"/>
    <cellStyle name="Cálculo 2 3 4" xfId="5781" xr:uid="{00000000-0005-0000-0000-000079160000}"/>
    <cellStyle name="Cálculo 2 3 4 2" xfId="5782" xr:uid="{00000000-0005-0000-0000-00007A160000}"/>
    <cellStyle name="Cálculo 2 3 5" xfId="5783" xr:uid="{00000000-0005-0000-0000-00007B160000}"/>
    <cellStyle name="Cálculo 2 4" xfId="5784" xr:uid="{00000000-0005-0000-0000-00007C160000}"/>
    <cellStyle name="Cálculo 2 4 2" xfId="5785" xr:uid="{00000000-0005-0000-0000-00007D160000}"/>
    <cellStyle name="Cálculo 2 4 2 2" xfId="5786" xr:uid="{00000000-0005-0000-0000-00007E160000}"/>
    <cellStyle name="Cálculo 2 4 2 2 2" xfId="5787" xr:uid="{00000000-0005-0000-0000-00007F160000}"/>
    <cellStyle name="Cálculo 2 4 2 2 2 2" xfId="5788" xr:uid="{00000000-0005-0000-0000-000080160000}"/>
    <cellStyle name="Cálculo 2 4 2 2 3" xfId="5789" xr:uid="{00000000-0005-0000-0000-000081160000}"/>
    <cellStyle name="Cálculo 2 4 2 3" xfId="5790" xr:uid="{00000000-0005-0000-0000-000082160000}"/>
    <cellStyle name="Cálculo 2 4 2 3 2" xfId="5791" xr:uid="{00000000-0005-0000-0000-000083160000}"/>
    <cellStyle name="Cálculo 2 4 2 4" xfId="5792" xr:uid="{00000000-0005-0000-0000-000084160000}"/>
    <cellStyle name="Cálculo 2 4 3" xfId="5793" xr:uid="{00000000-0005-0000-0000-000085160000}"/>
    <cellStyle name="Cálculo 2 4 3 2" xfId="5794" xr:uid="{00000000-0005-0000-0000-000086160000}"/>
    <cellStyle name="Cálculo 2 4 3 2 2" xfId="5795" xr:uid="{00000000-0005-0000-0000-000087160000}"/>
    <cellStyle name="Cálculo 2 4 3 3" xfId="5796" xr:uid="{00000000-0005-0000-0000-000088160000}"/>
    <cellStyle name="Cálculo 2 4 4" xfId="5797" xr:uid="{00000000-0005-0000-0000-000089160000}"/>
    <cellStyle name="Cálculo 2 4 4 2" xfId="5798" xr:uid="{00000000-0005-0000-0000-00008A160000}"/>
    <cellStyle name="Cálculo 2 4 5" xfId="5799" xr:uid="{00000000-0005-0000-0000-00008B160000}"/>
    <cellStyle name="Cálculo 2 5" xfId="5800" xr:uid="{00000000-0005-0000-0000-00008C160000}"/>
    <cellStyle name="Cálculo 2 5 2" xfId="5801" xr:uid="{00000000-0005-0000-0000-00008D160000}"/>
    <cellStyle name="Cálculo 2 5 2 2" xfId="5802" xr:uid="{00000000-0005-0000-0000-00008E160000}"/>
    <cellStyle name="Cálculo 2 5 2 2 2" xfId="5803" xr:uid="{00000000-0005-0000-0000-00008F160000}"/>
    <cellStyle name="Cálculo 2 5 2 2 2 2" xfId="5804" xr:uid="{00000000-0005-0000-0000-000090160000}"/>
    <cellStyle name="Cálculo 2 5 2 2 3" xfId="5805" xr:uid="{00000000-0005-0000-0000-000091160000}"/>
    <cellStyle name="Cálculo 2 5 2 3" xfId="5806" xr:uid="{00000000-0005-0000-0000-000092160000}"/>
    <cellStyle name="Cálculo 2 5 2 3 2" xfId="5807" xr:uid="{00000000-0005-0000-0000-000093160000}"/>
    <cellStyle name="Cálculo 2 5 2 4" xfId="5808" xr:uid="{00000000-0005-0000-0000-000094160000}"/>
    <cellStyle name="Cálculo 2 5 3" xfId="5809" xr:uid="{00000000-0005-0000-0000-000095160000}"/>
    <cellStyle name="Cálculo 2 5 3 2" xfId="5810" xr:uid="{00000000-0005-0000-0000-000096160000}"/>
    <cellStyle name="Cálculo 2 5 3 2 2" xfId="5811" xr:uid="{00000000-0005-0000-0000-000097160000}"/>
    <cellStyle name="Cálculo 2 5 3 3" xfId="5812" xr:uid="{00000000-0005-0000-0000-000098160000}"/>
    <cellStyle name="Cálculo 2 5 4" xfId="5813" xr:uid="{00000000-0005-0000-0000-000099160000}"/>
    <cellStyle name="Cálculo 2 5 4 2" xfId="5814" xr:uid="{00000000-0005-0000-0000-00009A160000}"/>
    <cellStyle name="Cálculo 2 5 5" xfId="5815" xr:uid="{00000000-0005-0000-0000-00009B160000}"/>
    <cellStyle name="Cálculo 2 6" xfId="5816" xr:uid="{00000000-0005-0000-0000-00009C160000}"/>
    <cellStyle name="Cálculo 2 6 2" xfId="5817" xr:uid="{00000000-0005-0000-0000-00009D160000}"/>
    <cellStyle name="Cálculo 2 6 2 2" xfId="5818" xr:uid="{00000000-0005-0000-0000-00009E160000}"/>
    <cellStyle name="Cálculo 2 6 2 2 2" xfId="5819" xr:uid="{00000000-0005-0000-0000-00009F160000}"/>
    <cellStyle name="Cálculo 2 6 2 2 2 2" xfId="5820" xr:uid="{00000000-0005-0000-0000-0000A0160000}"/>
    <cellStyle name="Cálculo 2 6 2 2 3" xfId="5821" xr:uid="{00000000-0005-0000-0000-0000A1160000}"/>
    <cellStyle name="Cálculo 2 6 2 3" xfId="5822" xr:uid="{00000000-0005-0000-0000-0000A2160000}"/>
    <cellStyle name="Cálculo 2 6 2 3 2" xfId="5823" xr:uid="{00000000-0005-0000-0000-0000A3160000}"/>
    <cellStyle name="Cálculo 2 6 2 4" xfId="5824" xr:uid="{00000000-0005-0000-0000-0000A4160000}"/>
    <cellStyle name="Cálculo 2 6 3" xfId="5825" xr:uid="{00000000-0005-0000-0000-0000A5160000}"/>
    <cellStyle name="Cálculo 2 6 3 2" xfId="5826" xr:uid="{00000000-0005-0000-0000-0000A6160000}"/>
    <cellStyle name="Cálculo 2 6 3 2 2" xfId="5827" xr:uid="{00000000-0005-0000-0000-0000A7160000}"/>
    <cellStyle name="Cálculo 2 6 3 3" xfId="5828" xr:uid="{00000000-0005-0000-0000-0000A8160000}"/>
    <cellStyle name="Cálculo 2 6 4" xfId="5829" xr:uid="{00000000-0005-0000-0000-0000A9160000}"/>
    <cellStyle name="Cálculo 2 6 4 2" xfId="5830" xr:uid="{00000000-0005-0000-0000-0000AA160000}"/>
    <cellStyle name="Cálculo 2 6 5" xfId="5831" xr:uid="{00000000-0005-0000-0000-0000AB160000}"/>
    <cellStyle name="Cálculo 2 7" xfId="5832" xr:uid="{00000000-0005-0000-0000-0000AC160000}"/>
    <cellStyle name="Cálculo 2 7 2" xfId="5833" xr:uid="{00000000-0005-0000-0000-0000AD160000}"/>
    <cellStyle name="Cálculo 2 7 2 2" xfId="5834" xr:uid="{00000000-0005-0000-0000-0000AE160000}"/>
    <cellStyle name="Cálculo 2 7 2 2 2" xfId="5835" xr:uid="{00000000-0005-0000-0000-0000AF160000}"/>
    <cellStyle name="Cálculo 2 7 2 3" xfId="5836" xr:uid="{00000000-0005-0000-0000-0000B0160000}"/>
    <cellStyle name="Cálculo 2 7 3" xfId="5837" xr:uid="{00000000-0005-0000-0000-0000B1160000}"/>
    <cellStyle name="Cálculo 2 7 3 2" xfId="5838" xr:uid="{00000000-0005-0000-0000-0000B2160000}"/>
    <cellStyle name="Cálculo 2 7 4" xfId="5839" xr:uid="{00000000-0005-0000-0000-0000B3160000}"/>
    <cellStyle name="Cálculo 2 8" xfId="5840" xr:uid="{00000000-0005-0000-0000-0000B4160000}"/>
    <cellStyle name="Cálculo 2 8 2" xfId="5841" xr:uid="{00000000-0005-0000-0000-0000B5160000}"/>
    <cellStyle name="Cálculo 2 8 2 2" xfId="5842" xr:uid="{00000000-0005-0000-0000-0000B6160000}"/>
    <cellStyle name="Cálculo 2 8 3" xfId="5843" xr:uid="{00000000-0005-0000-0000-0000B7160000}"/>
    <cellStyle name="Cálculo 2 9" xfId="5844" xr:uid="{00000000-0005-0000-0000-0000B8160000}"/>
    <cellStyle name="Cálculo 2 9 2" xfId="5845" xr:uid="{00000000-0005-0000-0000-0000B9160000}"/>
    <cellStyle name="Cálculo 20" xfId="5846" xr:uid="{00000000-0005-0000-0000-0000BA160000}"/>
    <cellStyle name="Cálculo 21" xfId="5847" xr:uid="{00000000-0005-0000-0000-0000BB160000}"/>
    <cellStyle name="Cálculo 22" xfId="5848" xr:uid="{00000000-0005-0000-0000-0000BC160000}"/>
    <cellStyle name="Cálculo 23" xfId="5849" xr:uid="{00000000-0005-0000-0000-0000BD160000}"/>
    <cellStyle name="Cálculo 24" xfId="5850" xr:uid="{00000000-0005-0000-0000-0000BE160000}"/>
    <cellStyle name="Cálculo 25" xfId="5851" xr:uid="{00000000-0005-0000-0000-0000BF160000}"/>
    <cellStyle name="Cálculo 26" xfId="5852" xr:uid="{00000000-0005-0000-0000-0000C0160000}"/>
    <cellStyle name="Cálculo 27" xfId="5853" xr:uid="{00000000-0005-0000-0000-0000C1160000}"/>
    <cellStyle name="Cálculo 28" xfId="5854" xr:uid="{00000000-0005-0000-0000-0000C2160000}"/>
    <cellStyle name="Cálculo 29" xfId="5855" xr:uid="{00000000-0005-0000-0000-0000C3160000}"/>
    <cellStyle name="Cálculo 3" xfId="5856" xr:uid="{00000000-0005-0000-0000-0000C4160000}"/>
    <cellStyle name="Cálculo 30" xfId="5857" xr:uid="{00000000-0005-0000-0000-0000C5160000}"/>
    <cellStyle name="Cálculo 31" xfId="5858" xr:uid="{00000000-0005-0000-0000-0000C6160000}"/>
    <cellStyle name="Cálculo 32" xfId="5859" xr:uid="{00000000-0005-0000-0000-0000C7160000}"/>
    <cellStyle name="Cálculo 33" xfId="5860" xr:uid="{00000000-0005-0000-0000-0000C8160000}"/>
    <cellStyle name="Cálculo 34" xfId="5861" xr:uid="{00000000-0005-0000-0000-0000C9160000}"/>
    <cellStyle name="Cálculo 35" xfId="5862" xr:uid="{00000000-0005-0000-0000-0000CA160000}"/>
    <cellStyle name="Cálculo 36" xfId="5863" xr:uid="{00000000-0005-0000-0000-0000CB160000}"/>
    <cellStyle name="Cálculo 37" xfId="5864" xr:uid="{00000000-0005-0000-0000-0000CC160000}"/>
    <cellStyle name="Cálculo 38" xfId="5865" xr:uid="{00000000-0005-0000-0000-0000CD160000}"/>
    <cellStyle name="Cálculo 39" xfId="5866" xr:uid="{00000000-0005-0000-0000-0000CE160000}"/>
    <cellStyle name="Cálculo 4" xfId="5867" xr:uid="{00000000-0005-0000-0000-0000CF160000}"/>
    <cellStyle name="Cálculo 40" xfId="5868" xr:uid="{00000000-0005-0000-0000-0000D0160000}"/>
    <cellStyle name="Cálculo 5" xfId="5869" xr:uid="{00000000-0005-0000-0000-0000D1160000}"/>
    <cellStyle name="Cálculo 6" xfId="5870" xr:uid="{00000000-0005-0000-0000-0000D2160000}"/>
    <cellStyle name="Cálculo 7" xfId="5871" xr:uid="{00000000-0005-0000-0000-0000D3160000}"/>
    <cellStyle name="Cálculo 8" xfId="5872" xr:uid="{00000000-0005-0000-0000-0000D4160000}"/>
    <cellStyle name="Cálculo 9" xfId="5873" xr:uid="{00000000-0005-0000-0000-0000D5160000}"/>
    <cellStyle name="Cancel" xfId="5874" xr:uid="{00000000-0005-0000-0000-0000D6160000}"/>
    <cellStyle name="Célula de Verificação" xfId="13" builtinId="23" customBuiltin="1"/>
    <cellStyle name="Célula de Verificação 10" xfId="5875" xr:uid="{00000000-0005-0000-0000-0000D8160000}"/>
    <cellStyle name="Célula de Verificação 10 2" xfId="5876" xr:uid="{00000000-0005-0000-0000-0000D9160000}"/>
    <cellStyle name="Célula de Verificação 11" xfId="5877" xr:uid="{00000000-0005-0000-0000-0000DA160000}"/>
    <cellStyle name="Célula de Verificação 11 2" xfId="5878" xr:uid="{00000000-0005-0000-0000-0000DB160000}"/>
    <cellStyle name="Célula de Verificação 12" xfId="5879" xr:uid="{00000000-0005-0000-0000-0000DC160000}"/>
    <cellStyle name="Célula de Verificação 12 2" xfId="5880" xr:uid="{00000000-0005-0000-0000-0000DD160000}"/>
    <cellStyle name="Célula de Verificação 13" xfId="5881" xr:uid="{00000000-0005-0000-0000-0000DE160000}"/>
    <cellStyle name="Célula de Verificação 13 2" xfId="5882" xr:uid="{00000000-0005-0000-0000-0000DF160000}"/>
    <cellStyle name="Célula de Verificação 14" xfId="5883" xr:uid="{00000000-0005-0000-0000-0000E0160000}"/>
    <cellStyle name="Célula de Verificação 14 2" xfId="5884" xr:uid="{00000000-0005-0000-0000-0000E1160000}"/>
    <cellStyle name="Célula de Verificação 15" xfId="5885" xr:uid="{00000000-0005-0000-0000-0000E2160000}"/>
    <cellStyle name="Célula de Verificação 15 2" xfId="5886" xr:uid="{00000000-0005-0000-0000-0000E3160000}"/>
    <cellStyle name="Célula de Verificação 16" xfId="5887" xr:uid="{00000000-0005-0000-0000-0000E4160000}"/>
    <cellStyle name="Célula de Verificação 16 2" xfId="5888" xr:uid="{00000000-0005-0000-0000-0000E5160000}"/>
    <cellStyle name="Célula de Verificação 17" xfId="5889" xr:uid="{00000000-0005-0000-0000-0000E6160000}"/>
    <cellStyle name="Célula de Verificação 17 2" xfId="5890" xr:uid="{00000000-0005-0000-0000-0000E7160000}"/>
    <cellStyle name="Célula de Verificação 18" xfId="5891" xr:uid="{00000000-0005-0000-0000-0000E8160000}"/>
    <cellStyle name="Célula de Verificação 18 2" xfId="5892" xr:uid="{00000000-0005-0000-0000-0000E9160000}"/>
    <cellStyle name="Célula de Verificação 19" xfId="5893" xr:uid="{00000000-0005-0000-0000-0000EA160000}"/>
    <cellStyle name="Célula de Verificação 19 2" xfId="5894" xr:uid="{00000000-0005-0000-0000-0000EB160000}"/>
    <cellStyle name="Célula de Verificação 2" xfId="5895" xr:uid="{00000000-0005-0000-0000-0000EC160000}"/>
    <cellStyle name="Célula de Verificação 2 2" xfId="5896" xr:uid="{00000000-0005-0000-0000-0000ED160000}"/>
    <cellStyle name="Célula de Verificação 2 2 2" xfId="5897" xr:uid="{00000000-0005-0000-0000-0000EE160000}"/>
    <cellStyle name="Célula de Verificação 2 3" xfId="5898" xr:uid="{00000000-0005-0000-0000-0000EF160000}"/>
    <cellStyle name="Célula de Verificação 20" xfId="5899" xr:uid="{00000000-0005-0000-0000-0000F0160000}"/>
    <cellStyle name="Célula de Verificação 20 2" xfId="5900" xr:uid="{00000000-0005-0000-0000-0000F1160000}"/>
    <cellStyle name="Célula de Verificação 21" xfId="5901" xr:uid="{00000000-0005-0000-0000-0000F2160000}"/>
    <cellStyle name="Célula de Verificação 21 2" xfId="5902" xr:uid="{00000000-0005-0000-0000-0000F3160000}"/>
    <cellStyle name="Célula de Verificação 22" xfId="5903" xr:uid="{00000000-0005-0000-0000-0000F4160000}"/>
    <cellStyle name="Célula de Verificação 22 2" xfId="5904" xr:uid="{00000000-0005-0000-0000-0000F5160000}"/>
    <cellStyle name="Célula de Verificação 23" xfId="5905" xr:uid="{00000000-0005-0000-0000-0000F6160000}"/>
    <cellStyle name="Célula de Verificação 23 2" xfId="5906" xr:uid="{00000000-0005-0000-0000-0000F7160000}"/>
    <cellStyle name="Célula de Verificação 24" xfId="5907" xr:uid="{00000000-0005-0000-0000-0000F8160000}"/>
    <cellStyle name="Célula de Verificação 24 2" xfId="5908" xr:uid="{00000000-0005-0000-0000-0000F9160000}"/>
    <cellStyle name="Célula de Verificação 25" xfId="5909" xr:uid="{00000000-0005-0000-0000-0000FA160000}"/>
    <cellStyle name="Célula de Verificação 25 2" xfId="5910" xr:uid="{00000000-0005-0000-0000-0000FB160000}"/>
    <cellStyle name="Célula de Verificação 26" xfId="5911" xr:uid="{00000000-0005-0000-0000-0000FC160000}"/>
    <cellStyle name="Célula de Verificação 26 2" xfId="5912" xr:uid="{00000000-0005-0000-0000-0000FD160000}"/>
    <cellStyle name="Célula de Verificação 27" xfId="5913" xr:uid="{00000000-0005-0000-0000-0000FE160000}"/>
    <cellStyle name="Célula de Verificação 27 2" xfId="5914" xr:uid="{00000000-0005-0000-0000-0000FF160000}"/>
    <cellStyle name="Célula de Verificação 28" xfId="5915" xr:uid="{00000000-0005-0000-0000-000000170000}"/>
    <cellStyle name="Célula de Verificação 28 2" xfId="5916" xr:uid="{00000000-0005-0000-0000-000001170000}"/>
    <cellStyle name="Célula de Verificação 29" xfId="5917" xr:uid="{00000000-0005-0000-0000-000002170000}"/>
    <cellStyle name="Célula de Verificação 29 2" xfId="5918" xr:uid="{00000000-0005-0000-0000-000003170000}"/>
    <cellStyle name="Célula de Verificação 3" xfId="5919" xr:uid="{00000000-0005-0000-0000-000004170000}"/>
    <cellStyle name="Célula de Verificação 3 2" xfId="5920" xr:uid="{00000000-0005-0000-0000-000005170000}"/>
    <cellStyle name="Célula de Verificação 30" xfId="5921" xr:uid="{00000000-0005-0000-0000-000006170000}"/>
    <cellStyle name="Célula de Verificação 30 2" xfId="5922" xr:uid="{00000000-0005-0000-0000-000007170000}"/>
    <cellStyle name="Célula de Verificação 31" xfId="5923" xr:uid="{00000000-0005-0000-0000-000008170000}"/>
    <cellStyle name="Célula de Verificação 31 2" xfId="5924" xr:uid="{00000000-0005-0000-0000-000009170000}"/>
    <cellStyle name="Célula de Verificação 32" xfId="5925" xr:uid="{00000000-0005-0000-0000-00000A170000}"/>
    <cellStyle name="Célula de Verificação 32 2" xfId="5926" xr:uid="{00000000-0005-0000-0000-00000B170000}"/>
    <cellStyle name="Célula de Verificação 33" xfId="5927" xr:uid="{00000000-0005-0000-0000-00000C170000}"/>
    <cellStyle name="Célula de Verificação 33 2" xfId="5928" xr:uid="{00000000-0005-0000-0000-00000D170000}"/>
    <cellStyle name="Célula de Verificação 34" xfId="5929" xr:uid="{00000000-0005-0000-0000-00000E170000}"/>
    <cellStyle name="Célula de Verificação 34 2" xfId="5930" xr:uid="{00000000-0005-0000-0000-00000F170000}"/>
    <cellStyle name="Célula de Verificação 35" xfId="5931" xr:uid="{00000000-0005-0000-0000-000010170000}"/>
    <cellStyle name="Célula de Verificação 35 2" xfId="5932" xr:uid="{00000000-0005-0000-0000-000011170000}"/>
    <cellStyle name="Célula de Verificação 36" xfId="5933" xr:uid="{00000000-0005-0000-0000-000012170000}"/>
    <cellStyle name="Célula de Verificação 36 2" xfId="5934" xr:uid="{00000000-0005-0000-0000-000013170000}"/>
    <cellStyle name="Célula de Verificação 37" xfId="5935" xr:uid="{00000000-0005-0000-0000-000014170000}"/>
    <cellStyle name="Célula de Verificação 37 2" xfId="5936" xr:uid="{00000000-0005-0000-0000-000015170000}"/>
    <cellStyle name="Célula de Verificação 38" xfId="5937" xr:uid="{00000000-0005-0000-0000-000016170000}"/>
    <cellStyle name="Célula de Verificação 38 2" xfId="5938" xr:uid="{00000000-0005-0000-0000-000017170000}"/>
    <cellStyle name="Célula de Verificação 39" xfId="5939" xr:uid="{00000000-0005-0000-0000-000018170000}"/>
    <cellStyle name="Célula de Verificação 39 2" xfId="5940" xr:uid="{00000000-0005-0000-0000-000019170000}"/>
    <cellStyle name="Célula de Verificação 4" xfId="5941" xr:uid="{00000000-0005-0000-0000-00001A170000}"/>
    <cellStyle name="Célula de Verificação 4 2" xfId="5942" xr:uid="{00000000-0005-0000-0000-00001B170000}"/>
    <cellStyle name="Célula de Verificação 40" xfId="5943" xr:uid="{00000000-0005-0000-0000-00001C170000}"/>
    <cellStyle name="Célula de Verificação 40 2" xfId="5944" xr:uid="{00000000-0005-0000-0000-00001D170000}"/>
    <cellStyle name="Célula de Verificação 5" xfId="5945" xr:uid="{00000000-0005-0000-0000-00001E170000}"/>
    <cellStyle name="Célula de Verificação 5 2" xfId="5946" xr:uid="{00000000-0005-0000-0000-00001F170000}"/>
    <cellStyle name="Célula de Verificação 6" xfId="5947" xr:uid="{00000000-0005-0000-0000-000020170000}"/>
    <cellStyle name="Célula de Verificação 6 2" xfId="5948" xr:uid="{00000000-0005-0000-0000-000021170000}"/>
    <cellStyle name="Célula de Verificação 7" xfId="5949" xr:uid="{00000000-0005-0000-0000-000022170000}"/>
    <cellStyle name="Célula de Verificação 7 2" xfId="5950" xr:uid="{00000000-0005-0000-0000-000023170000}"/>
    <cellStyle name="Célula de Verificação 8" xfId="5951" xr:uid="{00000000-0005-0000-0000-000024170000}"/>
    <cellStyle name="Célula de Verificação 8 2" xfId="5952" xr:uid="{00000000-0005-0000-0000-000025170000}"/>
    <cellStyle name="Célula de Verificação 9" xfId="5953" xr:uid="{00000000-0005-0000-0000-000026170000}"/>
    <cellStyle name="Célula de Verificação 9 2" xfId="5954" xr:uid="{00000000-0005-0000-0000-000027170000}"/>
    <cellStyle name="Célula Vinculada" xfId="12" builtinId="24" customBuiltin="1"/>
    <cellStyle name="Célula Vinculada 10" xfId="5955" xr:uid="{00000000-0005-0000-0000-000029170000}"/>
    <cellStyle name="Célula Vinculada 11" xfId="5956" xr:uid="{00000000-0005-0000-0000-00002A170000}"/>
    <cellStyle name="Célula Vinculada 12" xfId="5957" xr:uid="{00000000-0005-0000-0000-00002B170000}"/>
    <cellStyle name="Célula Vinculada 13" xfId="5958" xr:uid="{00000000-0005-0000-0000-00002C170000}"/>
    <cellStyle name="Célula Vinculada 14" xfId="5959" xr:uid="{00000000-0005-0000-0000-00002D170000}"/>
    <cellStyle name="Célula Vinculada 15" xfId="5960" xr:uid="{00000000-0005-0000-0000-00002E170000}"/>
    <cellStyle name="Célula Vinculada 16" xfId="5961" xr:uid="{00000000-0005-0000-0000-00002F170000}"/>
    <cellStyle name="Célula Vinculada 17" xfId="5962" xr:uid="{00000000-0005-0000-0000-000030170000}"/>
    <cellStyle name="Célula Vinculada 18" xfId="5963" xr:uid="{00000000-0005-0000-0000-000031170000}"/>
    <cellStyle name="Célula Vinculada 19" xfId="5964" xr:uid="{00000000-0005-0000-0000-000032170000}"/>
    <cellStyle name="Célula Vinculada 2" xfId="5965" xr:uid="{00000000-0005-0000-0000-000033170000}"/>
    <cellStyle name="Célula Vinculada 20" xfId="5966" xr:uid="{00000000-0005-0000-0000-000034170000}"/>
    <cellStyle name="Célula Vinculada 21" xfId="5967" xr:uid="{00000000-0005-0000-0000-000035170000}"/>
    <cellStyle name="Célula Vinculada 22" xfId="5968" xr:uid="{00000000-0005-0000-0000-000036170000}"/>
    <cellStyle name="Célula Vinculada 23" xfId="5969" xr:uid="{00000000-0005-0000-0000-000037170000}"/>
    <cellStyle name="Célula Vinculada 24" xfId="5970" xr:uid="{00000000-0005-0000-0000-000038170000}"/>
    <cellStyle name="Célula Vinculada 25" xfId="5971" xr:uid="{00000000-0005-0000-0000-000039170000}"/>
    <cellStyle name="Célula Vinculada 26" xfId="5972" xr:uid="{00000000-0005-0000-0000-00003A170000}"/>
    <cellStyle name="Célula Vinculada 27" xfId="5973" xr:uid="{00000000-0005-0000-0000-00003B170000}"/>
    <cellStyle name="Célula Vinculada 28" xfId="5974" xr:uid="{00000000-0005-0000-0000-00003C170000}"/>
    <cellStyle name="Célula Vinculada 29" xfId="5975" xr:uid="{00000000-0005-0000-0000-00003D170000}"/>
    <cellStyle name="Célula Vinculada 3" xfId="5976" xr:uid="{00000000-0005-0000-0000-00003E170000}"/>
    <cellStyle name="Célula Vinculada 30" xfId="5977" xr:uid="{00000000-0005-0000-0000-00003F170000}"/>
    <cellStyle name="Célula Vinculada 31" xfId="5978" xr:uid="{00000000-0005-0000-0000-000040170000}"/>
    <cellStyle name="Célula Vinculada 32" xfId="5979" xr:uid="{00000000-0005-0000-0000-000041170000}"/>
    <cellStyle name="Célula Vinculada 33" xfId="5980" xr:uid="{00000000-0005-0000-0000-000042170000}"/>
    <cellStyle name="Célula Vinculada 34" xfId="5981" xr:uid="{00000000-0005-0000-0000-000043170000}"/>
    <cellStyle name="Célula Vinculada 35" xfId="5982" xr:uid="{00000000-0005-0000-0000-000044170000}"/>
    <cellStyle name="Célula Vinculada 36" xfId="5983" xr:uid="{00000000-0005-0000-0000-000045170000}"/>
    <cellStyle name="Célula Vinculada 37" xfId="5984" xr:uid="{00000000-0005-0000-0000-000046170000}"/>
    <cellStyle name="Célula Vinculada 38" xfId="5985" xr:uid="{00000000-0005-0000-0000-000047170000}"/>
    <cellStyle name="Célula Vinculada 39" xfId="5986" xr:uid="{00000000-0005-0000-0000-000048170000}"/>
    <cellStyle name="Célula Vinculada 4" xfId="5987" xr:uid="{00000000-0005-0000-0000-000049170000}"/>
    <cellStyle name="Célula Vinculada 40" xfId="5988" xr:uid="{00000000-0005-0000-0000-00004A170000}"/>
    <cellStyle name="Célula Vinculada 5" xfId="5989" xr:uid="{00000000-0005-0000-0000-00004B170000}"/>
    <cellStyle name="Célula Vinculada 6" xfId="5990" xr:uid="{00000000-0005-0000-0000-00004C170000}"/>
    <cellStyle name="Célula Vinculada 7" xfId="5991" xr:uid="{00000000-0005-0000-0000-00004D170000}"/>
    <cellStyle name="Célula Vinculada 8" xfId="5992" xr:uid="{00000000-0005-0000-0000-00004E170000}"/>
    <cellStyle name="Célula Vinculada 9" xfId="5993" xr:uid="{00000000-0005-0000-0000-00004F170000}"/>
    <cellStyle name="Center" xfId="5994" xr:uid="{00000000-0005-0000-0000-000050170000}"/>
    <cellStyle name="Center 10" xfId="5995" xr:uid="{00000000-0005-0000-0000-000051170000}"/>
    <cellStyle name="Center 10 2" xfId="5996" xr:uid="{00000000-0005-0000-0000-000052170000}"/>
    <cellStyle name="Center 10 2 2" xfId="5997" xr:uid="{00000000-0005-0000-0000-000053170000}"/>
    <cellStyle name="Center 11" xfId="5998" xr:uid="{00000000-0005-0000-0000-000054170000}"/>
    <cellStyle name="Center 11 2" xfId="5999" xr:uid="{00000000-0005-0000-0000-000055170000}"/>
    <cellStyle name="Center 11 2 2" xfId="6000" xr:uid="{00000000-0005-0000-0000-000056170000}"/>
    <cellStyle name="Center 2" xfId="6001" xr:uid="{00000000-0005-0000-0000-000057170000}"/>
    <cellStyle name="Center 2 2" xfId="6002" xr:uid="{00000000-0005-0000-0000-000058170000}"/>
    <cellStyle name="Center 2 2 10" xfId="6003" xr:uid="{00000000-0005-0000-0000-000059170000}"/>
    <cellStyle name="Center 2 2 10 2" xfId="6004" xr:uid="{00000000-0005-0000-0000-00005A170000}"/>
    <cellStyle name="Center 2 2 10 2 2" xfId="6005" xr:uid="{00000000-0005-0000-0000-00005B170000}"/>
    <cellStyle name="Center 2 2 11" xfId="6006" xr:uid="{00000000-0005-0000-0000-00005C170000}"/>
    <cellStyle name="Center 2 2 11 2" xfId="6007" xr:uid="{00000000-0005-0000-0000-00005D170000}"/>
    <cellStyle name="Center 2 2 11 2 2" xfId="6008" xr:uid="{00000000-0005-0000-0000-00005E170000}"/>
    <cellStyle name="Center 2 2 12" xfId="6009" xr:uid="{00000000-0005-0000-0000-00005F170000}"/>
    <cellStyle name="Center 2 2 12 2" xfId="6010" xr:uid="{00000000-0005-0000-0000-000060170000}"/>
    <cellStyle name="Center 2 2 12 2 2" xfId="6011" xr:uid="{00000000-0005-0000-0000-000061170000}"/>
    <cellStyle name="Center 2 2 13" xfId="6012" xr:uid="{00000000-0005-0000-0000-000062170000}"/>
    <cellStyle name="Center 2 2 13 2" xfId="6013" xr:uid="{00000000-0005-0000-0000-000063170000}"/>
    <cellStyle name="Center 2 2 13 2 2" xfId="6014" xr:uid="{00000000-0005-0000-0000-000064170000}"/>
    <cellStyle name="Center 2 2 14" xfId="6015" xr:uid="{00000000-0005-0000-0000-000065170000}"/>
    <cellStyle name="Center 2 2 14 2" xfId="6016" xr:uid="{00000000-0005-0000-0000-000066170000}"/>
    <cellStyle name="Center 2 2 14 2 2" xfId="6017" xr:uid="{00000000-0005-0000-0000-000067170000}"/>
    <cellStyle name="Center 2 2 15" xfId="6018" xr:uid="{00000000-0005-0000-0000-000068170000}"/>
    <cellStyle name="Center 2 2 15 2" xfId="6019" xr:uid="{00000000-0005-0000-0000-000069170000}"/>
    <cellStyle name="Center 2 2 2" xfId="6020" xr:uid="{00000000-0005-0000-0000-00006A170000}"/>
    <cellStyle name="Center 2 2 2 2" xfId="6021" xr:uid="{00000000-0005-0000-0000-00006B170000}"/>
    <cellStyle name="Center 2 2 2 2 2" xfId="6022" xr:uid="{00000000-0005-0000-0000-00006C170000}"/>
    <cellStyle name="Center 2 2 3" xfId="6023" xr:uid="{00000000-0005-0000-0000-00006D170000}"/>
    <cellStyle name="Center 2 2 3 2" xfId="6024" xr:uid="{00000000-0005-0000-0000-00006E170000}"/>
    <cellStyle name="Center 2 2 3 2 2" xfId="6025" xr:uid="{00000000-0005-0000-0000-00006F170000}"/>
    <cellStyle name="Center 2 2 4" xfId="6026" xr:uid="{00000000-0005-0000-0000-000070170000}"/>
    <cellStyle name="Center 2 2 4 2" xfId="6027" xr:uid="{00000000-0005-0000-0000-000071170000}"/>
    <cellStyle name="Center 2 2 4 2 2" xfId="6028" xr:uid="{00000000-0005-0000-0000-000072170000}"/>
    <cellStyle name="Center 2 2 5" xfId="6029" xr:uid="{00000000-0005-0000-0000-000073170000}"/>
    <cellStyle name="Center 2 2 5 2" xfId="6030" xr:uid="{00000000-0005-0000-0000-000074170000}"/>
    <cellStyle name="Center 2 2 5 2 2" xfId="6031" xr:uid="{00000000-0005-0000-0000-000075170000}"/>
    <cellStyle name="Center 2 2 6" xfId="6032" xr:uid="{00000000-0005-0000-0000-000076170000}"/>
    <cellStyle name="Center 2 2 6 2" xfId="6033" xr:uid="{00000000-0005-0000-0000-000077170000}"/>
    <cellStyle name="Center 2 2 6 2 2" xfId="6034" xr:uid="{00000000-0005-0000-0000-000078170000}"/>
    <cellStyle name="Center 2 2 7" xfId="6035" xr:uid="{00000000-0005-0000-0000-000079170000}"/>
    <cellStyle name="Center 2 2 7 2" xfId="6036" xr:uid="{00000000-0005-0000-0000-00007A170000}"/>
    <cellStyle name="Center 2 2 7 2 2" xfId="6037" xr:uid="{00000000-0005-0000-0000-00007B170000}"/>
    <cellStyle name="Center 2 2 8" xfId="6038" xr:uid="{00000000-0005-0000-0000-00007C170000}"/>
    <cellStyle name="Center 2 2 8 2" xfId="6039" xr:uid="{00000000-0005-0000-0000-00007D170000}"/>
    <cellStyle name="Center 2 2 8 2 2" xfId="6040" xr:uid="{00000000-0005-0000-0000-00007E170000}"/>
    <cellStyle name="Center 2 2 9" xfId="6041" xr:uid="{00000000-0005-0000-0000-00007F170000}"/>
    <cellStyle name="Center 2 2 9 2" xfId="6042" xr:uid="{00000000-0005-0000-0000-000080170000}"/>
    <cellStyle name="Center 2 2 9 2 2" xfId="6043" xr:uid="{00000000-0005-0000-0000-000081170000}"/>
    <cellStyle name="Center 2 3" xfId="6044" xr:uid="{00000000-0005-0000-0000-000082170000}"/>
    <cellStyle name="Center 2 3 2" xfId="6045" xr:uid="{00000000-0005-0000-0000-000083170000}"/>
    <cellStyle name="Center 2 3 2 2" xfId="6046" xr:uid="{00000000-0005-0000-0000-000084170000}"/>
    <cellStyle name="Center 2 4" xfId="6047" xr:uid="{00000000-0005-0000-0000-000085170000}"/>
    <cellStyle name="Center 2 4 2" xfId="6048" xr:uid="{00000000-0005-0000-0000-000086170000}"/>
    <cellStyle name="Center 2 4 2 2" xfId="6049" xr:uid="{00000000-0005-0000-0000-000087170000}"/>
    <cellStyle name="Center 3" xfId="6050" xr:uid="{00000000-0005-0000-0000-000088170000}"/>
    <cellStyle name="Center 3 10" xfId="6051" xr:uid="{00000000-0005-0000-0000-000089170000}"/>
    <cellStyle name="Center 3 10 2" xfId="6052" xr:uid="{00000000-0005-0000-0000-00008A170000}"/>
    <cellStyle name="Center 3 10 2 2" xfId="6053" xr:uid="{00000000-0005-0000-0000-00008B170000}"/>
    <cellStyle name="Center 3 2" xfId="6054" xr:uid="{00000000-0005-0000-0000-00008C170000}"/>
    <cellStyle name="Center 3 2 2" xfId="6055" xr:uid="{00000000-0005-0000-0000-00008D170000}"/>
    <cellStyle name="Center 3 2 2 2" xfId="6056" xr:uid="{00000000-0005-0000-0000-00008E170000}"/>
    <cellStyle name="Center 3 2 2 2 2" xfId="6057" xr:uid="{00000000-0005-0000-0000-00008F170000}"/>
    <cellStyle name="Center 3 2 2 2 2 2" xfId="6058" xr:uid="{00000000-0005-0000-0000-000090170000}"/>
    <cellStyle name="Center 3 2 3" xfId="6059" xr:uid="{00000000-0005-0000-0000-000091170000}"/>
    <cellStyle name="Center 3 2 3 2" xfId="6060" xr:uid="{00000000-0005-0000-0000-000092170000}"/>
    <cellStyle name="Center 3 2 3 2 2" xfId="6061" xr:uid="{00000000-0005-0000-0000-000093170000}"/>
    <cellStyle name="Center 3 3" xfId="6062" xr:uid="{00000000-0005-0000-0000-000094170000}"/>
    <cellStyle name="Center 3 3 2" xfId="6063" xr:uid="{00000000-0005-0000-0000-000095170000}"/>
    <cellStyle name="Center 3 3 2 2" xfId="6064" xr:uid="{00000000-0005-0000-0000-000096170000}"/>
    <cellStyle name="Center 3 3 2 2 2" xfId="6065" xr:uid="{00000000-0005-0000-0000-000097170000}"/>
    <cellStyle name="Center 3 3 2 2 2 2" xfId="6066" xr:uid="{00000000-0005-0000-0000-000098170000}"/>
    <cellStyle name="Center 3 3 3" xfId="6067" xr:uid="{00000000-0005-0000-0000-000099170000}"/>
    <cellStyle name="Center 3 3 3 2" xfId="6068" xr:uid="{00000000-0005-0000-0000-00009A170000}"/>
    <cellStyle name="Center 3 3 3 2 2" xfId="6069" xr:uid="{00000000-0005-0000-0000-00009B170000}"/>
    <cellStyle name="Center 3 4" xfId="6070" xr:uid="{00000000-0005-0000-0000-00009C170000}"/>
    <cellStyle name="Center 3 4 2" xfId="6071" xr:uid="{00000000-0005-0000-0000-00009D170000}"/>
    <cellStyle name="Center 3 4 2 2" xfId="6072" xr:uid="{00000000-0005-0000-0000-00009E170000}"/>
    <cellStyle name="Center 3 4 2 2 2" xfId="6073" xr:uid="{00000000-0005-0000-0000-00009F170000}"/>
    <cellStyle name="Center 3 5" xfId="6074" xr:uid="{00000000-0005-0000-0000-0000A0170000}"/>
    <cellStyle name="Center 3 5 2" xfId="6075" xr:uid="{00000000-0005-0000-0000-0000A1170000}"/>
    <cellStyle name="Center 3 5 2 2" xfId="6076" xr:uid="{00000000-0005-0000-0000-0000A2170000}"/>
    <cellStyle name="Center 3 6" xfId="6077" xr:uid="{00000000-0005-0000-0000-0000A3170000}"/>
    <cellStyle name="Center 3 6 2" xfId="6078" xr:uid="{00000000-0005-0000-0000-0000A4170000}"/>
    <cellStyle name="Center 3 6 2 2" xfId="6079" xr:uid="{00000000-0005-0000-0000-0000A5170000}"/>
    <cellStyle name="Center 3 7" xfId="6080" xr:uid="{00000000-0005-0000-0000-0000A6170000}"/>
    <cellStyle name="Center 3 7 2" xfId="6081" xr:uid="{00000000-0005-0000-0000-0000A7170000}"/>
    <cellStyle name="Center 3 7 2 2" xfId="6082" xr:uid="{00000000-0005-0000-0000-0000A8170000}"/>
    <cellStyle name="Center 3 8" xfId="6083" xr:uid="{00000000-0005-0000-0000-0000A9170000}"/>
    <cellStyle name="Center 3 8 2" xfId="6084" xr:uid="{00000000-0005-0000-0000-0000AA170000}"/>
    <cellStyle name="Center 3 8 2 2" xfId="6085" xr:uid="{00000000-0005-0000-0000-0000AB170000}"/>
    <cellStyle name="Center 3 9" xfId="6086" xr:uid="{00000000-0005-0000-0000-0000AC170000}"/>
    <cellStyle name="Center 3 9 2" xfId="6087" xr:uid="{00000000-0005-0000-0000-0000AD170000}"/>
    <cellStyle name="Center 3 9 2 2" xfId="6088" xr:uid="{00000000-0005-0000-0000-0000AE170000}"/>
    <cellStyle name="Center 4" xfId="6089" xr:uid="{00000000-0005-0000-0000-0000AF170000}"/>
    <cellStyle name="Center 4 10" xfId="6090" xr:uid="{00000000-0005-0000-0000-0000B0170000}"/>
    <cellStyle name="Center 4 10 2" xfId="6091" xr:uid="{00000000-0005-0000-0000-0000B1170000}"/>
    <cellStyle name="Center 4 10 2 2" xfId="6092" xr:uid="{00000000-0005-0000-0000-0000B2170000}"/>
    <cellStyle name="Center 4 11" xfId="6093" xr:uid="{00000000-0005-0000-0000-0000B3170000}"/>
    <cellStyle name="Center 4 11 2" xfId="6094" xr:uid="{00000000-0005-0000-0000-0000B4170000}"/>
    <cellStyle name="Center 4 11 2 2" xfId="6095" xr:uid="{00000000-0005-0000-0000-0000B5170000}"/>
    <cellStyle name="Center 4 12" xfId="6096" xr:uid="{00000000-0005-0000-0000-0000B6170000}"/>
    <cellStyle name="Center 4 12 2" xfId="6097" xr:uid="{00000000-0005-0000-0000-0000B7170000}"/>
    <cellStyle name="Center 4 12 2 2" xfId="6098" xr:uid="{00000000-0005-0000-0000-0000B8170000}"/>
    <cellStyle name="Center 4 13" xfId="6099" xr:uid="{00000000-0005-0000-0000-0000B9170000}"/>
    <cellStyle name="Center 4 13 2" xfId="6100" xr:uid="{00000000-0005-0000-0000-0000BA170000}"/>
    <cellStyle name="Center 4 13 2 2" xfId="6101" xr:uid="{00000000-0005-0000-0000-0000BB170000}"/>
    <cellStyle name="Center 4 14" xfId="6102" xr:uid="{00000000-0005-0000-0000-0000BC170000}"/>
    <cellStyle name="Center 4 14 2" xfId="6103" xr:uid="{00000000-0005-0000-0000-0000BD170000}"/>
    <cellStyle name="Center 4 14 2 2" xfId="6104" xr:uid="{00000000-0005-0000-0000-0000BE170000}"/>
    <cellStyle name="Center 4 2" xfId="6105" xr:uid="{00000000-0005-0000-0000-0000BF170000}"/>
    <cellStyle name="Center 4 2 2" xfId="6106" xr:uid="{00000000-0005-0000-0000-0000C0170000}"/>
    <cellStyle name="Center 4 2 2 2" xfId="6107" xr:uid="{00000000-0005-0000-0000-0000C1170000}"/>
    <cellStyle name="Center 4 2 2 2 2" xfId="6108" xr:uid="{00000000-0005-0000-0000-0000C2170000}"/>
    <cellStyle name="Center 4 2 2 2 2 2" xfId="6109" xr:uid="{00000000-0005-0000-0000-0000C3170000}"/>
    <cellStyle name="Center 4 2 3" xfId="6110" xr:uid="{00000000-0005-0000-0000-0000C4170000}"/>
    <cellStyle name="Center 4 2 3 2" xfId="6111" xr:uid="{00000000-0005-0000-0000-0000C5170000}"/>
    <cellStyle name="Center 4 2 3 2 2" xfId="6112" xr:uid="{00000000-0005-0000-0000-0000C6170000}"/>
    <cellStyle name="Center 4 3" xfId="6113" xr:uid="{00000000-0005-0000-0000-0000C7170000}"/>
    <cellStyle name="Center 4 3 2" xfId="6114" xr:uid="{00000000-0005-0000-0000-0000C8170000}"/>
    <cellStyle name="Center 4 3 2 2" xfId="6115" xr:uid="{00000000-0005-0000-0000-0000C9170000}"/>
    <cellStyle name="Center 4 3 2 2 2" xfId="6116" xr:uid="{00000000-0005-0000-0000-0000CA170000}"/>
    <cellStyle name="Center 4 3 2 2 2 2" xfId="6117" xr:uid="{00000000-0005-0000-0000-0000CB170000}"/>
    <cellStyle name="Center 4 3 3" xfId="6118" xr:uid="{00000000-0005-0000-0000-0000CC170000}"/>
    <cellStyle name="Center 4 3 3 2" xfId="6119" xr:uid="{00000000-0005-0000-0000-0000CD170000}"/>
    <cellStyle name="Center 4 3 3 2 2" xfId="6120" xr:uid="{00000000-0005-0000-0000-0000CE170000}"/>
    <cellStyle name="Center 4 4" xfId="6121" xr:uid="{00000000-0005-0000-0000-0000CF170000}"/>
    <cellStyle name="Center 4 4 2" xfId="6122" xr:uid="{00000000-0005-0000-0000-0000D0170000}"/>
    <cellStyle name="Center 4 4 2 2" xfId="6123" xr:uid="{00000000-0005-0000-0000-0000D1170000}"/>
    <cellStyle name="Center 4 4 2 2 2" xfId="6124" xr:uid="{00000000-0005-0000-0000-0000D2170000}"/>
    <cellStyle name="Center 4 5" xfId="6125" xr:uid="{00000000-0005-0000-0000-0000D3170000}"/>
    <cellStyle name="Center 4 5 2" xfId="6126" xr:uid="{00000000-0005-0000-0000-0000D4170000}"/>
    <cellStyle name="Center 4 5 2 2" xfId="6127" xr:uid="{00000000-0005-0000-0000-0000D5170000}"/>
    <cellStyle name="Center 4 6" xfId="6128" xr:uid="{00000000-0005-0000-0000-0000D6170000}"/>
    <cellStyle name="Center 4 6 2" xfId="6129" xr:uid="{00000000-0005-0000-0000-0000D7170000}"/>
    <cellStyle name="Center 4 6 2 2" xfId="6130" xr:uid="{00000000-0005-0000-0000-0000D8170000}"/>
    <cellStyle name="Center 4 7" xfId="6131" xr:uid="{00000000-0005-0000-0000-0000D9170000}"/>
    <cellStyle name="Center 4 7 2" xfId="6132" xr:uid="{00000000-0005-0000-0000-0000DA170000}"/>
    <cellStyle name="Center 4 7 2 2" xfId="6133" xr:uid="{00000000-0005-0000-0000-0000DB170000}"/>
    <cellStyle name="Center 4 8" xfId="6134" xr:uid="{00000000-0005-0000-0000-0000DC170000}"/>
    <cellStyle name="Center 4 8 2" xfId="6135" xr:uid="{00000000-0005-0000-0000-0000DD170000}"/>
    <cellStyle name="Center 4 8 2 2" xfId="6136" xr:uid="{00000000-0005-0000-0000-0000DE170000}"/>
    <cellStyle name="Center 4 9" xfId="6137" xr:uid="{00000000-0005-0000-0000-0000DF170000}"/>
    <cellStyle name="Center 4 9 2" xfId="6138" xr:uid="{00000000-0005-0000-0000-0000E0170000}"/>
    <cellStyle name="Center 4 9 2 2" xfId="6139" xr:uid="{00000000-0005-0000-0000-0000E1170000}"/>
    <cellStyle name="Center 5" xfId="6140" xr:uid="{00000000-0005-0000-0000-0000E2170000}"/>
    <cellStyle name="Center 5 10" xfId="6141" xr:uid="{00000000-0005-0000-0000-0000E3170000}"/>
    <cellStyle name="Center 5 10 2" xfId="6142" xr:uid="{00000000-0005-0000-0000-0000E4170000}"/>
    <cellStyle name="Center 5 10 2 2" xfId="6143" xr:uid="{00000000-0005-0000-0000-0000E5170000}"/>
    <cellStyle name="Center 5 11" xfId="6144" xr:uid="{00000000-0005-0000-0000-0000E6170000}"/>
    <cellStyle name="Center 5 11 2" xfId="6145" xr:uid="{00000000-0005-0000-0000-0000E7170000}"/>
    <cellStyle name="Center 5 11 2 2" xfId="6146" xr:uid="{00000000-0005-0000-0000-0000E8170000}"/>
    <cellStyle name="Center 5 12" xfId="6147" xr:uid="{00000000-0005-0000-0000-0000E9170000}"/>
    <cellStyle name="Center 5 12 2" xfId="6148" xr:uid="{00000000-0005-0000-0000-0000EA170000}"/>
    <cellStyle name="Center 5 12 2 2" xfId="6149" xr:uid="{00000000-0005-0000-0000-0000EB170000}"/>
    <cellStyle name="Center 5 13" xfId="6150" xr:uid="{00000000-0005-0000-0000-0000EC170000}"/>
    <cellStyle name="Center 5 13 2" xfId="6151" xr:uid="{00000000-0005-0000-0000-0000ED170000}"/>
    <cellStyle name="Center 5 13 2 2" xfId="6152" xr:uid="{00000000-0005-0000-0000-0000EE170000}"/>
    <cellStyle name="Center 5 14" xfId="6153" xr:uid="{00000000-0005-0000-0000-0000EF170000}"/>
    <cellStyle name="Center 5 14 2" xfId="6154" xr:uid="{00000000-0005-0000-0000-0000F0170000}"/>
    <cellStyle name="Center 5 14 2 2" xfId="6155" xr:uid="{00000000-0005-0000-0000-0000F1170000}"/>
    <cellStyle name="Center 5 2" xfId="6156" xr:uid="{00000000-0005-0000-0000-0000F2170000}"/>
    <cellStyle name="Center 5 2 2" xfId="6157" xr:uid="{00000000-0005-0000-0000-0000F3170000}"/>
    <cellStyle name="Center 5 2 2 2" xfId="6158" xr:uid="{00000000-0005-0000-0000-0000F4170000}"/>
    <cellStyle name="Center 5 3" xfId="6159" xr:uid="{00000000-0005-0000-0000-0000F5170000}"/>
    <cellStyle name="Center 5 3 2" xfId="6160" xr:uid="{00000000-0005-0000-0000-0000F6170000}"/>
    <cellStyle name="Center 5 3 2 2" xfId="6161" xr:uid="{00000000-0005-0000-0000-0000F7170000}"/>
    <cellStyle name="Center 5 4" xfId="6162" xr:uid="{00000000-0005-0000-0000-0000F8170000}"/>
    <cellStyle name="Center 5 4 2" xfId="6163" xr:uid="{00000000-0005-0000-0000-0000F9170000}"/>
    <cellStyle name="Center 5 4 2 2" xfId="6164" xr:uid="{00000000-0005-0000-0000-0000FA170000}"/>
    <cellStyle name="Center 5 5" xfId="6165" xr:uid="{00000000-0005-0000-0000-0000FB170000}"/>
    <cellStyle name="Center 5 5 2" xfId="6166" xr:uid="{00000000-0005-0000-0000-0000FC170000}"/>
    <cellStyle name="Center 5 5 2 2" xfId="6167" xr:uid="{00000000-0005-0000-0000-0000FD170000}"/>
    <cellStyle name="Center 5 6" xfId="6168" xr:uid="{00000000-0005-0000-0000-0000FE170000}"/>
    <cellStyle name="Center 5 6 2" xfId="6169" xr:uid="{00000000-0005-0000-0000-0000FF170000}"/>
    <cellStyle name="Center 5 6 2 2" xfId="6170" xr:uid="{00000000-0005-0000-0000-000000180000}"/>
    <cellStyle name="Center 5 7" xfId="6171" xr:uid="{00000000-0005-0000-0000-000001180000}"/>
    <cellStyle name="Center 5 7 2" xfId="6172" xr:uid="{00000000-0005-0000-0000-000002180000}"/>
    <cellStyle name="Center 5 7 2 2" xfId="6173" xr:uid="{00000000-0005-0000-0000-000003180000}"/>
    <cellStyle name="Center 5 8" xfId="6174" xr:uid="{00000000-0005-0000-0000-000004180000}"/>
    <cellStyle name="Center 5 8 2" xfId="6175" xr:uid="{00000000-0005-0000-0000-000005180000}"/>
    <cellStyle name="Center 5 8 2 2" xfId="6176" xr:uid="{00000000-0005-0000-0000-000006180000}"/>
    <cellStyle name="Center 5 9" xfId="6177" xr:uid="{00000000-0005-0000-0000-000007180000}"/>
    <cellStyle name="Center 5 9 2" xfId="6178" xr:uid="{00000000-0005-0000-0000-000008180000}"/>
    <cellStyle name="Center 5 9 2 2" xfId="6179" xr:uid="{00000000-0005-0000-0000-000009180000}"/>
    <cellStyle name="Center 6" xfId="6180" xr:uid="{00000000-0005-0000-0000-00000A180000}"/>
    <cellStyle name="Center 6 2" xfId="6181" xr:uid="{00000000-0005-0000-0000-00000B180000}"/>
    <cellStyle name="Center 6 2 2" xfId="6182" xr:uid="{00000000-0005-0000-0000-00000C180000}"/>
    <cellStyle name="Center 7" xfId="6183" xr:uid="{00000000-0005-0000-0000-00000D180000}"/>
    <cellStyle name="Center 7 2" xfId="6184" xr:uid="{00000000-0005-0000-0000-00000E180000}"/>
    <cellStyle name="Center 7 2 2" xfId="6185" xr:uid="{00000000-0005-0000-0000-00000F180000}"/>
    <cellStyle name="Center 8" xfId="6186" xr:uid="{00000000-0005-0000-0000-000010180000}"/>
    <cellStyle name="Center 8 2" xfId="6187" xr:uid="{00000000-0005-0000-0000-000011180000}"/>
    <cellStyle name="Center 8 2 2" xfId="6188" xr:uid="{00000000-0005-0000-0000-000012180000}"/>
    <cellStyle name="Center 9" xfId="6189" xr:uid="{00000000-0005-0000-0000-000013180000}"/>
    <cellStyle name="Center 9 2" xfId="6190" xr:uid="{00000000-0005-0000-0000-000014180000}"/>
    <cellStyle name="Center 9 2 2" xfId="6191" xr:uid="{00000000-0005-0000-0000-000015180000}"/>
    <cellStyle name="Cents" xfId="6192" xr:uid="{00000000-0005-0000-0000-000016180000}"/>
    <cellStyle name="Cents 10" xfId="6193" xr:uid="{00000000-0005-0000-0000-000017180000}"/>
    <cellStyle name="Cents 11" xfId="6194" xr:uid="{00000000-0005-0000-0000-000018180000}"/>
    <cellStyle name="Cents 12" xfId="6195" xr:uid="{00000000-0005-0000-0000-000019180000}"/>
    <cellStyle name="Cents 13" xfId="6196" xr:uid="{00000000-0005-0000-0000-00001A180000}"/>
    <cellStyle name="Cents 14" xfId="6197" xr:uid="{00000000-0005-0000-0000-00001B180000}"/>
    <cellStyle name="Cents 15" xfId="6198" xr:uid="{00000000-0005-0000-0000-00001C180000}"/>
    <cellStyle name="Cents 16" xfId="6199" xr:uid="{00000000-0005-0000-0000-00001D180000}"/>
    <cellStyle name="Cents 17" xfId="6200" xr:uid="{00000000-0005-0000-0000-00001E180000}"/>
    <cellStyle name="Cents 18" xfId="6201" xr:uid="{00000000-0005-0000-0000-00001F180000}"/>
    <cellStyle name="Cents 19" xfId="6202" xr:uid="{00000000-0005-0000-0000-000020180000}"/>
    <cellStyle name="Cents 2" xfId="6203" xr:uid="{00000000-0005-0000-0000-000021180000}"/>
    <cellStyle name="Cents 2 10" xfId="6204" xr:uid="{00000000-0005-0000-0000-000022180000}"/>
    <cellStyle name="Cents 2 11" xfId="6205" xr:uid="{00000000-0005-0000-0000-000023180000}"/>
    <cellStyle name="Cents 2 2" xfId="6206" xr:uid="{00000000-0005-0000-0000-000024180000}"/>
    <cellStyle name="Cents 2 2 2" xfId="6207" xr:uid="{00000000-0005-0000-0000-000025180000}"/>
    <cellStyle name="Cents 2 2 3" xfId="6208" xr:uid="{00000000-0005-0000-0000-000026180000}"/>
    <cellStyle name="Cents 2 2 4" xfId="6209" xr:uid="{00000000-0005-0000-0000-000027180000}"/>
    <cellStyle name="Cents 2 2 5" xfId="6210" xr:uid="{00000000-0005-0000-0000-000028180000}"/>
    <cellStyle name="Cents 2 2 6" xfId="6211" xr:uid="{00000000-0005-0000-0000-000029180000}"/>
    <cellStyle name="Cents 2 2 7" xfId="6212" xr:uid="{00000000-0005-0000-0000-00002A180000}"/>
    <cellStyle name="Cents 2 2 8" xfId="6213" xr:uid="{00000000-0005-0000-0000-00002B180000}"/>
    <cellStyle name="Cents 2 2 9" xfId="6214" xr:uid="{00000000-0005-0000-0000-00002C180000}"/>
    <cellStyle name="Cents 2 3" xfId="6215" xr:uid="{00000000-0005-0000-0000-00002D180000}"/>
    <cellStyle name="Cents 2 3 2" xfId="6216" xr:uid="{00000000-0005-0000-0000-00002E180000}"/>
    <cellStyle name="Cents 2 3 3" xfId="6217" xr:uid="{00000000-0005-0000-0000-00002F180000}"/>
    <cellStyle name="Cents 2 3 4" xfId="6218" xr:uid="{00000000-0005-0000-0000-000030180000}"/>
    <cellStyle name="Cents 2 3 5" xfId="6219" xr:uid="{00000000-0005-0000-0000-000031180000}"/>
    <cellStyle name="Cents 2 3 6" xfId="6220" xr:uid="{00000000-0005-0000-0000-000032180000}"/>
    <cellStyle name="Cents 2 3 7" xfId="6221" xr:uid="{00000000-0005-0000-0000-000033180000}"/>
    <cellStyle name="Cents 2 3 8" xfId="6222" xr:uid="{00000000-0005-0000-0000-000034180000}"/>
    <cellStyle name="Cents 2 3 9" xfId="6223" xr:uid="{00000000-0005-0000-0000-000035180000}"/>
    <cellStyle name="Cents 2 4" xfId="6224" xr:uid="{00000000-0005-0000-0000-000036180000}"/>
    <cellStyle name="Cents 2 5" xfId="6225" xr:uid="{00000000-0005-0000-0000-000037180000}"/>
    <cellStyle name="Cents 2 6" xfId="6226" xr:uid="{00000000-0005-0000-0000-000038180000}"/>
    <cellStyle name="Cents 2 7" xfId="6227" xr:uid="{00000000-0005-0000-0000-000039180000}"/>
    <cellStyle name="Cents 2 8" xfId="6228" xr:uid="{00000000-0005-0000-0000-00003A180000}"/>
    <cellStyle name="Cents 2 9" xfId="6229" xr:uid="{00000000-0005-0000-0000-00003B180000}"/>
    <cellStyle name="Cents 20" xfId="6230" xr:uid="{00000000-0005-0000-0000-00003C180000}"/>
    <cellStyle name="Cents 3" xfId="6231" xr:uid="{00000000-0005-0000-0000-00003D180000}"/>
    <cellStyle name="Cents 3 2" xfId="6232" xr:uid="{00000000-0005-0000-0000-00003E180000}"/>
    <cellStyle name="Cents 3 2 2" xfId="6233" xr:uid="{00000000-0005-0000-0000-00003F180000}"/>
    <cellStyle name="Cents 3 3" xfId="6234" xr:uid="{00000000-0005-0000-0000-000040180000}"/>
    <cellStyle name="Cents 3 3 2" xfId="6235" xr:uid="{00000000-0005-0000-0000-000041180000}"/>
    <cellStyle name="Cents 3 4" xfId="6236" xr:uid="{00000000-0005-0000-0000-000042180000}"/>
    <cellStyle name="Cents 3 5" xfId="6237" xr:uid="{00000000-0005-0000-0000-000043180000}"/>
    <cellStyle name="Cents 3 6" xfId="6238" xr:uid="{00000000-0005-0000-0000-000044180000}"/>
    <cellStyle name="Cents 3 7" xfId="6239" xr:uid="{00000000-0005-0000-0000-000045180000}"/>
    <cellStyle name="Cents 3 8" xfId="6240" xr:uid="{00000000-0005-0000-0000-000046180000}"/>
    <cellStyle name="Cents 3 9" xfId="6241" xr:uid="{00000000-0005-0000-0000-000047180000}"/>
    <cellStyle name="Cents 4" xfId="6242" xr:uid="{00000000-0005-0000-0000-000048180000}"/>
    <cellStyle name="Cents 4 2" xfId="6243" xr:uid="{00000000-0005-0000-0000-000049180000}"/>
    <cellStyle name="Cents 4 2 2" xfId="6244" xr:uid="{00000000-0005-0000-0000-00004A180000}"/>
    <cellStyle name="Cents 4 3" xfId="6245" xr:uid="{00000000-0005-0000-0000-00004B180000}"/>
    <cellStyle name="Cents 4 3 2" xfId="6246" xr:uid="{00000000-0005-0000-0000-00004C180000}"/>
    <cellStyle name="Cents 4 4" xfId="6247" xr:uid="{00000000-0005-0000-0000-00004D180000}"/>
    <cellStyle name="Cents 4 5" xfId="6248" xr:uid="{00000000-0005-0000-0000-00004E180000}"/>
    <cellStyle name="Cents 4 6" xfId="6249" xr:uid="{00000000-0005-0000-0000-00004F180000}"/>
    <cellStyle name="Cents 4 7" xfId="6250" xr:uid="{00000000-0005-0000-0000-000050180000}"/>
    <cellStyle name="Cents 4 8" xfId="6251" xr:uid="{00000000-0005-0000-0000-000051180000}"/>
    <cellStyle name="Cents 4 9" xfId="6252" xr:uid="{00000000-0005-0000-0000-000052180000}"/>
    <cellStyle name="Cents 5" xfId="6253" xr:uid="{00000000-0005-0000-0000-000053180000}"/>
    <cellStyle name="Cents 5 2" xfId="6254" xr:uid="{00000000-0005-0000-0000-000054180000}"/>
    <cellStyle name="Cents 5 2 2" xfId="6255" xr:uid="{00000000-0005-0000-0000-000055180000}"/>
    <cellStyle name="Cents 5 3" xfId="6256" xr:uid="{00000000-0005-0000-0000-000056180000}"/>
    <cellStyle name="Cents 5 3 2" xfId="6257" xr:uid="{00000000-0005-0000-0000-000057180000}"/>
    <cellStyle name="Cents 5 4" xfId="6258" xr:uid="{00000000-0005-0000-0000-000058180000}"/>
    <cellStyle name="Cents 5 5" xfId="6259" xr:uid="{00000000-0005-0000-0000-000059180000}"/>
    <cellStyle name="Cents 5 6" xfId="6260" xr:uid="{00000000-0005-0000-0000-00005A180000}"/>
    <cellStyle name="Cents 5 7" xfId="6261" xr:uid="{00000000-0005-0000-0000-00005B180000}"/>
    <cellStyle name="Cents 5 8" xfId="6262" xr:uid="{00000000-0005-0000-0000-00005C180000}"/>
    <cellStyle name="Cents 5 9" xfId="6263" xr:uid="{00000000-0005-0000-0000-00005D180000}"/>
    <cellStyle name="Cents 6" xfId="6264" xr:uid="{00000000-0005-0000-0000-00005E180000}"/>
    <cellStyle name="Cents 6 2" xfId="6265" xr:uid="{00000000-0005-0000-0000-00005F180000}"/>
    <cellStyle name="Cents 6 2 2" xfId="6266" xr:uid="{00000000-0005-0000-0000-000060180000}"/>
    <cellStyle name="Cents 6 3" xfId="6267" xr:uid="{00000000-0005-0000-0000-000061180000}"/>
    <cellStyle name="Cents 6 3 2" xfId="6268" xr:uid="{00000000-0005-0000-0000-000062180000}"/>
    <cellStyle name="Cents 6 4" xfId="6269" xr:uid="{00000000-0005-0000-0000-000063180000}"/>
    <cellStyle name="Cents 7" xfId="6270" xr:uid="{00000000-0005-0000-0000-000064180000}"/>
    <cellStyle name="Cents 7 2" xfId="6271" xr:uid="{00000000-0005-0000-0000-000065180000}"/>
    <cellStyle name="Cents 7 2 2" xfId="6272" xr:uid="{00000000-0005-0000-0000-000066180000}"/>
    <cellStyle name="Cents 7 3" xfId="6273" xr:uid="{00000000-0005-0000-0000-000067180000}"/>
    <cellStyle name="Cents 7 3 2" xfId="6274" xr:uid="{00000000-0005-0000-0000-000068180000}"/>
    <cellStyle name="Cents 7 4" xfId="6275" xr:uid="{00000000-0005-0000-0000-000069180000}"/>
    <cellStyle name="Cents 8" xfId="6276" xr:uid="{00000000-0005-0000-0000-00006A180000}"/>
    <cellStyle name="Cents 9" xfId="6277" xr:uid="{00000000-0005-0000-0000-00006B180000}"/>
    <cellStyle name="Check Cell 2" xfId="6278" xr:uid="{00000000-0005-0000-0000-00006C180000}"/>
    <cellStyle name="Check Cell 2 2" xfId="6279" xr:uid="{00000000-0005-0000-0000-00006D180000}"/>
    <cellStyle name="Check Cell 2 2 2" xfId="6280" xr:uid="{00000000-0005-0000-0000-00006E180000}"/>
    <cellStyle name="Check Cell 2 3" xfId="6281" xr:uid="{00000000-0005-0000-0000-00006F180000}"/>
    <cellStyle name="claire" xfId="6282" xr:uid="{00000000-0005-0000-0000-000070180000}"/>
    <cellStyle name="Co. Names" xfId="6283" xr:uid="{00000000-0005-0000-0000-000071180000}"/>
    <cellStyle name="Co. Names - Bold" xfId="6284" xr:uid="{00000000-0005-0000-0000-000072180000}"/>
    <cellStyle name="Co. Names_Bioenergia_Model_259" xfId="6285" xr:uid="{00000000-0005-0000-0000-000073180000}"/>
    <cellStyle name="Code" xfId="6286" xr:uid="{00000000-0005-0000-0000-000074180000}"/>
    <cellStyle name="Code 2" xfId="6287" xr:uid="{00000000-0005-0000-0000-000075180000}"/>
    <cellStyle name="Code Section" xfId="6288" xr:uid="{00000000-0005-0000-0000-000076180000}"/>
    <cellStyle name="Code Section 2" xfId="6289" xr:uid="{00000000-0005-0000-0000-000077180000}"/>
    <cellStyle name="Code Section 2 2" xfId="6290" xr:uid="{00000000-0005-0000-0000-000078180000}"/>
    <cellStyle name="Code Section 2 2 2" xfId="6291" xr:uid="{00000000-0005-0000-0000-000079180000}"/>
    <cellStyle name="Code Section 2 3" xfId="6292" xr:uid="{00000000-0005-0000-0000-00007A180000}"/>
    <cellStyle name="Code Section 3" xfId="6293" xr:uid="{00000000-0005-0000-0000-00007B180000}"/>
    <cellStyle name="Code Section 3 2" xfId="6294" xr:uid="{00000000-0005-0000-0000-00007C180000}"/>
    <cellStyle name="Code Section 4" xfId="6295" xr:uid="{00000000-0005-0000-0000-00007D180000}"/>
    <cellStyle name="COL HEADINGS" xfId="6296" xr:uid="{00000000-0005-0000-0000-00007E180000}"/>
    <cellStyle name="COL HEADINGS 10" xfId="6297" xr:uid="{00000000-0005-0000-0000-00007F180000}"/>
    <cellStyle name="COL HEADINGS 10 2" xfId="6298" xr:uid="{00000000-0005-0000-0000-000080180000}"/>
    <cellStyle name="COL HEADINGS 10 2 2" xfId="6299" xr:uid="{00000000-0005-0000-0000-000081180000}"/>
    <cellStyle name="COL HEADINGS 11" xfId="6300" xr:uid="{00000000-0005-0000-0000-000082180000}"/>
    <cellStyle name="COL HEADINGS 11 2" xfId="6301" xr:uid="{00000000-0005-0000-0000-000083180000}"/>
    <cellStyle name="COL HEADINGS 11 2 2" xfId="6302" xr:uid="{00000000-0005-0000-0000-000084180000}"/>
    <cellStyle name="COL HEADINGS 2" xfId="6303" xr:uid="{00000000-0005-0000-0000-000085180000}"/>
    <cellStyle name="COL HEADINGS 2 2" xfId="6304" xr:uid="{00000000-0005-0000-0000-000086180000}"/>
    <cellStyle name="COL HEADINGS 2 2 10" xfId="6305" xr:uid="{00000000-0005-0000-0000-000087180000}"/>
    <cellStyle name="COL HEADINGS 2 2 10 2" xfId="6306" xr:uid="{00000000-0005-0000-0000-000088180000}"/>
    <cellStyle name="COL HEADINGS 2 2 10 2 2" xfId="6307" xr:uid="{00000000-0005-0000-0000-000089180000}"/>
    <cellStyle name="COL HEADINGS 2 2 11" xfId="6308" xr:uid="{00000000-0005-0000-0000-00008A180000}"/>
    <cellStyle name="COL HEADINGS 2 2 11 2" xfId="6309" xr:uid="{00000000-0005-0000-0000-00008B180000}"/>
    <cellStyle name="COL HEADINGS 2 2 11 2 2" xfId="6310" xr:uid="{00000000-0005-0000-0000-00008C180000}"/>
    <cellStyle name="COL HEADINGS 2 2 12" xfId="6311" xr:uid="{00000000-0005-0000-0000-00008D180000}"/>
    <cellStyle name="COL HEADINGS 2 2 12 2" xfId="6312" xr:uid="{00000000-0005-0000-0000-00008E180000}"/>
    <cellStyle name="COL HEADINGS 2 2 12 2 2" xfId="6313" xr:uid="{00000000-0005-0000-0000-00008F180000}"/>
    <cellStyle name="COL HEADINGS 2 2 13" xfId="6314" xr:uid="{00000000-0005-0000-0000-000090180000}"/>
    <cellStyle name="COL HEADINGS 2 2 13 2" xfId="6315" xr:uid="{00000000-0005-0000-0000-000091180000}"/>
    <cellStyle name="COL HEADINGS 2 2 13 2 2" xfId="6316" xr:uid="{00000000-0005-0000-0000-000092180000}"/>
    <cellStyle name="COL HEADINGS 2 2 14" xfId="6317" xr:uid="{00000000-0005-0000-0000-000093180000}"/>
    <cellStyle name="COL HEADINGS 2 2 14 2" xfId="6318" xr:uid="{00000000-0005-0000-0000-000094180000}"/>
    <cellStyle name="COL HEADINGS 2 2 14 2 2" xfId="6319" xr:uid="{00000000-0005-0000-0000-000095180000}"/>
    <cellStyle name="COL HEADINGS 2 2 15" xfId="6320" xr:uid="{00000000-0005-0000-0000-000096180000}"/>
    <cellStyle name="COL HEADINGS 2 2 15 2" xfId="6321" xr:uid="{00000000-0005-0000-0000-000097180000}"/>
    <cellStyle name="COL HEADINGS 2 2 2" xfId="6322" xr:uid="{00000000-0005-0000-0000-000098180000}"/>
    <cellStyle name="COL HEADINGS 2 2 2 2" xfId="6323" xr:uid="{00000000-0005-0000-0000-000099180000}"/>
    <cellStyle name="COL HEADINGS 2 2 2 2 2" xfId="6324" xr:uid="{00000000-0005-0000-0000-00009A180000}"/>
    <cellStyle name="COL HEADINGS 2 2 3" xfId="6325" xr:uid="{00000000-0005-0000-0000-00009B180000}"/>
    <cellStyle name="COL HEADINGS 2 2 3 2" xfId="6326" xr:uid="{00000000-0005-0000-0000-00009C180000}"/>
    <cellStyle name="COL HEADINGS 2 2 3 2 2" xfId="6327" xr:uid="{00000000-0005-0000-0000-00009D180000}"/>
    <cellStyle name="COL HEADINGS 2 2 4" xfId="6328" xr:uid="{00000000-0005-0000-0000-00009E180000}"/>
    <cellStyle name="COL HEADINGS 2 2 4 2" xfId="6329" xr:uid="{00000000-0005-0000-0000-00009F180000}"/>
    <cellStyle name="COL HEADINGS 2 2 4 2 2" xfId="6330" xr:uid="{00000000-0005-0000-0000-0000A0180000}"/>
    <cellStyle name="COL HEADINGS 2 2 5" xfId="6331" xr:uid="{00000000-0005-0000-0000-0000A1180000}"/>
    <cellStyle name="COL HEADINGS 2 2 5 2" xfId="6332" xr:uid="{00000000-0005-0000-0000-0000A2180000}"/>
    <cellStyle name="COL HEADINGS 2 2 5 2 2" xfId="6333" xr:uid="{00000000-0005-0000-0000-0000A3180000}"/>
    <cellStyle name="COL HEADINGS 2 2 6" xfId="6334" xr:uid="{00000000-0005-0000-0000-0000A4180000}"/>
    <cellStyle name="COL HEADINGS 2 2 6 2" xfId="6335" xr:uid="{00000000-0005-0000-0000-0000A5180000}"/>
    <cellStyle name="COL HEADINGS 2 2 6 2 2" xfId="6336" xr:uid="{00000000-0005-0000-0000-0000A6180000}"/>
    <cellStyle name="COL HEADINGS 2 2 7" xfId="6337" xr:uid="{00000000-0005-0000-0000-0000A7180000}"/>
    <cellStyle name="COL HEADINGS 2 2 7 2" xfId="6338" xr:uid="{00000000-0005-0000-0000-0000A8180000}"/>
    <cellStyle name="COL HEADINGS 2 2 7 2 2" xfId="6339" xr:uid="{00000000-0005-0000-0000-0000A9180000}"/>
    <cellStyle name="COL HEADINGS 2 2 8" xfId="6340" xr:uid="{00000000-0005-0000-0000-0000AA180000}"/>
    <cellStyle name="COL HEADINGS 2 2 8 2" xfId="6341" xr:uid="{00000000-0005-0000-0000-0000AB180000}"/>
    <cellStyle name="COL HEADINGS 2 2 8 2 2" xfId="6342" xr:uid="{00000000-0005-0000-0000-0000AC180000}"/>
    <cellStyle name="COL HEADINGS 2 2 9" xfId="6343" xr:uid="{00000000-0005-0000-0000-0000AD180000}"/>
    <cellStyle name="COL HEADINGS 2 2 9 2" xfId="6344" xr:uid="{00000000-0005-0000-0000-0000AE180000}"/>
    <cellStyle name="COL HEADINGS 2 2 9 2 2" xfId="6345" xr:uid="{00000000-0005-0000-0000-0000AF180000}"/>
    <cellStyle name="COL HEADINGS 2 3" xfId="6346" xr:uid="{00000000-0005-0000-0000-0000B0180000}"/>
    <cellStyle name="COL HEADINGS 2 3 2" xfId="6347" xr:uid="{00000000-0005-0000-0000-0000B1180000}"/>
    <cellStyle name="COL HEADINGS 2 3 2 2" xfId="6348" xr:uid="{00000000-0005-0000-0000-0000B2180000}"/>
    <cellStyle name="COL HEADINGS 2 4" xfId="6349" xr:uid="{00000000-0005-0000-0000-0000B3180000}"/>
    <cellStyle name="COL HEADINGS 2 4 2" xfId="6350" xr:uid="{00000000-0005-0000-0000-0000B4180000}"/>
    <cellStyle name="COL HEADINGS 2 4 2 2" xfId="6351" xr:uid="{00000000-0005-0000-0000-0000B5180000}"/>
    <cellStyle name="COL HEADINGS 3" xfId="6352" xr:uid="{00000000-0005-0000-0000-0000B6180000}"/>
    <cellStyle name="COL HEADINGS 3 10" xfId="6353" xr:uid="{00000000-0005-0000-0000-0000B7180000}"/>
    <cellStyle name="COL HEADINGS 3 10 2" xfId="6354" xr:uid="{00000000-0005-0000-0000-0000B8180000}"/>
    <cellStyle name="COL HEADINGS 3 10 2 2" xfId="6355" xr:uid="{00000000-0005-0000-0000-0000B9180000}"/>
    <cellStyle name="COL HEADINGS 3 2" xfId="6356" xr:uid="{00000000-0005-0000-0000-0000BA180000}"/>
    <cellStyle name="COL HEADINGS 3 2 2" xfId="6357" xr:uid="{00000000-0005-0000-0000-0000BB180000}"/>
    <cellStyle name="COL HEADINGS 3 2 2 2" xfId="6358" xr:uid="{00000000-0005-0000-0000-0000BC180000}"/>
    <cellStyle name="COL HEADINGS 3 2 2 2 2" xfId="6359" xr:uid="{00000000-0005-0000-0000-0000BD180000}"/>
    <cellStyle name="COL HEADINGS 3 2 2 2 2 2" xfId="6360" xr:uid="{00000000-0005-0000-0000-0000BE180000}"/>
    <cellStyle name="COL HEADINGS 3 2 3" xfId="6361" xr:uid="{00000000-0005-0000-0000-0000BF180000}"/>
    <cellStyle name="COL HEADINGS 3 2 3 2" xfId="6362" xr:uid="{00000000-0005-0000-0000-0000C0180000}"/>
    <cellStyle name="COL HEADINGS 3 2 3 2 2" xfId="6363" xr:uid="{00000000-0005-0000-0000-0000C1180000}"/>
    <cellStyle name="COL HEADINGS 3 3" xfId="6364" xr:uid="{00000000-0005-0000-0000-0000C2180000}"/>
    <cellStyle name="COL HEADINGS 3 3 2" xfId="6365" xr:uid="{00000000-0005-0000-0000-0000C3180000}"/>
    <cellStyle name="COL HEADINGS 3 3 2 2" xfId="6366" xr:uid="{00000000-0005-0000-0000-0000C4180000}"/>
    <cellStyle name="COL HEADINGS 3 3 2 2 2" xfId="6367" xr:uid="{00000000-0005-0000-0000-0000C5180000}"/>
    <cellStyle name="COL HEADINGS 3 3 2 2 2 2" xfId="6368" xr:uid="{00000000-0005-0000-0000-0000C6180000}"/>
    <cellStyle name="COL HEADINGS 3 3 3" xfId="6369" xr:uid="{00000000-0005-0000-0000-0000C7180000}"/>
    <cellStyle name="COL HEADINGS 3 3 3 2" xfId="6370" xr:uid="{00000000-0005-0000-0000-0000C8180000}"/>
    <cellStyle name="COL HEADINGS 3 3 3 2 2" xfId="6371" xr:uid="{00000000-0005-0000-0000-0000C9180000}"/>
    <cellStyle name="COL HEADINGS 3 4" xfId="6372" xr:uid="{00000000-0005-0000-0000-0000CA180000}"/>
    <cellStyle name="COL HEADINGS 3 4 2" xfId="6373" xr:uid="{00000000-0005-0000-0000-0000CB180000}"/>
    <cellStyle name="COL HEADINGS 3 4 2 2" xfId="6374" xr:uid="{00000000-0005-0000-0000-0000CC180000}"/>
    <cellStyle name="COL HEADINGS 3 4 2 2 2" xfId="6375" xr:uid="{00000000-0005-0000-0000-0000CD180000}"/>
    <cellStyle name="COL HEADINGS 3 5" xfId="6376" xr:uid="{00000000-0005-0000-0000-0000CE180000}"/>
    <cellStyle name="COL HEADINGS 3 5 2" xfId="6377" xr:uid="{00000000-0005-0000-0000-0000CF180000}"/>
    <cellStyle name="COL HEADINGS 3 5 2 2" xfId="6378" xr:uid="{00000000-0005-0000-0000-0000D0180000}"/>
    <cellStyle name="COL HEADINGS 3 6" xfId="6379" xr:uid="{00000000-0005-0000-0000-0000D1180000}"/>
    <cellStyle name="COL HEADINGS 3 6 2" xfId="6380" xr:uid="{00000000-0005-0000-0000-0000D2180000}"/>
    <cellStyle name="COL HEADINGS 3 6 2 2" xfId="6381" xr:uid="{00000000-0005-0000-0000-0000D3180000}"/>
    <cellStyle name="COL HEADINGS 3 7" xfId="6382" xr:uid="{00000000-0005-0000-0000-0000D4180000}"/>
    <cellStyle name="COL HEADINGS 3 7 2" xfId="6383" xr:uid="{00000000-0005-0000-0000-0000D5180000}"/>
    <cellStyle name="COL HEADINGS 3 7 2 2" xfId="6384" xr:uid="{00000000-0005-0000-0000-0000D6180000}"/>
    <cellStyle name="COL HEADINGS 3 8" xfId="6385" xr:uid="{00000000-0005-0000-0000-0000D7180000}"/>
    <cellStyle name="COL HEADINGS 3 8 2" xfId="6386" xr:uid="{00000000-0005-0000-0000-0000D8180000}"/>
    <cellStyle name="COL HEADINGS 3 8 2 2" xfId="6387" xr:uid="{00000000-0005-0000-0000-0000D9180000}"/>
    <cellStyle name="COL HEADINGS 3 9" xfId="6388" xr:uid="{00000000-0005-0000-0000-0000DA180000}"/>
    <cellStyle name="COL HEADINGS 3 9 2" xfId="6389" xr:uid="{00000000-0005-0000-0000-0000DB180000}"/>
    <cellStyle name="COL HEADINGS 3 9 2 2" xfId="6390" xr:uid="{00000000-0005-0000-0000-0000DC180000}"/>
    <cellStyle name="COL HEADINGS 4" xfId="6391" xr:uid="{00000000-0005-0000-0000-0000DD180000}"/>
    <cellStyle name="COL HEADINGS 4 10" xfId="6392" xr:uid="{00000000-0005-0000-0000-0000DE180000}"/>
    <cellStyle name="COL HEADINGS 4 10 2" xfId="6393" xr:uid="{00000000-0005-0000-0000-0000DF180000}"/>
    <cellStyle name="COL HEADINGS 4 10 2 2" xfId="6394" xr:uid="{00000000-0005-0000-0000-0000E0180000}"/>
    <cellStyle name="COL HEADINGS 4 11" xfId="6395" xr:uid="{00000000-0005-0000-0000-0000E1180000}"/>
    <cellStyle name="COL HEADINGS 4 11 2" xfId="6396" xr:uid="{00000000-0005-0000-0000-0000E2180000}"/>
    <cellStyle name="COL HEADINGS 4 11 2 2" xfId="6397" xr:uid="{00000000-0005-0000-0000-0000E3180000}"/>
    <cellStyle name="COL HEADINGS 4 12" xfId="6398" xr:uid="{00000000-0005-0000-0000-0000E4180000}"/>
    <cellStyle name="COL HEADINGS 4 12 2" xfId="6399" xr:uid="{00000000-0005-0000-0000-0000E5180000}"/>
    <cellStyle name="COL HEADINGS 4 12 2 2" xfId="6400" xr:uid="{00000000-0005-0000-0000-0000E6180000}"/>
    <cellStyle name="COL HEADINGS 4 13" xfId="6401" xr:uid="{00000000-0005-0000-0000-0000E7180000}"/>
    <cellStyle name="COL HEADINGS 4 13 2" xfId="6402" xr:uid="{00000000-0005-0000-0000-0000E8180000}"/>
    <cellStyle name="COL HEADINGS 4 13 2 2" xfId="6403" xr:uid="{00000000-0005-0000-0000-0000E9180000}"/>
    <cellStyle name="COL HEADINGS 4 14" xfId="6404" xr:uid="{00000000-0005-0000-0000-0000EA180000}"/>
    <cellStyle name="COL HEADINGS 4 14 2" xfId="6405" xr:uid="{00000000-0005-0000-0000-0000EB180000}"/>
    <cellStyle name="COL HEADINGS 4 14 2 2" xfId="6406" xr:uid="{00000000-0005-0000-0000-0000EC180000}"/>
    <cellStyle name="COL HEADINGS 4 2" xfId="6407" xr:uid="{00000000-0005-0000-0000-0000ED180000}"/>
    <cellStyle name="COL HEADINGS 4 2 2" xfId="6408" xr:uid="{00000000-0005-0000-0000-0000EE180000}"/>
    <cellStyle name="COL HEADINGS 4 2 2 2" xfId="6409" xr:uid="{00000000-0005-0000-0000-0000EF180000}"/>
    <cellStyle name="COL HEADINGS 4 2 2 2 2" xfId="6410" xr:uid="{00000000-0005-0000-0000-0000F0180000}"/>
    <cellStyle name="COL HEADINGS 4 2 2 2 2 2" xfId="6411" xr:uid="{00000000-0005-0000-0000-0000F1180000}"/>
    <cellStyle name="COL HEADINGS 4 2 3" xfId="6412" xr:uid="{00000000-0005-0000-0000-0000F2180000}"/>
    <cellStyle name="COL HEADINGS 4 2 3 2" xfId="6413" xr:uid="{00000000-0005-0000-0000-0000F3180000}"/>
    <cellStyle name="COL HEADINGS 4 2 3 2 2" xfId="6414" xr:uid="{00000000-0005-0000-0000-0000F4180000}"/>
    <cellStyle name="COL HEADINGS 4 3" xfId="6415" xr:uid="{00000000-0005-0000-0000-0000F5180000}"/>
    <cellStyle name="COL HEADINGS 4 3 2" xfId="6416" xr:uid="{00000000-0005-0000-0000-0000F6180000}"/>
    <cellStyle name="COL HEADINGS 4 3 2 2" xfId="6417" xr:uid="{00000000-0005-0000-0000-0000F7180000}"/>
    <cellStyle name="COL HEADINGS 4 3 2 2 2" xfId="6418" xr:uid="{00000000-0005-0000-0000-0000F8180000}"/>
    <cellStyle name="COL HEADINGS 4 3 2 2 2 2" xfId="6419" xr:uid="{00000000-0005-0000-0000-0000F9180000}"/>
    <cellStyle name="COL HEADINGS 4 3 3" xfId="6420" xr:uid="{00000000-0005-0000-0000-0000FA180000}"/>
    <cellStyle name="COL HEADINGS 4 3 3 2" xfId="6421" xr:uid="{00000000-0005-0000-0000-0000FB180000}"/>
    <cellStyle name="COL HEADINGS 4 3 3 2 2" xfId="6422" xr:uid="{00000000-0005-0000-0000-0000FC180000}"/>
    <cellStyle name="COL HEADINGS 4 4" xfId="6423" xr:uid="{00000000-0005-0000-0000-0000FD180000}"/>
    <cellStyle name="COL HEADINGS 4 4 2" xfId="6424" xr:uid="{00000000-0005-0000-0000-0000FE180000}"/>
    <cellStyle name="COL HEADINGS 4 4 2 2" xfId="6425" xr:uid="{00000000-0005-0000-0000-0000FF180000}"/>
    <cellStyle name="COL HEADINGS 4 4 2 2 2" xfId="6426" xr:uid="{00000000-0005-0000-0000-000000190000}"/>
    <cellStyle name="COL HEADINGS 4 5" xfId="6427" xr:uid="{00000000-0005-0000-0000-000001190000}"/>
    <cellStyle name="COL HEADINGS 4 5 2" xfId="6428" xr:uid="{00000000-0005-0000-0000-000002190000}"/>
    <cellStyle name="COL HEADINGS 4 5 2 2" xfId="6429" xr:uid="{00000000-0005-0000-0000-000003190000}"/>
    <cellStyle name="COL HEADINGS 4 6" xfId="6430" xr:uid="{00000000-0005-0000-0000-000004190000}"/>
    <cellStyle name="COL HEADINGS 4 6 2" xfId="6431" xr:uid="{00000000-0005-0000-0000-000005190000}"/>
    <cellStyle name="COL HEADINGS 4 6 2 2" xfId="6432" xr:uid="{00000000-0005-0000-0000-000006190000}"/>
    <cellStyle name="COL HEADINGS 4 7" xfId="6433" xr:uid="{00000000-0005-0000-0000-000007190000}"/>
    <cellStyle name="COL HEADINGS 4 7 2" xfId="6434" xr:uid="{00000000-0005-0000-0000-000008190000}"/>
    <cellStyle name="COL HEADINGS 4 7 2 2" xfId="6435" xr:uid="{00000000-0005-0000-0000-000009190000}"/>
    <cellStyle name="COL HEADINGS 4 8" xfId="6436" xr:uid="{00000000-0005-0000-0000-00000A190000}"/>
    <cellStyle name="COL HEADINGS 4 8 2" xfId="6437" xr:uid="{00000000-0005-0000-0000-00000B190000}"/>
    <cellStyle name="COL HEADINGS 4 8 2 2" xfId="6438" xr:uid="{00000000-0005-0000-0000-00000C190000}"/>
    <cellStyle name="COL HEADINGS 4 9" xfId="6439" xr:uid="{00000000-0005-0000-0000-00000D190000}"/>
    <cellStyle name="COL HEADINGS 4 9 2" xfId="6440" xr:uid="{00000000-0005-0000-0000-00000E190000}"/>
    <cellStyle name="COL HEADINGS 4 9 2 2" xfId="6441" xr:uid="{00000000-0005-0000-0000-00000F190000}"/>
    <cellStyle name="COL HEADINGS 5" xfId="6442" xr:uid="{00000000-0005-0000-0000-000010190000}"/>
    <cellStyle name="COL HEADINGS 5 10" xfId="6443" xr:uid="{00000000-0005-0000-0000-000011190000}"/>
    <cellStyle name="COL HEADINGS 5 10 2" xfId="6444" xr:uid="{00000000-0005-0000-0000-000012190000}"/>
    <cellStyle name="COL HEADINGS 5 10 2 2" xfId="6445" xr:uid="{00000000-0005-0000-0000-000013190000}"/>
    <cellStyle name="COL HEADINGS 5 11" xfId="6446" xr:uid="{00000000-0005-0000-0000-000014190000}"/>
    <cellStyle name="COL HEADINGS 5 11 2" xfId="6447" xr:uid="{00000000-0005-0000-0000-000015190000}"/>
    <cellStyle name="COL HEADINGS 5 11 2 2" xfId="6448" xr:uid="{00000000-0005-0000-0000-000016190000}"/>
    <cellStyle name="COL HEADINGS 5 12" xfId="6449" xr:uid="{00000000-0005-0000-0000-000017190000}"/>
    <cellStyle name="COL HEADINGS 5 12 2" xfId="6450" xr:uid="{00000000-0005-0000-0000-000018190000}"/>
    <cellStyle name="COL HEADINGS 5 12 2 2" xfId="6451" xr:uid="{00000000-0005-0000-0000-000019190000}"/>
    <cellStyle name="COL HEADINGS 5 13" xfId="6452" xr:uid="{00000000-0005-0000-0000-00001A190000}"/>
    <cellStyle name="COL HEADINGS 5 13 2" xfId="6453" xr:uid="{00000000-0005-0000-0000-00001B190000}"/>
    <cellStyle name="COL HEADINGS 5 13 2 2" xfId="6454" xr:uid="{00000000-0005-0000-0000-00001C190000}"/>
    <cellStyle name="COL HEADINGS 5 14" xfId="6455" xr:uid="{00000000-0005-0000-0000-00001D190000}"/>
    <cellStyle name="COL HEADINGS 5 14 2" xfId="6456" xr:uid="{00000000-0005-0000-0000-00001E190000}"/>
    <cellStyle name="COL HEADINGS 5 14 2 2" xfId="6457" xr:uid="{00000000-0005-0000-0000-00001F190000}"/>
    <cellStyle name="COL HEADINGS 5 2" xfId="6458" xr:uid="{00000000-0005-0000-0000-000020190000}"/>
    <cellStyle name="COL HEADINGS 5 2 2" xfId="6459" xr:uid="{00000000-0005-0000-0000-000021190000}"/>
    <cellStyle name="COL HEADINGS 5 2 2 2" xfId="6460" xr:uid="{00000000-0005-0000-0000-000022190000}"/>
    <cellStyle name="COL HEADINGS 5 3" xfId="6461" xr:uid="{00000000-0005-0000-0000-000023190000}"/>
    <cellStyle name="COL HEADINGS 5 3 2" xfId="6462" xr:uid="{00000000-0005-0000-0000-000024190000}"/>
    <cellStyle name="COL HEADINGS 5 3 2 2" xfId="6463" xr:uid="{00000000-0005-0000-0000-000025190000}"/>
    <cellStyle name="COL HEADINGS 5 4" xfId="6464" xr:uid="{00000000-0005-0000-0000-000026190000}"/>
    <cellStyle name="COL HEADINGS 5 4 2" xfId="6465" xr:uid="{00000000-0005-0000-0000-000027190000}"/>
    <cellStyle name="COL HEADINGS 5 4 2 2" xfId="6466" xr:uid="{00000000-0005-0000-0000-000028190000}"/>
    <cellStyle name="COL HEADINGS 5 5" xfId="6467" xr:uid="{00000000-0005-0000-0000-000029190000}"/>
    <cellStyle name="COL HEADINGS 5 5 2" xfId="6468" xr:uid="{00000000-0005-0000-0000-00002A190000}"/>
    <cellStyle name="COL HEADINGS 5 5 2 2" xfId="6469" xr:uid="{00000000-0005-0000-0000-00002B190000}"/>
    <cellStyle name="COL HEADINGS 5 6" xfId="6470" xr:uid="{00000000-0005-0000-0000-00002C190000}"/>
    <cellStyle name="COL HEADINGS 5 6 2" xfId="6471" xr:uid="{00000000-0005-0000-0000-00002D190000}"/>
    <cellStyle name="COL HEADINGS 5 6 2 2" xfId="6472" xr:uid="{00000000-0005-0000-0000-00002E190000}"/>
    <cellStyle name="COL HEADINGS 5 7" xfId="6473" xr:uid="{00000000-0005-0000-0000-00002F190000}"/>
    <cellStyle name="COL HEADINGS 5 7 2" xfId="6474" xr:uid="{00000000-0005-0000-0000-000030190000}"/>
    <cellStyle name="COL HEADINGS 5 7 2 2" xfId="6475" xr:uid="{00000000-0005-0000-0000-000031190000}"/>
    <cellStyle name="COL HEADINGS 5 8" xfId="6476" xr:uid="{00000000-0005-0000-0000-000032190000}"/>
    <cellStyle name="COL HEADINGS 5 8 2" xfId="6477" xr:uid="{00000000-0005-0000-0000-000033190000}"/>
    <cellStyle name="COL HEADINGS 5 8 2 2" xfId="6478" xr:uid="{00000000-0005-0000-0000-000034190000}"/>
    <cellStyle name="COL HEADINGS 5 9" xfId="6479" xr:uid="{00000000-0005-0000-0000-000035190000}"/>
    <cellStyle name="COL HEADINGS 5 9 2" xfId="6480" xr:uid="{00000000-0005-0000-0000-000036190000}"/>
    <cellStyle name="COL HEADINGS 5 9 2 2" xfId="6481" xr:uid="{00000000-0005-0000-0000-000037190000}"/>
    <cellStyle name="COL HEADINGS 6" xfId="6482" xr:uid="{00000000-0005-0000-0000-000038190000}"/>
    <cellStyle name="COL HEADINGS 6 2" xfId="6483" xr:uid="{00000000-0005-0000-0000-000039190000}"/>
    <cellStyle name="COL HEADINGS 6 2 2" xfId="6484" xr:uid="{00000000-0005-0000-0000-00003A190000}"/>
    <cellStyle name="COL HEADINGS 7" xfId="6485" xr:uid="{00000000-0005-0000-0000-00003B190000}"/>
    <cellStyle name="COL HEADINGS 7 2" xfId="6486" xr:uid="{00000000-0005-0000-0000-00003C190000}"/>
    <cellStyle name="COL HEADINGS 7 2 2" xfId="6487" xr:uid="{00000000-0005-0000-0000-00003D190000}"/>
    <cellStyle name="COL HEADINGS 8" xfId="6488" xr:uid="{00000000-0005-0000-0000-00003E190000}"/>
    <cellStyle name="COL HEADINGS 8 2" xfId="6489" xr:uid="{00000000-0005-0000-0000-00003F190000}"/>
    <cellStyle name="COL HEADINGS 8 2 2" xfId="6490" xr:uid="{00000000-0005-0000-0000-000040190000}"/>
    <cellStyle name="COL HEADINGS 9" xfId="6491" xr:uid="{00000000-0005-0000-0000-000041190000}"/>
    <cellStyle name="COL HEADINGS 9 2" xfId="6492" xr:uid="{00000000-0005-0000-0000-000042190000}"/>
    <cellStyle name="COL HEADINGS 9 2 2" xfId="6493" xr:uid="{00000000-0005-0000-0000-000043190000}"/>
    <cellStyle name="Colhead" xfId="6494" xr:uid="{00000000-0005-0000-0000-000044190000}"/>
    <cellStyle name="Colhead 10" xfId="6495" xr:uid="{00000000-0005-0000-0000-000045190000}"/>
    <cellStyle name="Colhead 10 2" xfId="6496" xr:uid="{00000000-0005-0000-0000-000046190000}"/>
    <cellStyle name="Colhead 10 2 2" xfId="6497" xr:uid="{00000000-0005-0000-0000-000047190000}"/>
    <cellStyle name="Colhead 11" xfId="6498" xr:uid="{00000000-0005-0000-0000-000048190000}"/>
    <cellStyle name="Colhead 11 2" xfId="6499" xr:uid="{00000000-0005-0000-0000-000049190000}"/>
    <cellStyle name="Colhead 11 2 2" xfId="6500" xr:uid="{00000000-0005-0000-0000-00004A190000}"/>
    <cellStyle name="Colhead 2" xfId="6501" xr:uid="{00000000-0005-0000-0000-00004B190000}"/>
    <cellStyle name="Colhead 2 2" xfId="6502" xr:uid="{00000000-0005-0000-0000-00004C190000}"/>
    <cellStyle name="Colhead 2 2 10" xfId="6503" xr:uid="{00000000-0005-0000-0000-00004D190000}"/>
    <cellStyle name="Colhead 2 2 10 2" xfId="6504" xr:uid="{00000000-0005-0000-0000-00004E190000}"/>
    <cellStyle name="Colhead 2 2 10 2 2" xfId="6505" xr:uid="{00000000-0005-0000-0000-00004F190000}"/>
    <cellStyle name="Colhead 2 2 11" xfId="6506" xr:uid="{00000000-0005-0000-0000-000050190000}"/>
    <cellStyle name="Colhead 2 2 11 2" xfId="6507" xr:uid="{00000000-0005-0000-0000-000051190000}"/>
    <cellStyle name="Colhead 2 2 11 2 2" xfId="6508" xr:uid="{00000000-0005-0000-0000-000052190000}"/>
    <cellStyle name="Colhead 2 2 12" xfId="6509" xr:uid="{00000000-0005-0000-0000-000053190000}"/>
    <cellStyle name="Colhead 2 2 12 2" xfId="6510" xr:uid="{00000000-0005-0000-0000-000054190000}"/>
    <cellStyle name="Colhead 2 2 12 2 2" xfId="6511" xr:uid="{00000000-0005-0000-0000-000055190000}"/>
    <cellStyle name="Colhead 2 2 13" xfId="6512" xr:uid="{00000000-0005-0000-0000-000056190000}"/>
    <cellStyle name="Colhead 2 2 13 2" xfId="6513" xr:uid="{00000000-0005-0000-0000-000057190000}"/>
    <cellStyle name="Colhead 2 2 13 2 2" xfId="6514" xr:uid="{00000000-0005-0000-0000-000058190000}"/>
    <cellStyle name="Colhead 2 2 14" xfId="6515" xr:uid="{00000000-0005-0000-0000-000059190000}"/>
    <cellStyle name="Colhead 2 2 14 2" xfId="6516" xr:uid="{00000000-0005-0000-0000-00005A190000}"/>
    <cellStyle name="Colhead 2 2 14 2 2" xfId="6517" xr:uid="{00000000-0005-0000-0000-00005B190000}"/>
    <cellStyle name="Colhead 2 2 15" xfId="6518" xr:uid="{00000000-0005-0000-0000-00005C190000}"/>
    <cellStyle name="Colhead 2 2 15 2" xfId="6519" xr:uid="{00000000-0005-0000-0000-00005D190000}"/>
    <cellStyle name="Colhead 2 2 2" xfId="6520" xr:uid="{00000000-0005-0000-0000-00005E190000}"/>
    <cellStyle name="Colhead 2 2 2 2" xfId="6521" xr:uid="{00000000-0005-0000-0000-00005F190000}"/>
    <cellStyle name="Colhead 2 2 2 2 2" xfId="6522" xr:uid="{00000000-0005-0000-0000-000060190000}"/>
    <cellStyle name="Colhead 2 2 3" xfId="6523" xr:uid="{00000000-0005-0000-0000-000061190000}"/>
    <cellStyle name="Colhead 2 2 3 2" xfId="6524" xr:uid="{00000000-0005-0000-0000-000062190000}"/>
    <cellStyle name="Colhead 2 2 3 2 2" xfId="6525" xr:uid="{00000000-0005-0000-0000-000063190000}"/>
    <cellStyle name="Colhead 2 2 4" xfId="6526" xr:uid="{00000000-0005-0000-0000-000064190000}"/>
    <cellStyle name="Colhead 2 2 4 2" xfId="6527" xr:uid="{00000000-0005-0000-0000-000065190000}"/>
    <cellStyle name="Colhead 2 2 4 2 2" xfId="6528" xr:uid="{00000000-0005-0000-0000-000066190000}"/>
    <cellStyle name="Colhead 2 2 5" xfId="6529" xr:uid="{00000000-0005-0000-0000-000067190000}"/>
    <cellStyle name="Colhead 2 2 5 2" xfId="6530" xr:uid="{00000000-0005-0000-0000-000068190000}"/>
    <cellStyle name="Colhead 2 2 5 2 2" xfId="6531" xr:uid="{00000000-0005-0000-0000-000069190000}"/>
    <cellStyle name="Colhead 2 2 6" xfId="6532" xr:uid="{00000000-0005-0000-0000-00006A190000}"/>
    <cellStyle name="Colhead 2 2 6 2" xfId="6533" xr:uid="{00000000-0005-0000-0000-00006B190000}"/>
    <cellStyle name="Colhead 2 2 6 2 2" xfId="6534" xr:uid="{00000000-0005-0000-0000-00006C190000}"/>
    <cellStyle name="Colhead 2 2 7" xfId="6535" xr:uid="{00000000-0005-0000-0000-00006D190000}"/>
    <cellStyle name="Colhead 2 2 7 2" xfId="6536" xr:uid="{00000000-0005-0000-0000-00006E190000}"/>
    <cellStyle name="Colhead 2 2 7 2 2" xfId="6537" xr:uid="{00000000-0005-0000-0000-00006F190000}"/>
    <cellStyle name="Colhead 2 2 8" xfId="6538" xr:uid="{00000000-0005-0000-0000-000070190000}"/>
    <cellStyle name="Colhead 2 2 8 2" xfId="6539" xr:uid="{00000000-0005-0000-0000-000071190000}"/>
    <cellStyle name="Colhead 2 2 8 2 2" xfId="6540" xr:uid="{00000000-0005-0000-0000-000072190000}"/>
    <cellStyle name="Colhead 2 2 9" xfId="6541" xr:uid="{00000000-0005-0000-0000-000073190000}"/>
    <cellStyle name="Colhead 2 2 9 2" xfId="6542" xr:uid="{00000000-0005-0000-0000-000074190000}"/>
    <cellStyle name="Colhead 2 2 9 2 2" xfId="6543" xr:uid="{00000000-0005-0000-0000-000075190000}"/>
    <cellStyle name="Colhead 2 3" xfId="6544" xr:uid="{00000000-0005-0000-0000-000076190000}"/>
    <cellStyle name="Colhead 2 3 2" xfId="6545" xr:uid="{00000000-0005-0000-0000-000077190000}"/>
    <cellStyle name="Colhead 2 3 2 2" xfId="6546" xr:uid="{00000000-0005-0000-0000-000078190000}"/>
    <cellStyle name="Colhead 2 4" xfId="6547" xr:uid="{00000000-0005-0000-0000-000079190000}"/>
    <cellStyle name="Colhead 2 4 2" xfId="6548" xr:uid="{00000000-0005-0000-0000-00007A190000}"/>
    <cellStyle name="Colhead 2 4 2 2" xfId="6549" xr:uid="{00000000-0005-0000-0000-00007B190000}"/>
    <cellStyle name="Colhead 3" xfId="6550" xr:uid="{00000000-0005-0000-0000-00007C190000}"/>
    <cellStyle name="Colhead 3 10" xfId="6551" xr:uid="{00000000-0005-0000-0000-00007D190000}"/>
    <cellStyle name="Colhead 3 10 2" xfId="6552" xr:uid="{00000000-0005-0000-0000-00007E190000}"/>
    <cellStyle name="Colhead 3 10 2 2" xfId="6553" xr:uid="{00000000-0005-0000-0000-00007F190000}"/>
    <cellStyle name="Colhead 3 2" xfId="6554" xr:uid="{00000000-0005-0000-0000-000080190000}"/>
    <cellStyle name="Colhead 3 2 2" xfId="6555" xr:uid="{00000000-0005-0000-0000-000081190000}"/>
    <cellStyle name="Colhead 3 2 2 2" xfId="6556" xr:uid="{00000000-0005-0000-0000-000082190000}"/>
    <cellStyle name="Colhead 3 2 2 2 2" xfId="6557" xr:uid="{00000000-0005-0000-0000-000083190000}"/>
    <cellStyle name="Colhead 3 2 2 2 2 2" xfId="6558" xr:uid="{00000000-0005-0000-0000-000084190000}"/>
    <cellStyle name="Colhead 3 2 3" xfId="6559" xr:uid="{00000000-0005-0000-0000-000085190000}"/>
    <cellStyle name="Colhead 3 2 3 2" xfId="6560" xr:uid="{00000000-0005-0000-0000-000086190000}"/>
    <cellStyle name="Colhead 3 2 3 2 2" xfId="6561" xr:uid="{00000000-0005-0000-0000-000087190000}"/>
    <cellStyle name="Colhead 3 3" xfId="6562" xr:uid="{00000000-0005-0000-0000-000088190000}"/>
    <cellStyle name="Colhead 3 3 2" xfId="6563" xr:uid="{00000000-0005-0000-0000-000089190000}"/>
    <cellStyle name="Colhead 3 3 2 2" xfId="6564" xr:uid="{00000000-0005-0000-0000-00008A190000}"/>
    <cellStyle name="Colhead 3 3 2 2 2" xfId="6565" xr:uid="{00000000-0005-0000-0000-00008B190000}"/>
    <cellStyle name="Colhead 3 3 2 2 2 2" xfId="6566" xr:uid="{00000000-0005-0000-0000-00008C190000}"/>
    <cellStyle name="Colhead 3 3 3" xfId="6567" xr:uid="{00000000-0005-0000-0000-00008D190000}"/>
    <cellStyle name="Colhead 3 3 3 2" xfId="6568" xr:uid="{00000000-0005-0000-0000-00008E190000}"/>
    <cellStyle name="Colhead 3 3 3 2 2" xfId="6569" xr:uid="{00000000-0005-0000-0000-00008F190000}"/>
    <cellStyle name="Colhead 3 4" xfId="6570" xr:uid="{00000000-0005-0000-0000-000090190000}"/>
    <cellStyle name="Colhead 3 4 2" xfId="6571" xr:uid="{00000000-0005-0000-0000-000091190000}"/>
    <cellStyle name="Colhead 3 4 2 2" xfId="6572" xr:uid="{00000000-0005-0000-0000-000092190000}"/>
    <cellStyle name="Colhead 3 4 2 2 2" xfId="6573" xr:uid="{00000000-0005-0000-0000-000093190000}"/>
    <cellStyle name="Colhead 3 5" xfId="6574" xr:uid="{00000000-0005-0000-0000-000094190000}"/>
    <cellStyle name="Colhead 3 5 2" xfId="6575" xr:uid="{00000000-0005-0000-0000-000095190000}"/>
    <cellStyle name="Colhead 3 5 2 2" xfId="6576" xr:uid="{00000000-0005-0000-0000-000096190000}"/>
    <cellStyle name="Colhead 3 6" xfId="6577" xr:uid="{00000000-0005-0000-0000-000097190000}"/>
    <cellStyle name="Colhead 3 6 2" xfId="6578" xr:uid="{00000000-0005-0000-0000-000098190000}"/>
    <cellStyle name="Colhead 3 6 2 2" xfId="6579" xr:uid="{00000000-0005-0000-0000-000099190000}"/>
    <cellStyle name="Colhead 3 7" xfId="6580" xr:uid="{00000000-0005-0000-0000-00009A190000}"/>
    <cellStyle name="Colhead 3 7 2" xfId="6581" xr:uid="{00000000-0005-0000-0000-00009B190000}"/>
    <cellStyle name="Colhead 3 7 2 2" xfId="6582" xr:uid="{00000000-0005-0000-0000-00009C190000}"/>
    <cellStyle name="Colhead 3 8" xfId="6583" xr:uid="{00000000-0005-0000-0000-00009D190000}"/>
    <cellStyle name="Colhead 3 8 2" xfId="6584" xr:uid="{00000000-0005-0000-0000-00009E190000}"/>
    <cellStyle name="Colhead 3 8 2 2" xfId="6585" xr:uid="{00000000-0005-0000-0000-00009F190000}"/>
    <cellStyle name="Colhead 3 9" xfId="6586" xr:uid="{00000000-0005-0000-0000-0000A0190000}"/>
    <cellStyle name="Colhead 3 9 2" xfId="6587" xr:uid="{00000000-0005-0000-0000-0000A1190000}"/>
    <cellStyle name="Colhead 3 9 2 2" xfId="6588" xr:uid="{00000000-0005-0000-0000-0000A2190000}"/>
    <cellStyle name="Colhead 4" xfId="6589" xr:uid="{00000000-0005-0000-0000-0000A3190000}"/>
    <cellStyle name="Colhead 4 10" xfId="6590" xr:uid="{00000000-0005-0000-0000-0000A4190000}"/>
    <cellStyle name="Colhead 4 10 2" xfId="6591" xr:uid="{00000000-0005-0000-0000-0000A5190000}"/>
    <cellStyle name="Colhead 4 10 2 2" xfId="6592" xr:uid="{00000000-0005-0000-0000-0000A6190000}"/>
    <cellStyle name="Colhead 4 11" xfId="6593" xr:uid="{00000000-0005-0000-0000-0000A7190000}"/>
    <cellStyle name="Colhead 4 11 2" xfId="6594" xr:uid="{00000000-0005-0000-0000-0000A8190000}"/>
    <cellStyle name="Colhead 4 11 2 2" xfId="6595" xr:uid="{00000000-0005-0000-0000-0000A9190000}"/>
    <cellStyle name="Colhead 4 12" xfId="6596" xr:uid="{00000000-0005-0000-0000-0000AA190000}"/>
    <cellStyle name="Colhead 4 12 2" xfId="6597" xr:uid="{00000000-0005-0000-0000-0000AB190000}"/>
    <cellStyle name="Colhead 4 12 2 2" xfId="6598" xr:uid="{00000000-0005-0000-0000-0000AC190000}"/>
    <cellStyle name="Colhead 4 13" xfId="6599" xr:uid="{00000000-0005-0000-0000-0000AD190000}"/>
    <cellStyle name="Colhead 4 13 2" xfId="6600" xr:uid="{00000000-0005-0000-0000-0000AE190000}"/>
    <cellStyle name="Colhead 4 13 2 2" xfId="6601" xr:uid="{00000000-0005-0000-0000-0000AF190000}"/>
    <cellStyle name="Colhead 4 14" xfId="6602" xr:uid="{00000000-0005-0000-0000-0000B0190000}"/>
    <cellStyle name="Colhead 4 14 2" xfId="6603" xr:uid="{00000000-0005-0000-0000-0000B1190000}"/>
    <cellStyle name="Colhead 4 14 2 2" xfId="6604" xr:uid="{00000000-0005-0000-0000-0000B2190000}"/>
    <cellStyle name="Colhead 4 2" xfId="6605" xr:uid="{00000000-0005-0000-0000-0000B3190000}"/>
    <cellStyle name="Colhead 4 2 2" xfId="6606" xr:uid="{00000000-0005-0000-0000-0000B4190000}"/>
    <cellStyle name="Colhead 4 2 2 2" xfId="6607" xr:uid="{00000000-0005-0000-0000-0000B5190000}"/>
    <cellStyle name="Colhead 4 2 2 2 2" xfId="6608" xr:uid="{00000000-0005-0000-0000-0000B6190000}"/>
    <cellStyle name="Colhead 4 2 2 2 2 2" xfId="6609" xr:uid="{00000000-0005-0000-0000-0000B7190000}"/>
    <cellStyle name="Colhead 4 2 3" xfId="6610" xr:uid="{00000000-0005-0000-0000-0000B8190000}"/>
    <cellStyle name="Colhead 4 2 3 2" xfId="6611" xr:uid="{00000000-0005-0000-0000-0000B9190000}"/>
    <cellStyle name="Colhead 4 2 3 2 2" xfId="6612" xr:uid="{00000000-0005-0000-0000-0000BA190000}"/>
    <cellStyle name="Colhead 4 3" xfId="6613" xr:uid="{00000000-0005-0000-0000-0000BB190000}"/>
    <cellStyle name="Colhead 4 3 2" xfId="6614" xr:uid="{00000000-0005-0000-0000-0000BC190000}"/>
    <cellStyle name="Colhead 4 3 2 2" xfId="6615" xr:uid="{00000000-0005-0000-0000-0000BD190000}"/>
    <cellStyle name="Colhead 4 3 2 2 2" xfId="6616" xr:uid="{00000000-0005-0000-0000-0000BE190000}"/>
    <cellStyle name="Colhead 4 3 2 2 2 2" xfId="6617" xr:uid="{00000000-0005-0000-0000-0000BF190000}"/>
    <cellStyle name="Colhead 4 3 3" xfId="6618" xr:uid="{00000000-0005-0000-0000-0000C0190000}"/>
    <cellStyle name="Colhead 4 3 3 2" xfId="6619" xr:uid="{00000000-0005-0000-0000-0000C1190000}"/>
    <cellStyle name="Colhead 4 3 3 2 2" xfId="6620" xr:uid="{00000000-0005-0000-0000-0000C2190000}"/>
    <cellStyle name="Colhead 4 4" xfId="6621" xr:uid="{00000000-0005-0000-0000-0000C3190000}"/>
    <cellStyle name="Colhead 4 4 2" xfId="6622" xr:uid="{00000000-0005-0000-0000-0000C4190000}"/>
    <cellStyle name="Colhead 4 4 2 2" xfId="6623" xr:uid="{00000000-0005-0000-0000-0000C5190000}"/>
    <cellStyle name="Colhead 4 4 2 2 2" xfId="6624" xr:uid="{00000000-0005-0000-0000-0000C6190000}"/>
    <cellStyle name="Colhead 4 5" xfId="6625" xr:uid="{00000000-0005-0000-0000-0000C7190000}"/>
    <cellStyle name="Colhead 4 5 2" xfId="6626" xr:uid="{00000000-0005-0000-0000-0000C8190000}"/>
    <cellStyle name="Colhead 4 5 2 2" xfId="6627" xr:uid="{00000000-0005-0000-0000-0000C9190000}"/>
    <cellStyle name="Colhead 4 6" xfId="6628" xr:uid="{00000000-0005-0000-0000-0000CA190000}"/>
    <cellStyle name="Colhead 4 6 2" xfId="6629" xr:uid="{00000000-0005-0000-0000-0000CB190000}"/>
    <cellStyle name="Colhead 4 6 2 2" xfId="6630" xr:uid="{00000000-0005-0000-0000-0000CC190000}"/>
    <cellStyle name="Colhead 4 7" xfId="6631" xr:uid="{00000000-0005-0000-0000-0000CD190000}"/>
    <cellStyle name="Colhead 4 7 2" xfId="6632" xr:uid="{00000000-0005-0000-0000-0000CE190000}"/>
    <cellStyle name="Colhead 4 7 2 2" xfId="6633" xr:uid="{00000000-0005-0000-0000-0000CF190000}"/>
    <cellStyle name="Colhead 4 8" xfId="6634" xr:uid="{00000000-0005-0000-0000-0000D0190000}"/>
    <cellStyle name="Colhead 4 8 2" xfId="6635" xr:uid="{00000000-0005-0000-0000-0000D1190000}"/>
    <cellStyle name="Colhead 4 8 2 2" xfId="6636" xr:uid="{00000000-0005-0000-0000-0000D2190000}"/>
    <cellStyle name="Colhead 4 9" xfId="6637" xr:uid="{00000000-0005-0000-0000-0000D3190000}"/>
    <cellStyle name="Colhead 4 9 2" xfId="6638" xr:uid="{00000000-0005-0000-0000-0000D4190000}"/>
    <cellStyle name="Colhead 4 9 2 2" xfId="6639" xr:uid="{00000000-0005-0000-0000-0000D5190000}"/>
    <cellStyle name="Colhead 5" xfId="6640" xr:uid="{00000000-0005-0000-0000-0000D6190000}"/>
    <cellStyle name="Colhead 5 10" xfId="6641" xr:uid="{00000000-0005-0000-0000-0000D7190000}"/>
    <cellStyle name="Colhead 5 10 2" xfId="6642" xr:uid="{00000000-0005-0000-0000-0000D8190000}"/>
    <cellStyle name="Colhead 5 10 2 2" xfId="6643" xr:uid="{00000000-0005-0000-0000-0000D9190000}"/>
    <cellStyle name="Colhead 5 11" xfId="6644" xr:uid="{00000000-0005-0000-0000-0000DA190000}"/>
    <cellStyle name="Colhead 5 11 2" xfId="6645" xr:uid="{00000000-0005-0000-0000-0000DB190000}"/>
    <cellStyle name="Colhead 5 11 2 2" xfId="6646" xr:uid="{00000000-0005-0000-0000-0000DC190000}"/>
    <cellStyle name="Colhead 5 12" xfId="6647" xr:uid="{00000000-0005-0000-0000-0000DD190000}"/>
    <cellStyle name="Colhead 5 12 2" xfId="6648" xr:uid="{00000000-0005-0000-0000-0000DE190000}"/>
    <cellStyle name="Colhead 5 12 2 2" xfId="6649" xr:uid="{00000000-0005-0000-0000-0000DF190000}"/>
    <cellStyle name="Colhead 5 13" xfId="6650" xr:uid="{00000000-0005-0000-0000-0000E0190000}"/>
    <cellStyle name="Colhead 5 13 2" xfId="6651" xr:uid="{00000000-0005-0000-0000-0000E1190000}"/>
    <cellStyle name="Colhead 5 13 2 2" xfId="6652" xr:uid="{00000000-0005-0000-0000-0000E2190000}"/>
    <cellStyle name="Colhead 5 14" xfId="6653" xr:uid="{00000000-0005-0000-0000-0000E3190000}"/>
    <cellStyle name="Colhead 5 14 2" xfId="6654" xr:uid="{00000000-0005-0000-0000-0000E4190000}"/>
    <cellStyle name="Colhead 5 14 2 2" xfId="6655" xr:uid="{00000000-0005-0000-0000-0000E5190000}"/>
    <cellStyle name="Colhead 5 2" xfId="6656" xr:uid="{00000000-0005-0000-0000-0000E6190000}"/>
    <cellStyle name="Colhead 5 2 2" xfId="6657" xr:uid="{00000000-0005-0000-0000-0000E7190000}"/>
    <cellStyle name="Colhead 5 2 2 2" xfId="6658" xr:uid="{00000000-0005-0000-0000-0000E8190000}"/>
    <cellStyle name="Colhead 5 3" xfId="6659" xr:uid="{00000000-0005-0000-0000-0000E9190000}"/>
    <cellStyle name="Colhead 5 3 2" xfId="6660" xr:uid="{00000000-0005-0000-0000-0000EA190000}"/>
    <cellStyle name="Colhead 5 3 2 2" xfId="6661" xr:uid="{00000000-0005-0000-0000-0000EB190000}"/>
    <cellStyle name="Colhead 5 4" xfId="6662" xr:uid="{00000000-0005-0000-0000-0000EC190000}"/>
    <cellStyle name="Colhead 5 4 2" xfId="6663" xr:uid="{00000000-0005-0000-0000-0000ED190000}"/>
    <cellStyle name="Colhead 5 4 2 2" xfId="6664" xr:uid="{00000000-0005-0000-0000-0000EE190000}"/>
    <cellStyle name="Colhead 5 5" xfId="6665" xr:uid="{00000000-0005-0000-0000-0000EF190000}"/>
    <cellStyle name="Colhead 5 5 2" xfId="6666" xr:uid="{00000000-0005-0000-0000-0000F0190000}"/>
    <cellStyle name="Colhead 5 5 2 2" xfId="6667" xr:uid="{00000000-0005-0000-0000-0000F1190000}"/>
    <cellStyle name="Colhead 5 6" xfId="6668" xr:uid="{00000000-0005-0000-0000-0000F2190000}"/>
    <cellStyle name="Colhead 5 6 2" xfId="6669" xr:uid="{00000000-0005-0000-0000-0000F3190000}"/>
    <cellStyle name="Colhead 5 6 2 2" xfId="6670" xr:uid="{00000000-0005-0000-0000-0000F4190000}"/>
    <cellStyle name="Colhead 5 7" xfId="6671" xr:uid="{00000000-0005-0000-0000-0000F5190000}"/>
    <cellStyle name="Colhead 5 7 2" xfId="6672" xr:uid="{00000000-0005-0000-0000-0000F6190000}"/>
    <cellStyle name="Colhead 5 7 2 2" xfId="6673" xr:uid="{00000000-0005-0000-0000-0000F7190000}"/>
    <cellStyle name="Colhead 5 8" xfId="6674" xr:uid="{00000000-0005-0000-0000-0000F8190000}"/>
    <cellStyle name="Colhead 5 8 2" xfId="6675" xr:uid="{00000000-0005-0000-0000-0000F9190000}"/>
    <cellStyle name="Colhead 5 8 2 2" xfId="6676" xr:uid="{00000000-0005-0000-0000-0000FA190000}"/>
    <cellStyle name="Colhead 5 9" xfId="6677" xr:uid="{00000000-0005-0000-0000-0000FB190000}"/>
    <cellStyle name="Colhead 5 9 2" xfId="6678" xr:uid="{00000000-0005-0000-0000-0000FC190000}"/>
    <cellStyle name="Colhead 5 9 2 2" xfId="6679" xr:uid="{00000000-0005-0000-0000-0000FD190000}"/>
    <cellStyle name="Colhead 6" xfId="6680" xr:uid="{00000000-0005-0000-0000-0000FE190000}"/>
    <cellStyle name="Colhead 6 2" xfId="6681" xr:uid="{00000000-0005-0000-0000-0000FF190000}"/>
    <cellStyle name="Colhead 6 2 2" xfId="6682" xr:uid="{00000000-0005-0000-0000-0000001A0000}"/>
    <cellStyle name="Colhead 7" xfId="6683" xr:uid="{00000000-0005-0000-0000-0000011A0000}"/>
    <cellStyle name="Colhead 7 2" xfId="6684" xr:uid="{00000000-0005-0000-0000-0000021A0000}"/>
    <cellStyle name="Colhead 7 2 2" xfId="6685" xr:uid="{00000000-0005-0000-0000-0000031A0000}"/>
    <cellStyle name="Colhead 8" xfId="6686" xr:uid="{00000000-0005-0000-0000-0000041A0000}"/>
    <cellStyle name="Colhead 8 2" xfId="6687" xr:uid="{00000000-0005-0000-0000-0000051A0000}"/>
    <cellStyle name="Colhead 8 2 2" xfId="6688" xr:uid="{00000000-0005-0000-0000-0000061A0000}"/>
    <cellStyle name="Colhead 9" xfId="6689" xr:uid="{00000000-0005-0000-0000-0000071A0000}"/>
    <cellStyle name="Colhead 9 2" xfId="6690" xr:uid="{00000000-0005-0000-0000-0000081A0000}"/>
    <cellStyle name="Colhead 9 2 2" xfId="6691" xr:uid="{00000000-0005-0000-0000-0000091A0000}"/>
    <cellStyle name="ColHeading" xfId="6692" xr:uid="{00000000-0005-0000-0000-00000A1A0000}"/>
    <cellStyle name="Collegamento ipertestuale" xfId="6693" xr:uid="{00000000-0005-0000-0000-00000B1A0000}"/>
    <cellStyle name="Column Headings" xfId="6694" xr:uid="{00000000-0005-0000-0000-00000C1A0000}"/>
    <cellStyle name="Column Labels" xfId="6695" xr:uid="{00000000-0005-0000-0000-00000D1A0000}"/>
    <cellStyle name="Column_Title" xfId="6696" xr:uid="{00000000-0005-0000-0000-00000E1A0000}"/>
    <cellStyle name="ColumnHeading" xfId="6697" xr:uid="{00000000-0005-0000-0000-00000F1A0000}"/>
    <cellStyle name="ColumnHeading 2" xfId="6698" xr:uid="{00000000-0005-0000-0000-0000101A0000}"/>
    <cellStyle name="ColumnHeading 2 2" xfId="6699" xr:uid="{00000000-0005-0000-0000-0000111A0000}"/>
    <cellStyle name="ColumnHeading 2 2 2" xfId="6700" xr:uid="{00000000-0005-0000-0000-0000121A0000}"/>
    <cellStyle name="ColumnHeading 2 2 2 2" xfId="6701" xr:uid="{00000000-0005-0000-0000-0000131A0000}"/>
    <cellStyle name="ColumnHeading 2 2 2 2 2" xfId="6702" xr:uid="{00000000-0005-0000-0000-0000141A0000}"/>
    <cellStyle name="ColumnHeading 2 2 2 3" xfId="6703" xr:uid="{00000000-0005-0000-0000-0000151A0000}"/>
    <cellStyle name="ColumnHeading 2 2 2 4" xfId="6704" xr:uid="{00000000-0005-0000-0000-0000161A0000}"/>
    <cellStyle name="ColumnHeading 2 2 3" xfId="6705" xr:uid="{00000000-0005-0000-0000-0000171A0000}"/>
    <cellStyle name="ColumnHeading 2 2 3 2" xfId="6706" xr:uid="{00000000-0005-0000-0000-0000181A0000}"/>
    <cellStyle name="ColumnHeading 2 2 4" xfId="6707" xr:uid="{00000000-0005-0000-0000-0000191A0000}"/>
    <cellStyle name="ColumnHeading 2 2 5" xfId="6708" xr:uid="{00000000-0005-0000-0000-00001A1A0000}"/>
    <cellStyle name="ColumnHeading 2 3" xfId="6709" xr:uid="{00000000-0005-0000-0000-00001B1A0000}"/>
    <cellStyle name="ColumnHeading 2 3 2" xfId="6710" xr:uid="{00000000-0005-0000-0000-00001C1A0000}"/>
    <cellStyle name="ColumnHeading 2 3 2 2" xfId="6711" xr:uid="{00000000-0005-0000-0000-00001D1A0000}"/>
    <cellStyle name="ColumnHeading 2 3 2 2 2" xfId="6712" xr:uid="{00000000-0005-0000-0000-00001E1A0000}"/>
    <cellStyle name="ColumnHeading 2 3 2 3" xfId="6713" xr:uid="{00000000-0005-0000-0000-00001F1A0000}"/>
    <cellStyle name="ColumnHeading 2 3 2 4" xfId="6714" xr:uid="{00000000-0005-0000-0000-0000201A0000}"/>
    <cellStyle name="ColumnHeading 2 3 3" xfId="6715" xr:uid="{00000000-0005-0000-0000-0000211A0000}"/>
    <cellStyle name="ColumnHeading 2 3 3 2" xfId="6716" xr:uid="{00000000-0005-0000-0000-0000221A0000}"/>
    <cellStyle name="ColumnHeading 2 3 4" xfId="6717" xr:uid="{00000000-0005-0000-0000-0000231A0000}"/>
    <cellStyle name="ColumnHeading 2 3 5" xfId="6718" xr:uid="{00000000-0005-0000-0000-0000241A0000}"/>
    <cellStyle name="ColumnHeading 2 4" xfId="6719" xr:uid="{00000000-0005-0000-0000-0000251A0000}"/>
    <cellStyle name="ColumnHeading 2 4 2" xfId="6720" xr:uid="{00000000-0005-0000-0000-0000261A0000}"/>
    <cellStyle name="ColumnHeading 2 4 2 2" xfId="6721" xr:uid="{00000000-0005-0000-0000-0000271A0000}"/>
    <cellStyle name="ColumnHeading 2 4 2 2 2" xfId="6722" xr:uid="{00000000-0005-0000-0000-0000281A0000}"/>
    <cellStyle name="ColumnHeading 2 4 2 3" xfId="6723" xr:uid="{00000000-0005-0000-0000-0000291A0000}"/>
    <cellStyle name="ColumnHeading 2 4 2 4" xfId="6724" xr:uid="{00000000-0005-0000-0000-00002A1A0000}"/>
    <cellStyle name="ColumnHeading 2 4 3" xfId="6725" xr:uid="{00000000-0005-0000-0000-00002B1A0000}"/>
    <cellStyle name="ColumnHeading 2 4 3 2" xfId="6726" xr:uid="{00000000-0005-0000-0000-00002C1A0000}"/>
    <cellStyle name="ColumnHeading 2 4 4" xfId="6727" xr:uid="{00000000-0005-0000-0000-00002D1A0000}"/>
    <cellStyle name="ColumnHeading 2 4 5" xfId="6728" xr:uid="{00000000-0005-0000-0000-00002E1A0000}"/>
    <cellStyle name="ColumnHeading 2 5" xfId="6729" xr:uid="{00000000-0005-0000-0000-00002F1A0000}"/>
    <cellStyle name="ColumnHeading 2 5 2" xfId="6730" xr:uid="{00000000-0005-0000-0000-0000301A0000}"/>
    <cellStyle name="ColumnHeading 2 5 2 2" xfId="6731" xr:uid="{00000000-0005-0000-0000-0000311A0000}"/>
    <cellStyle name="ColumnHeading 2 5 2 2 2" xfId="6732" xr:uid="{00000000-0005-0000-0000-0000321A0000}"/>
    <cellStyle name="ColumnHeading 2 5 2 3" xfId="6733" xr:uid="{00000000-0005-0000-0000-0000331A0000}"/>
    <cellStyle name="ColumnHeading 2 5 2 4" xfId="6734" xr:uid="{00000000-0005-0000-0000-0000341A0000}"/>
    <cellStyle name="ColumnHeading 2 5 3" xfId="6735" xr:uid="{00000000-0005-0000-0000-0000351A0000}"/>
    <cellStyle name="ColumnHeading 2 5 3 2" xfId="6736" xr:uid="{00000000-0005-0000-0000-0000361A0000}"/>
    <cellStyle name="ColumnHeading 2 5 4" xfId="6737" xr:uid="{00000000-0005-0000-0000-0000371A0000}"/>
    <cellStyle name="ColumnHeading 2 5 5" xfId="6738" xr:uid="{00000000-0005-0000-0000-0000381A0000}"/>
    <cellStyle name="ColumnHeading 2 6" xfId="6739" xr:uid="{00000000-0005-0000-0000-0000391A0000}"/>
    <cellStyle name="ColumnHeading 2 6 2" xfId="6740" xr:uid="{00000000-0005-0000-0000-00003A1A0000}"/>
    <cellStyle name="ColumnHeading 2 7" xfId="6741" xr:uid="{00000000-0005-0000-0000-00003B1A0000}"/>
    <cellStyle name="ColumnHeading 2 8" xfId="6742" xr:uid="{00000000-0005-0000-0000-00003C1A0000}"/>
    <cellStyle name="ColumnHeading 3" xfId="6743" xr:uid="{00000000-0005-0000-0000-00003D1A0000}"/>
    <cellStyle name="ColumnHeading 3 2" xfId="6744" xr:uid="{00000000-0005-0000-0000-00003E1A0000}"/>
    <cellStyle name="ColumnHeading 3 2 2" xfId="6745" xr:uid="{00000000-0005-0000-0000-00003F1A0000}"/>
    <cellStyle name="ColumnHeading 3 2 2 2" xfId="6746" xr:uid="{00000000-0005-0000-0000-0000401A0000}"/>
    <cellStyle name="ColumnHeading 3 2 3" xfId="6747" xr:uid="{00000000-0005-0000-0000-0000411A0000}"/>
    <cellStyle name="ColumnHeading 3 2 4" xfId="6748" xr:uid="{00000000-0005-0000-0000-0000421A0000}"/>
    <cellStyle name="ColumnHeading 3 3" xfId="6749" xr:uid="{00000000-0005-0000-0000-0000431A0000}"/>
    <cellStyle name="ColumnHeading 3 3 2" xfId="6750" xr:uid="{00000000-0005-0000-0000-0000441A0000}"/>
    <cellStyle name="ColumnHeading 3 4" xfId="6751" xr:uid="{00000000-0005-0000-0000-0000451A0000}"/>
    <cellStyle name="ColumnHeading 3 5" xfId="6752" xr:uid="{00000000-0005-0000-0000-0000461A0000}"/>
    <cellStyle name="ColumnHeading 4" xfId="6753" xr:uid="{00000000-0005-0000-0000-0000471A0000}"/>
    <cellStyle name="ColumnHeading 4 2" xfId="6754" xr:uid="{00000000-0005-0000-0000-0000481A0000}"/>
    <cellStyle name="ColumnHeading 4 2 2" xfId="6755" xr:uid="{00000000-0005-0000-0000-0000491A0000}"/>
    <cellStyle name="ColumnHeading 4 2 2 2" xfId="6756" xr:uid="{00000000-0005-0000-0000-00004A1A0000}"/>
    <cellStyle name="ColumnHeading 4 2 3" xfId="6757" xr:uid="{00000000-0005-0000-0000-00004B1A0000}"/>
    <cellStyle name="ColumnHeading 4 2 4" xfId="6758" xr:uid="{00000000-0005-0000-0000-00004C1A0000}"/>
    <cellStyle name="ColumnHeading 4 3" xfId="6759" xr:uid="{00000000-0005-0000-0000-00004D1A0000}"/>
    <cellStyle name="ColumnHeading 4 3 2" xfId="6760" xr:uid="{00000000-0005-0000-0000-00004E1A0000}"/>
    <cellStyle name="ColumnHeading 4 4" xfId="6761" xr:uid="{00000000-0005-0000-0000-00004F1A0000}"/>
    <cellStyle name="ColumnHeading 4 5" xfId="6762" xr:uid="{00000000-0005-0000-0000-0000501A0000}"/>
    <cellStyle name="ColumnHeading 5" xfId="6763" xr:uid="{00000000-0005-0000-0000-0000511A0000}"/>
    <cellStyle name="ColumnHeading 5 2" xfId="6764" xr:uid="{00000000-0005-0000-0000-0000521A0000}"/>
    <cellStyle name="ColumnHeading 5 2 2" xfId="6765" xr:uid="{00000000-0005-0000-0000-0000531A0000}"/>
    <cellStyle name="ColumnHeading 5 2 2 2" xfId="6766" xr:uid="{00000000-0005-0000-0000-0000541A0000}"/>
    <cellStyle name="ColumnHeading 5 2 3" xfId="6767" xr:uid="{00000000-0005-0000-0000-0000551A0000}"/>
    <cellStyle name="ColumnHeading 5 2 4" xfId="6768" xr:uid="{00000000-0005-0000-0000-0000561A0000}"/>
    <cellStyle name="ColumnHeading 5 3" xfId="6769" xr:uid="{00000000-0005-0000-0000-0000571A0000}"/>
    <cellStyle name="ColumnHeading 5 3 2" xfId="6770" xr:uid="{00000000-0005-0000-0000-0000581A0000}"/>
    <cellStyle name="ColumnHeading 5 4" xfId="6771" xr:uid="{00000000-0005-0000-0000-0000591A0000}"/>
    <cellStyle name="ColumnHeading 5 5" xfId="6772" xr:uid="{00000000-0005-0000-0000-00005A1A0000}"/>
    <cellStyle name="ColumnHeading 6" xfId="6773" xr:uid="{00000000-0005-0000-0000-00005B1A0000}"/>
    <cellStyle name="ColumnHeading 6 2" xfId="6774" xr:uid="{00000000-0005-0000-0000-00005C1A0000}"/>
    <cellStyle name="ColumnHeading 6 2 2" xfId="6775" xr:uid="{00000000-0005-0000-0000-00005D1A0000}"/>
    <cellStyle name="ColumnHeading 6 2 2 2" xfId="6776" xr:uid="{00000000-0005-0000-0000-00005E1A0000}"/>
    <cellStyle name="ColumnHeading 6 2 3" xfId="6777" xr:uid="{00000000-0005-0000-0000-00005F1A0000}"/>
    <cellStyle name="ColumnHeading 6 2 4" xfId="6778" xr:uid="{00000000-0005-0000-0000-0000601A0000}"/>
    <cellStyle name="ColumnHeading 6 3" xfId="6779" xr:uid="{00000000-0005-0000-0000-0000611A0000}"/>
    <cellStyle name="ColumnHeading 6 3 2" xfId="6780" xr:uid="{00000000-0005-0000-0000-0000621A0000}"/>
    <cellStyle name="ColumnHeading 6 4" xfId="6781" xr:uid="{00000000-0005-0000-0000-0000631A0000}"/>
    <cellStyle name="ColumnHeading 6 5" xfId="6782" xr:uid="{00000000-0005-0000-0000-0000641A0000}"/>
    <cellStyle name="ColumnHeading 7" xfId="6783" xr:uid="{00000000-0005-0000-0000-0000651A0000}"/>
    <cellStyle name="ColumnHeading 7 2" xfId="6784" xr:uid="{00000000-0005-0000-0000-0000661A0000}"/>
    <cellStyle name="ColumnHeading 8" xfId="6785" xr:uid="{00000000-0005-0000-0000-0000671A0000}"/>
    <cellStyle name="ColumnHeading 9" xfId="6786" xr:uid="{00000000-0005-0000-0000-0000681A0000}"/>
    <cellStyle name="Comma" xfId="16864" xr:uid="{AF374F56-DBC2-4093-AE7E-ED14BEE6DAEE}"/>
    <cellStyle name="Comma  - Style1" xfId="6787" xr:uid="{00000000-0005-0000-0000-0000691A0000}"/>
    <cellStyle name="Comma  - Style2" xfId="6788" xr:uid="{00000000-0005-0000-0000-00006A1A0000}"/>
    <cellStyle name="Comma  - Style3" xfId="6789" xr:uid="{00000000-0005-0000-0000-00006B1A0000}"/>
    <cellStyle name="Comma  - Style4" xfId="6790" xr:uid="{00000000-0005-0000-0000-00006C1A0000}"/>
    <cellStyle name="Comma  - Style5" xfId="6791" xr:uid="{00000000-0005-0000-0000-00006D1A0000}"/>
    <cellStyle name="Comma  - Style6" xfId="6792" xr:uid="{00000000-0005-0000-0000-00006E1A0000}"/>
    <cellStyle name="Comma  - Style7" xfId="6793" xr:uid="{00000000-0005-0000-0000-00006F1A0000}"/>
    <cellStyle name="Comma  - Style8" xfId="6794" xr:uid="{00000000-0005-0000-0000-0000701A0000}"/>
    <cellStyle name="Comma [00]" xfId="6795" xr:uid="{00000000-0005-0000-0000-0000711A0000}"/>
    <cellStyle name="Comma [1]" xfId="6796" xr:uid="{00000000-0005-0000-0000-0000721A0000}"/>
    <cellStyle name="Comma [2]" xfId="6797" xr:uid="{00000000-0005-0000-0000-0000731A0000}"/>
    <cellStyle name="Comma [3]" xfId="6798" xr:uid="{00000000-0005-0000-0000-0000741A0000}"/>
    <cellStyle name="Comma 0" xfId="6799" xr:uid="{00000000-0005-0000-0000-0000751A0000}"/>
    <cellStyle name="Comma 0*" xfId="6800" xr:uid="{00000000-0005-0000-0000-0000761A0000}"/>
    <cellStyle name="Comma 0_Bioenergia_Model_259" xfId="6801" xr:uid="{00000000-0005-0000-0000-0000771A0000}"/>
    <cellStyle name="Comma 10" xfId="6802" xr:uid="{00000000-0005-0000-0000-0000781A0000}"/>
    <cellStyle name="Comma 11" xfId="6803" xr:uid="{00000000-0005-0000-0000-0000791A0000}"/>
    <cellStyle name="Comma 2" xfId="6804" xr:uid="{00000000-0005-0000-0000-00007A1A0000}"/>
    <cellStyle name="Comma 2 2" xfId="6805" xr:uid="{00000000-0005-0000-0000-00007B1A0000}"/>
    <cellStyle name="Comma 2 2 2" xfId="6806" xr:uid="{00000000-0005-0000-0000-00007C1A0000}"/>
    <cellStyle name="Comma 2 3" xfId="6807" xr:uid="{00000000-0005-0000-0000-00007D1A0000}"/>
    <cellStyle name="Comma 2 4" xfId="6808" xr:uid="{00000000-0005-0000-0000-00007E1A0000}"/>
    <cellStyle name="Comma 3" xfId="6809" xr:uid="{00000000-0005-0000-0000-00007F1A0000}"/>
    <cellStyle name="Comma 3 2" xfId="6810" xr:uid="{00000000-0005-0000-0000-0000801A0000}"/>
    <cellStyle name="Comma 3 3" xfId="6811" xr:uid="{00000000-0005-0000-0000-0000811A0000}"/>
    <cellStyle name="Comma 4" xfId="6812" xr:uid="{00000000-0005-0000-0000-0000821A0000}"/>
    <cellStyle name="Comma 4 2" xfId="6813" xr:uid="{00000000-0005-0000-0000-0000831A0000}"/>
    <cellStyle name="Comma 4 3" xfId="6814" xr:uid="{00000000-0005-0000-0000-0000841A0000}"/>
    <cellStyle name="Comma 5" xfId="6815" xr:uid="{00000000-0005-0000-0000-0000851A0000}"/>
    <cellStyle name="Comma 6" xfId="6816" xr:uid="{00000000-0005-0000-0000-0000861A0000}"/>
    <cellStyle name="Comma 7" xfId="6817" xr:uid="{00000000-0005-0000-0000-0000871A0000}"/>
    <cellStyle name="Comma 8" xfId="6818" xr:uid="{00000000-0005-0000-0000-0000881A0000}"/>
    <cellStyle name="Comma 9" xfId="6819" xr:uid="{00000000-0005-0000-0000-0000891A0000}"/>
    <cellStyle name="Comma Cents" xfId="6820" xr:uid="{00000000-0005-0000-0000-00008A1A0000}"/>
    <cellStyle name="Comma, 1 dec" xfId="6821" xr:uid="{00000000-0005-0000-0000-00008B1A0000}"/>
    <cellStyle name="Comma_Fluxo de Caixa - Usina 2 mi ton  (nova)" xfId="6822" xr:uid="{00000000-0005-0000-0000-00008C1A0000}"/>
    <cellStyle name="Comma0" xfId="6823" xr:uid="{00000000-0005-0000-0000-00008D1A0000}"/>
    <cellStyle name="Comma0 - Modelo1" xfId="6824" xr:uid="{00000000-0005-0000-0000-00008E1A0000}"/>
    <cellStyle name="Comma0 - Style1" xfId="6825" xr:uid="{00000000-0005-0000-0000-00008F1A0000}"/>
    <cellStyle name="Comma0 - Style2" xfId="6826" xr:uid="{00000000-0005-0000-0000-0000901A0000}"/>
    <cellStyle name="Comma0_Bioenergia_Model_259" xfId="6827" xr:uid="{00000000-0005-0000-0000-0000911A0000}"/>
    <cellStyle name="Comma1 - Modelo2" xfId="6828" xr:uid="{00000000-0005-0000-0000-0000921A0000}"/>
    <cellStyle name="Comma1 - Style1" xfId="6829" xr:uid="{00000000-0005-0000-0000-0000931A0000}"/>
    <cellStyle name="Comma1 - Style2" xfId="6830" xr:uid="{00000000-0005-0000-0000-0000941A0000}"/>
    <cellStyle name="Company" xfId="6831" xr:uid="{00000000-0005-0000-0000-0000951A0000}"/>
    <cellStyle name="Copied" xfId="6832" xr:uid="{00000000-0005-0000-0000-0000961A0000}"/>
    <cellStyle name="COST1" xfId="6833" xr:uid="{00000000-0005-0000-0000-0000971A0000}"/>
    <cellStyle name="CS" xfId="6834" xr:uid="{00000000-0005-0000-0000-0000981A0000}"/>
    <cellStyle name="CurRatio" xfId="6835" xr:uid="{00000000-0005-0000-0000-0000991A0000}"/>
    <cellStyle name="Curren - Style2" xfId="6836" xr:uid="{00000000-0005-0000-0000-00009A1A0000}"/>
    <cellStyle name="Currency--" xfId="6837" xr:uid="{00000000-0005-0000-0000-00009B1A0000}"/>
    <cellStyle name="Currency ($)" xfId="6838" xr:uid="{00000000-0005-0000-0000-00009C1A0000}"/>
    <cellStyle name="Currency (B)" xfId="6839" xr:uid="{00000000-0005-0000-0000-00009D1A0000}"/>
    <cellStyle name="Currency (B) 2" xfId="6840" xr:uid="{00000000-0005-0000-0000-00009E1A0000}"/>
    <cellStyle name="Currency (B) 2 2" xfId="6841" xr:uid="{00000000-0005-0000-0000-00009F1A0000}"/>
    <cellStyle name="Currency (B) 2 2 2" xfId="6842" xr:uid="{00000000-0005-0000-0000-0000A01A0000}"/>
    <cellStyle name="Currency (B) 2 2 2 2" xfId="6843" xr:uid="{00000000-0005-0000-0000-0000A11A0000}"/>
    <cellStyle name="Currency (B) 2 2 2 2 2" xfId="6844" xr:uid="{00000000-0005-0000-0000-0000A21A0000}"/>
    <cellStyle name="Currency (B) 2 2 2 3" xfId="6845" xr:uid="{00000000-0005-0000-0000-0000A31A0000}"/>
    <cellStyle name="Currency (B) 2 2 3" xfId="6846" xr:uid="{00000000-0005-0000-0000-0000A41A0000}"/>
    <cellStyle name="Currency (B) 2 2 3 2" xfId="6847" xr:uid="{00000000-0005-0000-0000-0000A51A0000}"/>
    <cellStyle name="Currency (B) 2 2 4" xfId="6848" xr:uid="{00000000-0005-0000-0000-0000A61A0000}"/>
    <cellStyle name="Currency (B) 2 3" xfId="6849" xr:uid="{00000000-0005-0000-0000-0000A71A0000}"/>
    <cellStyle name="Currency (B) 2 3 2" xfId="6850" xr:uid="{00000000-0005-0000-0000-0000A81A0000}"/>
    <cellStyle name="Currency (B) 2 3 2 2" xfId="6851" xr:uid="{00000000-0005-0000-0000-0000A91A0000}"/>
    <cellStyle name="Currency (B) 2 3 2 2 2" xfId="6852" xr:uid="{00000000-0005-0000-0000-0000AA1A0000}"/>
    <cellStyle name="Currency (B) 2 3 2 3" xfId="6853" xr:uid="{00000000-0005-0000-0000-0000AB1A0000}"/>
    <cellStyle name="Currency (B) 2 3 3" xfId="6854" xr:uid="{00000000-0005-0000-0000-0000AC1A0000}"/>
    <cellStyle name="Currency (B) 2 3 3 2" xfId="6855" xr:uid="{00000000-0005-0000-0000-0000AD1A0000}"/>
    <cellStyle name="Currency (B) 2 3 4" xfId="6856" xr:uid="{00000000-0005-0000-0000-0000AE1A0000}"/>
    <cellStyle name="Currency (B) 2 4" xfId="6857" xr:uid="{00000000-0005-0000-0000-0000AF1A0000}"/>
    <cellStyle name="Currency (B) 2 4 2" xfId="6858" xr:uid="{00000000-0005-0000-0000-0000B01A0000}"/>
    <cellStyle name="Currency (B) 2 4 2 2" xfId="6859" xr:uid="{00000000-0005-0000-0000-0000B11A0000}"/>
    <cellStyle name="Currency (B) 2 4 2 2 2" xfId="6860" xr:uid="{00000000-0005-0000-0000-0000B21A0000}"/>
    <cellStyle name="Currency (B) 2 4 2 3" xfId="6861" xr:uid="{00000000-0005-0000-0000-0000B31A0000}"/>
    <cellStyle name="Currency (B) 2 4 3" xfId="6862" xr:uid="{00000000-0005-0000-0000-0000B41A0000}"/>
    <cellStyle name="Currency (B) 2 4 3 2" xfId="6863" xr:uid="{00000000-0005-0000-0000-0000B51A0000}"/>
    <cellStyle name="Currency (B) 2 4 4" xfId="6864" xr:uid="{00000000-0005-0000-0000-0000B61A0000}"/>
    <cellStyle name="Currency (B) 2 5" xfId="6865" xr:uid="{00000000-0005-0000-0000-0000B71A0000}"/>
    <cellStyle name="Currency (B) 2 5 2" xfId="6866" xr:uid="{00000000-0005-0000-0000-0000B81A0000}"/>
    <cellStyle name="Currency (B) 2 5 2 2" xfId="6867" xr:uid="{00000000-0005-0000-0000-0000B91A0000}"/>
    <cellStyle name="Currency (B) 2 5 2 2 2" xfId="6868" xr:uid="{00000000-0005-0000-0000-0000BA1A0000}"/>
    <cellStyle name="Currency (B) 2 5 2 3" xfId="6869" xr:uid="{00000000-0005-0000-0000-0000BB1A0000}"/>
    <cellStyle name="Currency (B) 2 5 3" xfId="6870" xr:uid="{00000000-0005-0000-0000-0000BC1A0000}"/>
    <cellStyle name="Currency (B) 2 5 3 2" xfId="6871" xr:uid="{00000000-0005-0000-0000-0000BD1A0000}"/>
    <cellStyle name="Currency (B) 2 5 4" xfId="6872" xr:uid="{00000000-0005-0000-0000-0000BE1A0000}"/>
    <cellStyle name="Currency (B) 2 6" xfId="6873" xr:uid="{00000000-0005-0000-0000-0000BF1A0000}"/>
    <cellStyle name="Currency (B) 2 6 2" xfId="6874" xr:uid="{00000000-0005-0000-0000-0000C01A0000}"/>
    <cellStyle name="Currency (B) 2 7" xfId="6875" xr:uid="{00000000-0005-0000-0000-0000C11A0000}"/>
    <cellStyle name="Currency (B) 3" xfId="6876" xr:uid="{00000000-0005-0000-0000-0000C21A0000}"/>
    <cellStyle name="Currency (B) 3 2" xfId="6877" xr:uid="{00000000-0005-0000-0000-0000C31A0000}"/>
    <cellStyle name="Currency (B) 3 2 2" xfId="6878" xr:uid="{00000000-0005-0000-0000-0000C41A0000}"/>
    <cellStyle name="Currency (B) 3 2 2 2" xfId="6879" xr:uid="{00000000-0005-0000-0000-0000C51A0000}"/>
    <cellStyle name="Currency (B) 3 2 3" xfId="6880" xr:uid="{00000000-0005-0000-0000-0000C61A0000}"/>
    <cellStyle name="Currency (B) 3 3" xfId="6881" xr:uid="{00000000-0005-0000-0000-0000C71A0000}"/>
    <cellStyle name="Currency (B) 3 3 2" xfId="6882" xr:uid="{00000000-0005-0000-0000-0000C81A0000}"/>
    <cellStyle name="Currency (B) 3 4" xfId="6883" xr:uid="{00000000-0005-0000-0000-0000C91A0000}"/>
    <cellStyle name="Currency (B) 4" xfId="6884" xr:uid="{00000000-0005-0000-0000-0000CA1A0000}"/>
    <cellStyle name="Currency (B) 4 2" xfId="6885" xr:uid="{00000000-0005-0000-0000-0000CB1A0000}"/>
    <cellStyle name="Currency (B) 4 2 2" xfId="6886" xr:uid="{00000000-0005-0000-0000-0000CC1A0000}"/>
    <cellStyle name="Currency (B) 4 2 2 2" xfId="6887" xr:uid="{00000000-0005-0000-0000-0000CD1A0000}"/>
    <cellStyle name="Currency (B) 4 2 3" xfId="6888" xr:uid="{00000000-0005-0000-0000-0000CE1A0000}"/>
    <cellStyle name="Currency (B) 4 3" xfId="6889" xr:uid="{00000000-0005-0000-0000-0000CF1A0000}"/>
    <cellStyle name="Currency (B) 4 3 2" xfId="6890" xr:uid="{00000000-0005-0000-0000-0000D01A0000}"/>
    <cellStyle name="Currency (B) 4 4" xfId="6891" xr:uid="{00000000-0005-0000-0000-0000D11A0000}"/>
    <cellStyle name="Currency (B) 5" xfId="6892" xr:uid="{00000000-0005-0000-0000-0000D21A0000}"/>
    <cellStyle name="Currency (B) 5 2" xfId="6893" xr:uid="{00000000-0005-0000-0000-0000D31A0000}"/>
    <cellStyle name="Currency (B) 5 2 2" xfId="6894" xr:uid="{00000000-0005-0000-0000-0000D41A0000}"/>
    <cellStyle name="Currency (B) 5 2 2 2" xfId="6895" xr:uid="{00000000-0005-0000-0000-0000D51A0000}"/>
    <cellStyle name="Currency (B) 5 2 3" xfId="6896" xr:uid="{00000000-0005-0000-0000-0000D61A0000}"/>
    <cellStyle name="Currency (B) 5 3" xfId="6897" xr:uid="{00000000-0005-0000-0000-0000D71A0000}"/>
    <cellStyle name="Currency (B) 5 3 2" xfId="6898" xr:uid="{00000000-0005-0000-0000-0000D81A0000}"/>
    <cellStyle name="Currency (B) 5 4" xfId="6899" xr:uid="{00000000-0005-0000-0000-0000D91A0000}"/>
    <cellStyle name="Currency (B) 6" xfId="6900" xr:uid="{00000000-0005-0000-0000-0000DA1A0000}"/>
    <cellStyle name="Currency (B) 6 2" xfId="6901" xr:uid="{00000000-0005-0000-0000-0000DB1A0000}"/>
    <cellStyle name="Currency (B) 6 2 2" xfId="6902" xr:uid="{00000000-0005-0000-0000-0000DC1A0000}"/>
    <cellStyle name="Currency (B) 6 2 2 2" xfId="6903" xr:uid="{00000000-0005-0000-0000-0000DD1A0000}"/>
    <cellStyle name="Currency (B) 6 2 3" xfId="6904" xr:uid="{00000000-0005-0000-0000-0000DE1A0000}"/>
    <cellStyle name="Currency (B) 6 3" xfId="6905" xr:uid="{00000000-0005-0000-0000-0000DF1A0000}"/>
    <cellStyle name="Currency (B) 6 3 2" xfId="6906" xr:uid="{00000000-0005-0000-0000-0000E01A0000}"/>
    <cellStyle name="Currency (B) 6 4" xfId="6907" xr:uid="{00000000-0005-0000-0000-0000E11A0000}"/>
    <cellStyle name="Currency (B) 7" xfId="6908" xr:uid="{00000000-0005-0000-0000-0000E21A0000}"/>
    <cellStyle name="Currency (B) 7 2" xfId="6909" xr:uid="{00000000-0005-0000-0000-0000E31A0000}"/>
    <cellStyle name="Currency (B) 8" xfId="6910" xr:uid="{00000000-0005-0000-0000-0000E41A0000}"/>
    <cellStyle name="Currency [00]" xfId="6911" xr:uid="{00000000-0005-0000-0000-0000E51A0000}"/>
    <cellStyle name="Currency [1]" xfId="6912" xr:uid="{00000000-0005-0000-0000-0000E61A0000}"/>
    <cellStyle name="Currency [2]" xfId="6913" xr:uid="{00000000-0005-0000-0000-0000E71A0000}"/>
    <cellStyle name="Currency [2] 10" xfId="6914" xr:uid="{00000000-0005-0000-0000-0000E81A0000}"/>
    <cellStyle name="Currency [2] 10 2" xfId="6915" xr:uid="{00000000-0005-0000-0000-0000E91A0000}"/>
    <cellStyle name="Currency [2] 11" xfId="6916" xr:uid="{00000000-0005-0000-0000-0000EA1A0000}"/>
    <cellStyle name="Currency [2] 2" xfId="6917" xr:uid="{00000000-0005-0000-0000-0000EB1A0000}"/>
    <cellStyle name="Currency [2] 2 2" xfId="6918" xr:uid="{00000000-0005-0000-0000-0000EC1A0000}"/>
    <cellStyle name="Currency [2] 2 2 2" xfId="6919" xr:uid="{00000000-0005-0000-0000-0000ED1A0000}"/>
    <cellStyle name="Currency [2] 2 2 2 2" xfId="6920" xr:uid="{00000000-0005-0000-0000-0000EE1A0000}"/>
    <cellStyle name="Currency [2] 2 2 2 2 2" xfId="6921" xr:uid="{00000000-0005-0000-0000-0000EF1A0000}"/>
    <cellStyle name="Currency [2] 2 2 2 3" xfId="6922" xr:uid="{00000000-0005-0000-0000-0000F01A0000}"/>
    <cellStyle name="Currency [2] 2 2 3" xfId="6923" xr:uid="{00000000-0005-0000-0000-0000F11A0000}"/>
    <cellStyle name="Currency [2] 2 2 3 2" xfId="6924" xr:uid="{00000000-0005-0000-0000-0000F21A0000}"/>
    <cellStyle name="Currency [2] 2 2 4" xfId="6925" xr:uid="{00000000-0005-0000-0000-0000F31A0000}"/>
    <cellStyle name="Currency [2] 2 3" xfId="6926" xr:uid="{00000000-0005-0000-0000-0000F41A0000}"/>
    <cellStyle name="Currency [2] 2 3 2" xfId="6927" xr:uid="{00000000-0005-0000-0000-0000F51A0000}"/>
    <cellStyle name="Currency [2] 2 3 2 2" xfId="6928" xr:uid="{00000000-0005-0000-0000-0000F61A0000}"/>
    <cellStyle name="Currency [2] 2 3 3" xfId="6929" xr:uid="{00000000-0005-0000-0000-0000F71A0000}"/>
    <cellStyle name="Currency [2] 2 4" xfId="6930" xr:uid="{00000000-0005-0000-0000-0000F81A0000}"/>
    <cellStyle name="Currency [2] 2 4 2" xfId="6931" xr:uid="{00000000-0005-0000-0000-0000F91A0000}"/>
    <cellStyle name="Currency [2] 2 5" xfId="6932" xr:uid="{00000000-0005-0000-0000-0000FA1A0000}"/>
    <cellStyle name="Currency [2] 3" xfId="6933" xr:uid="{00000000-0005-0000-0000-0000FB1A0000}"/>
    <cellStyle name="Currency [2] 3 2" xfId="6934" xr:uid="{00000000-0005-0000-0000-0000FC1A0000}"/>
    <cellStyle name="Currency [2] 3 2 2" xfId="6935" xr:uid="{00000000-0005-0000-0000-0000FD1A0000}"/>
    <cellStyle name="Currency [2] 3 2 2 2" xfId="6936" xr:uid="{00000000-0005-0000-0000-0000FE1A0000}"/>
    <cellStyle name="Currency [2] 3 2 2 2 2" xfId="6937" xr:uid="{00000000-0005-0000-0000-0000FF1A0000}"/>
    <cellStyle name="Currency [2] 3 2 2 3" xfId="6938" xr:uid="{00000000-0005-0000-0000-0000001B0000}"/>
    <cellStyle name="Currency [2] 3 2 3" xfId="6939" xr:uid="{00000000-0005-0000-0000-0000011B0000}"/>
    <cellStyle name="Currency [2] 3 2 3 2" xfId="6940" xr:uid="{00000000-0005-0000-0000-0000021B0000}"/>
    <cellStyle name="Currency [2] 3 2 4" xfId="6941" xr:uid="{00000000-0005-0000-0000-0000031B0000}"/>
    <cellStyle name="Currency [2] 3 3" xfId="6942" xr:uid="{00000000-0005-0000-0000-0000041B0000}"/>
    <cellStyle name="Currency [2] 3 3 2" xfId="6943" xr:uid="{00000000-0005-0000-0000-0000051B0000}"/>
    <cellStyle name="Currency [2] 3 3 2 2" xfId="6944" xr:uid="{00000000-0005-0000-0000-0000061B0000}"/>
    <cellStyle name="Currency [2] 3 3 3" xfId="6945" xr:uid="{00000000-0005-0000-0000-0000071B0000}"/>
    <cellStyle name="Currency [2] 3 4" xfId="6946" xr:uid="{00000000-0005-0000-0000-0000081B0000}"/>
    <cellStyle name="Currency [2] 3 4 2" xfId="6947" xr:uid="{00000000-0005-0000-0000-0000091B0000}"/>
    <cellStyle name="Currency [2] 3 5" xfId="6948" xr:uid="{00000000-0005-0000-0000-00000A1B0000}"/>
    <cellStyle name="Currency [2] 4" xfId="6949" xr:uid="{00000000-0005-0000-0000-00000B1B0000}"/>
    <cellStyle name="Currency [2] 4 2" xfId="6950" xr:uid="{00000000-0005-0000-0000-00000C1B0000}"/>
    <cellStyle name="Currency [2] 4 2 2" xfId="6951" xr:uid="{00000000-0005-0000-0000-00000D1B0000}"/>
    <cellStyle name="Currency [2] 4 2 2 2" xfId="6952" xr:uid="{00000000-0005-0000-0000-00000E1B0000}"/>
    <cellStyle name="Currency [2] 4 2 2 2 2" xfId="6953" xr:uid="{00000000-0005-0000-0000-00000F1B0000}"/>
    <cellStyle name="Currency [2] 4 2 2 3" xfId="6954" xr:uid="{00000000-0005-0000-0000-0000101B0000}"/>
    <cellStyle name="Currency [2] 4 2 3" xfId="6955" xr:uid="{00000000-0005-0000-0000-0000111B0000}"/>
    <cellStyle name="Currency [2] 4 2 3 2" xfId="6956" xr:uid="{00000000-0005-0000-0000-0000121B0000}"/>
    <cellStyle name="Currency [2] 4 2 4" xfId="6957" xr:uid="{00000000-0005-0000-0000-0000131B0000}"/>
    <cellStyle name="Currency [2] 4 3" xfId="6958" xr:uid="{00000000-0005-0000-0000-0000141B0000}"/>
    <cellStyle name="Currency [2] 4 3 2" xfId="6959" xr:uid="{00000000-0005-0000-0000-0000151B0000}"/>
    <cellStyle name="Currency [2] 4 3 2 2" xfId="6960" xr:uid="{00000000-0005-0000-0000-0000161B0000}"/>
    <cellStyle name="Currency [2] 4 3 3" xfId="6961" xr:uid="{00000000-0005-0000-0000-0000171B0000}"/>
    <cellStyle name="Currency [2] 4 4" xfId="6962" xr:uid="{00000000-0005-0000-0000-0000181B0000}"/>
    <cellStyle name="Currency [2] 4 4 2" xfId="6963" xr:uid="{00000000-0005-0000-0000-0000191B0000}"/>
    <cellStyle name="Currency [2] 4 5" xfId="6964" xr:uid="{00000000-0005-0000-0000-00001A1B0000}"/>
    <cellStyle name="Currency [2] 5" xfId="6965" xr:uid="{00000000-0005-0000-0000-00001B1B0000}"/>
    <cellStyle name="Currency [2] 5 2" xfId="6966" xr:uid="{00000000-0005-0000-0000-00001C1B0000}"/>
    <cellStyle name="Currency [2] 5 2 2" xfId="6967" xr:uid="{00000000-0005-0000-0000-00001D1B0000}"/>
    <cellStyle name="Currency [2] 5 2 2 2" xfId="6968" xr:uid="{00000000-0005-0000-0000-00001E1B0000}"/>
    <cellStyle name="Currency [2] 5 2 2 2 2" xfId="6969" xr:uid="{00000000-0005-0000-0000-00001F1B0000}"/>
    <cellStyle name="Currency [2] 5 2 2 3" xfId="6970" xr:uid="{00000000-0005-0000-0000-0000201B0000}"/>
    <cellStyle name="Currency [2] 5 2 3" xfId="6971" xr:uid="{00000000-0005-0000-0000-0000211B0000}"/>
    <cellStyle name="Currency [2] 5 2 3 2" xfId="6972" xr:uid="{00000000-0005-0000-0000-0000221B0000}"/>
    <cellStyle name="Currency [2] 5 2 4" xfId="6973" xr:uid="{00000000-0005-0000-0000-0000231B0000}"/>
    <cellStyle name="Currency [2] 5 3" xfId="6974" xr:uid="{00000000-0005-0000-0000-0000241B0000}"/>
    <cellStyle name="Currency [2] 5 3 2" xfId="6975" xr:uid="{00000000-0005-0000-0000-0000251B0000}"/>
    <cellStyle name="Currency [2] 5 3 2 2" xfId="6976" xr:uid="{00000000-0005-0000-0000-0000261B0000}"/>
    <cellStyle name="Currency [2] 5 3 3" xfId="6977" xr:uid="{00000000-0005-0000-0000-0000271B0000}"/>
    <cellStyle name="Currency [2] 5 4" xfId="6978" xr:uid="{00000000-0005-0000-0000-0000281B0000}"/>
    <cellStyle name="Currency [2] 5 4 2" xfId="6979" xr:uid="{00000000-0005-0000-0000-0000291B0000}"/>
    <cellStyle name="Currency [2] 5 5" xfId="6980" xr:uid="{00000000-0005-0000-0000-00002A1B0000}"/>
    <cellStyle name="Currency [2] 6" xfId="6981" xr:uid="{00000000-0005-0000-0000-00002B1B0000}"/>
    <cellStyle name="Currency [2] 6 2" xfId="6982" xr:uid="{00000000-0005-0000-0000-00002C1B0000}"/>
    <cellStyle name="Currency [2] 6 2 2" xfId="6983" xr:uid="{00000000-0005-0000-0000-00002D1B0000}"/>
    <cellStyle name="Currency [2] 6 2 2 2" xfId="6984" xr:uid="{00000000-0005-0000-0000-00002E1B0000}"/>
    <cellStyle name="Currency [2] 6 2 2 2 2" xfId="6985" xr:uid="{00000000-0005-0000-0000-00002F1B0000}"/>
    <cellStyle name="Currency [2] 6 2 2 3" xfId="6986" xr:uid="{00000000-0005-0000-0000-0000301B0000}"/>
    <cellStyle name="Currency [2] 6 2 3" xfId="6987" xr:uid="{00000000-0005-0000-0000-0000311B0000}"/>
    <cellStyle name="Currency [2] 6 2 3 2" xfId="6988" xr:uid="{00000000-0005-0000-0000-0000321B0000}"/>
    <cellStyle name="Currency [2] 6 2 4" xfId="6989" xr:uid="{00000000-0005-0000-0000-0000331B0000}"/>
    <cellStyle name="Currency [2] 6 3" xfId="6990" xr:uid="{00000000-0005-0000-0000-0000341B0000}"/>
    <cellStyle name="Currency [2] 6 3 2" xfId="6991" xr:uid="{00000000-0005-0000-0000-0000351B0000}"/>
    <cellStyle name="Currency [2] 6 3 2 2" xfId="6992" xr:uid="{00000000-0005-0000-0000-0000361B0000}"/>
    <cellStyle name="Currency [2] 6 3 3" xfId="6993" xr:uid="{00000000-0005-0000-0000-0000371B0000}"/>
    <cellStyle name="Currency [2] 6 4" xfId="6994" xr:uid="{00000000-0005-0000-0000-0000381B0000}"/>
    <cellStyle name="Currency [2] 6 4 2" xfId="6995" xr:uid="{00000000-0005-0000-0000-0000391B0000}"/>
    <cellStyle name="Currency [2] 6 5" xfId="6996" xr:uid="{00000000-0005-0000-0000-00003A1B0000}"/>
    <cellStyle name="Currency [2] 7" xfId="6997" xr:uid="{00000000-0005-0000-0000-00003B1B0000}"/>
    <cellStyle name="Currency [2] 7 2" xfId="6998" xr:uid="{00000000-0005-0000-0000-00003C1B0000}"/>
    <cellStyle name="Currency [2] 7 2 2" xfId="6999" xr:uid="{00000000-0005-0000-0000-00003D1B0000}"/>
    <cellStyle name="Currency [2] 7 2 2 2" xfId="7000" xr:uid="{00000000-0005-0000-0000-00003E1B0000}"/>
    <cellStyle name="Currency [2] 7 2 2 2 2" xfId="7001" xr:uid="{00000000-0005-0000-0000-00003F1B0000}"/>
    <cellStyle name="Currency [2] 7 2 2 3" xfId="7002" xr:uid="{00000000-0005-0000-0000-0000401B0000}"/>
    <cellStyle name="Currency [2] 7 2 3" xfId="7003" xr:uid="{00000000-0005-0000-0000-0000411B0000}"/>
    <cellStyle name="Currency [2] 7 2 3 2" xfId="7004" xr:uid="{00000000-0005-0000-0000-0000421B0000}"/>
    <cellStyle name="Currency [2] 7 2 4" xfId="7005" xr:uid="{00000000-0005-0000-0000-0000431B0000}"/>
    <cellStyle name="Currency [2] 7 3" xfId="7006" xr:uid="{00000000-0005-0000-0000-0000441B0000}"/>
    <cellStyle name="Currency [2] 7 3 2" xfId="7007" xr:uid="{00000000-0005-0000-0000-0000451B0000}"/>
    <cellStyle name="Currency [2] 7 3 2 2" xfId="7008" xr:uid="{00000000-0005-0000-0000-0000461B0000}"/>
    <cellStyle name="Currency [2] 7 3 3" xfId="7009" xr:uid="{00000000-0005-0000-0000-0000471B0000}"/>
    <cellStyle name="Currency [2] 7 4" xfId="7010" xr:uid="{00000000-0005-0000-0000-0000481B0000}"/>
    <cellStyle name="Currency [2] 7 4 2" xfId="7011" xr:uid="{00000000-0005-0000-0000-0000491B0000}"/>
    <cellStyle name="Currency [2] 7 5" xfId="7012" xr:uid="{00000000-0005-0000-0000-00004A1B0000}"/>
    <cellStyle name="Currency [2] 8" xfId="7013" xr:uid="{00000000-0005-0000-0000-00004B1B0000}"/>
    <cellStyle name="Currency [2] 8 2" xfId="7014" xr:uid="{00000000-0005-0000-0000-00004C1B0000}"/>
    <cellStyle name="Currency [2] 8 2 2" xfId="7015" xr:uid="{00000000-0005-0000-0000-00004D1B0000}"/>
    <cellStyle name="Currency [2] 8 2 2 2" xfId="7016" xr:uid="{00000000-0005-0000-0000-00004E1B0000}"/>
    <cellStyle name="Currency [2] 8 2 3" xfId="7017" xr:uid="{00000000-0005-0000-0000-00004F1B0000}"/>
    <cellStyle name="Currency [2] 8 3" xfId="7018" xr:uid="{00000000-0005-0000-0000-0000501B0000}"/>
    <cellStyle name="Currency [2] 8 3 2" xfId="7019" xr:uid="{00000000-0005-0000-0000-0000511B0000}"/>
    <cellStyle name="Currency [2] 8 4" xfId="7020" xr:uid="{00000000-0005-0000-0000-0000521B0000}"/>
    <cellStyle name="Currency [2] 9" xfId="7021" xr:uid="{00000000-0005-0000-0000-0000531B0000}"/>
    <cellStyle name="Currency [2] 9 2" xfId="7022" xr:uid="{00000000-0005-0000-0000-0000541B0000}"/>
    <cellStyle name="Currency [2] 9 2 2" xfId="7023" xr:uid="{00000000-0005-0000-0000-0000551B0000}"/>
    <cellStyle name="Currency [2] 9 3" xfId="7024" xr:uid="{00000000-0005-0000-0000-0000561B0000}"/>
    <cellStyle name="Currency [3]" xfId="7025" xr:uid="{00000000-0005-0000-0000-0000571B0000}"/>
    <cellStyle name="Currency 0" xfId="7026" xr:uid="{00000000-0005-0000-0000-0000581B0000}"/>
    <cellStyle name="Currency 2" xfId="7027" xr:uid="{00000000-0005-0000-0000-0000591B0000}"/>
    <cellStyle name="Currency-- 2" xfId="7028" xr:uid="{00000000-0005-0000-0000-00005A1B0000}"/>
    <cellStyle name="Currency 2 2" xfId="7029" xr:uid="{00000000-0005-0000-0000-00005B1B0000}"/>
    <cellStyle name="Currency-- 2 2" xfId="7030" xr:uid="{00000000-0005-0000-0000-00005C1B0000}"/>
    <cellStyle name="Currency-- 2 2 2" xfId="7031" xr:uid="{00000000-0005-0000-0000-00005D1B0000}"/>
    <cellStyle name="Currency-- 2 2 2 2" xfId="7032" xr:uid="{00000000-0005-0000-0000-00005E1B0000}"/>
    <cellStyle name="Currency-- 2 2 3" xfId="7033" xr:uid="{00000000-0005-0000-0000-00005F1B0000}"/>
    <cellStyle name="Currency-- 2 3" xfId="7034" xr:uid="{00000000-0005-0000-0000-0000601B0000}"/>
    <cellStyle name="Currency-- 2 3 2" xfId="7035" xr:uid="{00000000-0005-0000-0000-0000611B0000}"/>
    <cellStyle name="Currency-- 2 4" xfId="7036" xr:uid="{00000000-0005-0000-0000-0000621B0000}"/>
    <cellStyle name="Currency 3" xfId="7037" xr:uid="{00000000-0005-0000-0000-0000631B0000}"/>
    <cellStyle name="Currency-- 3" xfId="7038" xr:uid="{00000000-0005-0000-0000-0000641B0000}"/>
    <cellStyle name="Currency-- 3 2" xfId="7039" xr:uid="{00000000-0005-0000-0000-0000651B0000}"/>
    <cellStyle name="Currency-- 3 2 2" xfId="7040" xr:uid="{00000000-0005-0000-0000-0000661B0000}"/>
    <cellStyle name="Currency-- 3 3" xfId="7041" xr:uid="{00000000-0005-0000-0000-0000671B0000}"/>
    <cellStyle name="Currency 3*" xfId="7042" xr:uid="{00000000-0005-0000-0000-0000681B0000}"/>
    <cellStyle name="Currency 4" xfId="7043" xr:uid="{00000000-0005-0000-0000-0000691B0000}"/>
    <cellStyle name="Currency-- 4" xfId="7044" xr:uid="{00000000-0005-0000-0000-00006A1B0000}"/>
    <cellStyle name="Currency-- 4 2" xfId="7045" xr:uid="{00000000-0005-0000-0000-00006B1B0000}"/>
    <cellStyle name="Currency-- 5" xfId="7046" xr:uid="{00000000-0005-0000-0000-00006C1B0000}"/>
    <cellStyle name="Currency-- 5 2" xfId="7047" xr:uid="{00000000-0005-0000-0000-00006D1B0000}"/>
    <cellStyle name="Currency-- 6" xfId="7048" xr:uid="{00000000-0005-0000-0000-00006E1B0000}"/>
    <cellStyle name="Currency-- 7" xfId="7049" xr:uid="{00000000-0005-0000-0000-00006F1B0000}"/>
    <cellStyle name="Currency-- 8" xfId="7050" xr:uid="{00000000-0005-0000-0000-0000701B0000}"/>
    <cellStyle name="Currency-- 9" xfId="7051" xr:uid="{00000000-0005-0000-0000-0000711B0000}"/>
    <cellStyle name="Currency Per Share" xfId="7052" xr:uid="{00000000-0005-0000-0000-0000721B0000}"/>
    <cellStyle name="Currency0" xfId="7053" xr:uid="{00000000-0005-0000-0000-0000731B0000}"/>
    <cellStyle name="Currency2" xfId="7054" xr:uid="{00000000-0005-0000-0000-0000741B0000}"/>
    <cellStyle name="Currsmall" xfId="7055" xr:uid="{00000000-0005-0000-0000-0000751B0000}"/>
    <cellStyle name="D" xfId="7056" xr:uid="{00000000-0005-0000-0000-0000761B0000}"/>
    <cellStyle name="D_graph synthèse des valos Circuit A" xfId="7057" xr:uid="{00000000-0005-0000-0000-0000771B0000}"/>
    <cellStyle name="d_Modelo RS v6" xfId="7058" xr:uid="{00000000-0005-0000-0000-0000781B0000}"/>
    <cellStyle name="d_yield" xfId="7059" xr:uid="{00000000-0005-0000-0000-0000791B0000}"/>
    <cellStyle name="d_yield 2" xfId="7060" xr:uid="{00000000-0005-0000-0000-00007A1B0000}"/>
    <cellStyle name="d_yield 2 2" xfId="7061" xr:uid="{00000000-0005-0000-0000-00007B1B0000}"/>
    <cellStyle name="d_yield 2 2 2" xfId="7062" xr:uid="{00000000-0005-0000-0000-00007C1B0000}"/>
    <cellStyle name="d_yield 2 3" xfId="7063" xr:uid="{00000000-0005-0000-0000-00007D1B0000}"/>
    <cellStyle name="d_yield 3" xfId="7064" xr:uid="{00000000-0005-0000-0000-00007E1B0000}"/>
    <cellStyle name="d_yield 3 2" xfId="7065" xr:uid="{00000000-0005-0000-0000-00007F1B0000}"/>
    <cellStyle name="d_yield 4" xfId="7066" xr:uid="{00000000-0005-0000-0000-0000801B0000}"/>
    <cellStyle name="d_yield_AVP" xfId="7067" xr:uid="{00000000-0005-0000-0000-0000811B0000}"/>
    <cellStyle name="d_yield_AVP 2" xfId="7068" xr:uid="{00000000-0005-0000-0000-0000821B0000}"/>
    <cellStyle name="d_yield_AVP 2 2" xfId="7069" xr:uid="{00000000-0005-0000-0000-0000831B0000}"/>
    <cellStyle name="d_yield_AVP 2 2 2" xfId="7070" xr:uid="{00000000-0005-0000-0000-0000841B0000}"/>
    <cellStyle name="d_yield_AVP 2 3" xfId="7071" xr:uid="{00000000-0005-0000-0000-0000851B0000}"/>
    <cellStyle name="d_yield_AVP 3" xfId="7072" xr:uid="{00000000-0005-0000-0000-0000861B0000}"/>
    <cellStyle name="d_yield_AVP 3 2" xfId="7073" xr:uid="{00000000-0005-0000-0000-0000871B0000}"/>
    <cellStyle name="d_yield_AVP 4" xfId="7074" xr:uid="{00000000-0005-0000-0000-0000881B0000}"/>
    <cellStyle name="d_yield_AVP_Graphic Depiction - NO DEV" xfId="7075" xr:uid="{00000000-0005-0000-0000-0000891B0000}"/>
    <cellStyle name="d_yield_AVP_Graphic Depiction - NO DEV 2" xfId="7076" xr:uid="{00000000-0005-0000-0000-00008A1B0000}"/>
    <cellStyle name="d_yield_AVP_Graphic Depiction - NO DEV 2 2" xfId="7077" xr:uid="{00000000-0005-0000-0000-00008B1B0000}"/>
    <cellStyle name="d_yield_AVP_Graphic Depiction - NO DEV 2 2 2" xfId="7078" xr:uid="{00000000-0005-0000-0000-00008C1B0000}"/>
    <cellStyle name="d_yield_AVP_Graphic Depiction - NO DEV 2 3" xfId="7079" xr:uid="{00000000-0005-0000-0000-00008D1B0000}"/>
    <cellStyle name="d_yield_AVP_Graphic Depiction - NO DEV 3" xfId="7080" xr:uid="{00000000-0005-0000-0000-00008E1B0000}"/>
    <cellStyle name="d_yield_AVP_Graphic Depiction - NO DEV 3 2" xfId="7081" xr:uid="{00000000-0005-0000-0000-00008F1B0000}"/>
    <cellStyle name="d_yield_AVP_Graphic Depiction - NO DEV 4" xfId="7082" xr:uid="{00000000-0005-0000-0000-0000901B0000}"/>
    <cellStyle name="d_yield_AVP_Graphic Depiction - NO DEV_HRT O&amp;G" xfId="7083" xr:uid="{00000000-0005-0000-0000-0000911B0000}"/>
    <cellStyle name="d_yield_AVP_Graphic Depiction - NO DEV_HRT O&amp;G 2" xfId="7084" xr:uid="{00000000-0005-0000-0000-0000921B0000}"/>
    <cellStyle name="d_yield_AVP_Graphic Depiction - NO DEV_HRT O&amp;G 2 2" xfId="7085" xr:uid="{00000000-0005-0000-0000-0000931B0000}"/>
    <cellStyle name="d_yield_AVP_Graphic Depiction - NO DEV_HRT O&amp;G 3" xfId="7086" xr:uid="{00000000-0005-0000-0000-0000941B0000}"/>
    <cellStyle name="d_yield_AVP_HRT O&amp;G" xfId="7087" xr:uid="{00000000-0005-0000-0000-0000951B0000}"/>
    <cellStyle name="d_yield_AVP_HRT O&amp;G 2" xfId="7088" xr:uid="{00000000-0005-0000-0000-0000961B0000}"/>
    <cellStyle name="d_yield_AVP_HRT O&amp;G 2 2" xfId="7089" xr:uid="{00000000-0005-0000-0000-0000971B0000}"/>
    <cellStyle name="d_yield_AVP_HRT O&amp;G 3" xfId="7090" xr:uid="{00000000-0005-0000-0000-0000981B0000}"/>
    <cellStyle name="d_yield_AVP_THEsumPage (2)" xfId="7091" xr:uid="{00000000-0005-0000-0000-0000991B0000}"/>
    <cellStyle name="d_yield_AVP_THEsumPage (2) 2" xfId="7092" xr:uid="{00000000-0005-0000-0000-00009A1B0000}"/>
    <cellStyle name="d_yield_AVP_THEsumPage (2) 2 2" xfId="7093" xr:uid="{00000000-0005-0000-0000-00009B1B0000}"/>
    <cellStyle name="d_yield_AVP_THEsumPage (2) 2 2 2" xfId="7094" xr:uid="{00000000-0005-0000-0000-00009C1B0000}"/>
    <cellStyle name="d_yield_AVP_THEsumPage (2) 2 3" xfId="7095" xr:uid="{00000000-0005-0000-0000-00009D1B0000}"/>
    <cellStyle name="d_yield_AVP_THEsumPage (2) 3" xfId="7096" xr:uid="{00000000-0005-0000-0000-00009E1B0000}"/>
    <cellStyle name="d_yield_AVP_THEsumPage (2) 3 2" xfId="7097" xr:uid="{00000000-0005-0000-0000-00009F1B0000}"/>
    <cellStyle name="d_yield_AVP_THEsumPage (2) 4" xfId="7098" xr:uid="{00000000-0005-0000-0000-0000A01B0000}"/>
    <cellStyle name="d_yield_AVP_THEsumPage (2)_HRT O&amp;G" xfId="7099" xr:uid="{00000000-0005-0000-0000-0000A11B0000}"/>
    <cellStyle name="d_yield_AVP_THEsumPage (2)_HRT O&amp;G 2" xfId="7100" xr:uid="{00000000-0005-0000-0000-0000A21B0000}"/>
    <cellStyle name="d_yield_AVP_THEsumPage (2)_HRT O&amp;G 2 2" xfId="7101" xr:uid="{00000000-0005-0000-0000-0000A31B0000}"/>
    <cellStyle name="d_yield_AVP_THEsumPage (2)_HRT O&amp;G 3" xfId="7102" xr:uid="{00000000-0005-0000-0000-0000A41B0000}"/>
    <cellStyle name="d_yield_CompSheet" xfId="7103" xr:uid="{00000000-0005-0000-0000-0000A51B0000}"/>
    <cellStyle name="d_yield_CompSheet 2" xfId="7104" xr:uid="{00000000-0005-0000-0000-0000A61B0000}"/>
    <cellStyle name="d_yield_CompSheet 2 2" xfId="7105" xr:uid="{00000000-0005-0000-0000-0000A71B0000}"/>
    <cellStyle name="d_yield_CompSheet 2 2 2" xfId="7106" xr:uid="{00000000-0005-0000-0000-0000A81B0000}"/>
    <cellStyle name="d_yield_CompSheet 2 3" xfId="7107" xr:uid="{00000000-0005-0000-0000-0000A91B0000}"/>
    <cellStyle name="d_yield_CompSheet 3" xfId="7108" xr:uid="{00000000-0005-0000-0000-0000AA1B0000}"/>
    <cellStyle name="d_yield_CompSheet 3 2" xfId="7109" xr:uid="{00000000-0005-0000-0000-0000AB1B0000}"/>
    <cellStyle name="d_yield_CompSheet 4" xfId="7110" xr:uid="{00000000-0005-0000-0000-0000AC1B0000}"/>
    <cellStyle name="d_yield_CompSheet_HRT O&amp;G" xfId="7111" xr:uid="{00000000-0005-0000-0000-0000AD1B0000}"/>
    <cellStyle name="d_yield_CompSheet_HRT O&amp;G 2" xfId="7112" xr:uid="{00000000-0005-0000-0000-0000AE1B0000}"/>
    <cellStyle name="d_yield_CompSheet_HRT O&amp;G 2 2" xfId="7113" xr:uid="{00000000-0005-0000-0000-0000AF1B0000}"/>
    <cellStyle name="d_yield_CompSheet_HRT O&amp;G 3" xfId="7114" xr:uid="{00000000-0005-0000-0000-0000B01B0000}"/>
    <cellStyle name="d_yield_Disc Analysis" xfId="7115" xr:uid="{00000000-0005-0000-0000-0000B11B0000}"/>
    <cellStyle name="d_yield_Disc Analysis 2" xfId="7116" xr:uid="{00000000-0005-0000-0000-0000B21B0000}"/>
    <cellStyle name="d_yield_Disc Analysis 2 2" xfId="7117" xr:uid="{00000000-0005-0000-0000-0000B31B0000}"/>
    <cellStyle name="d_yield_Disc Analysis 2 2 2" xfId="7118" xr:uid="{00000000-0005-0000-0000-0000B41B0000}"/>
    <cellStyle name="d_yield_Disc Analysis 2 3" xfId="7119" xr:uid="{00000000-0005-0000-0000-0000B51B0000}"/>
    <cellStyle name="d_yield_Disc Analysis 3" xfId="7120" xr:uid="{00000000-0005-0000-0000-0000B61B0000}"/>
    <cellStyle name="d_yield_Disc Analysis 3 2" xfId="7121" xr:uid="{00000000-0005-0000-0000-0000B71B0000}"/>
    <cellStyle name="d_yield_Disc Analysis 4" xfId="7122" xr:uid="{00000000-0005-0000-0000-0000B81B0000}"/>
    <cellStyle name="d_yield_Disc Analysis_CompSheet" xfId="7123" xr:uid="{00000000-0005-0000-0000-0000B91B0000}"/>
    <cellStyle name="d_yield_Disc Analysis_CompSheet 2" xfId="7124" xr:uid="{00000000-0005-0000-0000-0000BA1B0000}"/>
    <cellStyle name="d_yield_Disc Analysis_CompSheet 2 2" xfId="7125" xr:uid="{00000000-0005-0000-0000-0000BB1B0000}"/>
    <cellStyle name="d_yield_Disc Analysis_CompSheet 2 2 2" xfId="7126" xr:uid="{00000000-0005-0000-0000-0000BC1B0000}"/>
    <cellStyle name="d_yield_Disc Analysis_CompSheet 2 3" xfId="7127" xr:uid="{00000000-0005-0000-0000-0000BD1B0000}"/>
    <cellStyle name="d_yield_Disc Analysis_CompSheet 3" xfId="7128" xr:uid="{00000000-0005-0000-0000-0000BE1B0000}"/>
    <cellStyle name="d_yield_Disc Analysis_CompSheet 3 2" xfId="7129" xr:uid="{00000000-0005-0000-0000-0000BF1B0000}"/>
    <cellStyle name="d_yield_Disc Analysis_CompSheet 4" xfId="7130" xr:uid="{00000000-0005-0000-0000-0000C01B0000}"/>
    <cellStyle name="d_yield_Disc Analysis_CompSheet_HRT O&amp;G" xfId="7131" xr:uid="{00000000-0005-0000-0000-0000C11B0000}"/>
    <cellStyle name="d_yield_Disc Analysis_CompSheet_HRT O&amp;G 2" xfId="7132" xr:uid="{00000000-0005-0000-0000-0000C21B0000}"/>
    <cellStyle name="d_yield_Disc Analysis_CompSheet_HRT O&amp;G 2 2" xfId="7133" xr:uid="{00000000-0005-0000-0000-0000C31B0000}"/>
    <cellStyle name="d_yield_Disc Analysis_CompSheet_HRT O&amp;G 3" xfId="7134" xr:uid="{00000000-0005-0000-0000-0000C41B0000}"/>
    <cellStyle name="d_yield_Disc Analysis_HRT O&amp;G" xfId="7135" xr:uid="{00000000-0005-0000-0000-0000C51B0000}"/>
    <cellStyle name="d_yield_Disc Analysis_HRT O&amp;G 2" xfId="7136" xr:uid="{00000000-0005-0000-0000-0000C61B0000}"/>
    <cellStyle name="d_yield_Disc Analysis_HRT O&amp;G 2 2" xfId="7137" xr:uid="{00000000-0005-0000-0000-0000C71B0000}"/>
    <cellStyle name="d_yield_Disc Analysis_HRT O&amp;G 3" xfId="7138" xr:uid="{00000000-0005-0000-0000-0000C81B0000}"/>
    <cellStyle name="d_yield_Disc Analysis_THEsumPage (2)" xfId="7139" xr:uid="{00000000-0005-0000-0000-0000C91B0000}"/>
    <cellStyle name="d_yield_Disc Analysis_THEsumPage (2) 2" xfId="7140" xr:uid="{00000000-0005-0000-0000-0000CA1B0000}"/>
    <cellStyle name="d_yield_Disc Analysis_THEsumPage (2) 2 2" xfId="7141" xr:uid="{00000000-0005-0000-0000-0000CB1B0000}"/>
    <cellStyle name="d_yield_Disc Analysis_THEsumPage (2) 2 2 2" xfId="7142" xr:uid="{00000000-0005-0000-0000-0000CC1B0000}"/>
    <cellStyle name="d_yield_Disc Analysis_THEsumPage (2) 2 3" xfId="7143" xr:uid="{00000000-0005-0000-0000-0000CD1B0000}"/>
    <cellStyle name="d_yield_Disc Analysis_THEsumPage (2) 3" xfId="7144" xr:uid="{00000000-0005-0000-0000-0000CE1B0000}"/>
    <cellStyle name="d_yield_Disc Analysis_THEsumPage (2) 3 2" xfId="7145" xr:uid="{00000000-0005-0000-0000-0000CF1B0000}"/>
    <cellStyle name="d_yield_Disc Analysis_THEsumPage (2) 4" xfId="7146" xr:uid="{00000000-0005-0000-0000-0000D01B0000}"/>
    <cellStyle name="d_yield_Disc Analysis_THEsumPage (2)_HRT O&amp;G" xfId="7147" xr:uid="{00000000-0005-0000-0000-0000D11B0000}"/>
    <cellStyle name="d_yield_Disc Analysis_THEsumPage (2)_HRT O&amp;G 2" xfId="7148" xr:uid="{00000000-0005-0000-0000-0000D21B0000}"/>
    <cellStyle name="d_yield_Disc Analysis_THEsumPage (2)_HRT O&amp;G 2 2" xfId="7149" xr:uid="{00000000-0005-0000-0000-0000D31B0000}"/>
    <cellStyle name="d_yield_Disc Analysis_THEsumPage (2)_HRT O&amp;G 3" xfId="7150" xr:uid="{00000000-0005-0000-0000-0000D41B0000}"/>
    <cellStyle name="d_yield_Fairness Opinion Valuation 4-23a.xls Chart 1" xfId="7151" xr:uid="{00000000-0005-0000-0000-0000D51B0000}"/>
    <cellStyle name="d_yield_Fairness Opinion Valuation 4-23a.xls Chart 1 2" xfId="7152" xr:uid="{00000000-0005-0000-0000-0000D61B0000}"/>
    <cellStyle name="d_yield_Fairness Opinion Valuation 4-23a.xls Chart 1 2 2" xfId="7153" xr:uid="{00000000-0005-0000-0000-0000D71B0000}"/>
    <cellStyle name="d_yield_Fairness Opinion Valuation 4-23a.xls Chart 1 2 2 2" xfId="7154" xr:uid="{00000000-0005-0000-0000-0000D81B0000}"/>
    <cellStyle name="d_yield_Fairness Opinion Valuation 4-23a.xls Chart 1 2 3" xfId="7155" xr:uid="{00000000-0005-0000-0000-0000D91B0000}"/>
    <cellStyle name="d_yield_Fairness Opinion Valuation 4-23a.xls Chart 1 3" xfId="7156" xr:uid="{00000000-0005-0000-0000-0000DA1B0000}"/>
    <cellStyle name="d_yield_Fairness Opinion Valuation 4-23a.xls Chart 1 3 2" xfId="7157" xr:uid="{00000000-0005-0000-0000-0000DB1B0000}"/>
    <cellStyle name="d_yield_Fairness Opinion Valuation 4-23a.xls Chart 1 4" xfId="7158" xr:uid="{00000000-0005-0000-0000-0000DC1B0000}"/>
    <cellStyle name="d_yield_Fairness Opinion Valuation 4-23a.xls Chart 1_HRT O&amp;G" xfId="7159" xr:uid="{00000000-0005-0000-0000-0000DD1B0000}"/>
    <cellStyle name="d_yield_Fairness Opinion Valuation 4-23a.xls Chart 1_HRT O&amp;G 2" xfId="7160" xr:uid="{00000000-0005-0000-0000-0000DE1B0000}"/>
    <cellStyle name="d_yield_Fairness Opinion Valuation 4-23a.xls Chart 1_HRT O&amp;G 2 2" xfId="7161" xr:uid="{00000000-0005-0000-0000-0000DF1B0000}"/>
    <cellStyle name="d_yield_Fairness Opinion Valuation 4-23a.xls Chart 1_HRT O&amp;G 3" xfId="7162" xr:uid="{00000000-0005-0000-0000-0000E01B0000}"/>
    <cellStyle name="d_yield_HRT O&amp;G" xfId="7163" xr:uid="{00000000-0005-0000-0000-0000E11B0000}"/>
    <cellStyle name="d_yield_HRT O&amp;G 2" xfId="7164" xr:uid="{00000000-0005-0000-0000-0000E21B0000}"/>
    <cellStyle name="d_yield_HRT O&amp;G 2 2" xfId="7165" xr:uid="{00000000-0005-0000-0000-0000E31B0000}"/>
    <cellStyle name="d_yield_HRT O&amp;G 3" xfId="7166" xr:uid="{00000000-0005-0000-0000-0000E41B0000}"/>
    <cellStyle name="d_yield_LP Chart" xfId="7167" xr:uid="{00000000-0005-0000-0000-0000E51B0000}"/>
    <cellStyle name="d_yield_LP Chart 2" xfId="7168" xr:uid="{00000000-0005-0000-0000-0000E61B0000}"/>
    <cellStyle name="d_yield_LP Chart 2 2" xfId="7169" xr:uid="{00000000-0005-0000-0000-0000E71B0000}"/>
    <cellStyle name="d_yield_LP Chart 2 2 2" xfId="7170" xr:uid="{00000000-0005-0000-0000-0000E81B0000}"/>
    <cellStyle name="d_yield_LP Chart 2 3" xfId="7171" xr:uid="{00000000-0005-0000-0000-0000E91B0000}"/>
    <cellStyle name="d_yield_LP Chart 3" xfId="7172" xr:uid="{00000000-0005-0000-0000-0000EA1B0000}"/>
    <cellStyle name="d_yield_LP Chart 3 2" xfId="7173" xr:uid="{00000000-0005-0000-0000-0000EB1B0000}"/>
    <cellStyle name="d_yield_LP Chart 4" xfId="7174" xr:uid="{00000000-0005-0000-0000-0000EC1B0000}"/>
    <cellStyle name="d_yield_LP Chart_HRT O&amp;G" xfId="7175" xr:uid="{00000000-0005-0000-0000-0000ED1B0000}"/>
    <cellStyle name="d_yield_LP Chart_HRT O&amp;G 2" xfId="7176" xr:uid="{00000000-0005-0000-0000-0000EE1B0000}"/>
    <cellStyle name="d_yield_LP Chart_HRT O&amp;G 2 2" xfId="7177" xr:uid="{00000000-0005-0000-0000-0000EF1B0000}"/>
    <cellStyle name="d_yield_LP Chart_HRT O&amp;G 3" xfId="7178" xr:uid="{00000000-0005-0000-0000-0000F01B0000}"/>
    <cellStyle name="d_yield_LP Chart_THEsumPage (2)" xfId="7179" xr:uid="{00000000-0005-0000-0000-0000F11B0000}"/>
    <cellStyle name="d_yield_LP Chart_THEsumPage (2) 2" xfId="7180" xr:uid="{00000000-0005-0000-0000-0000F21B0000}"/>
    <cellStyle name="d_yield_LP Chart_THEsumPage (2) 2 2" xfId="7181" xr:uid="{00000000-0005-0000-0000-0000F31B0000}"/>
    <cellStyle name="d_yield_LP Chart_THEsumPage (2) 2 2 2" xfId="7182" xr:uid="{00000000-0005-0000-0000-0000F41B0000}"/>
    <cellStyle name="d_yield_LP Chart_THEsumPage (2) 2 3" xfId="7183" xr:uid="{00000000-0005-0000-0000-0000F51B0000}"/>
    <cellStyle name="d_yield_LP Chart_THEsumPage (2) 3" xfId="7184" xr:uid="{00000000-0005-0000-0000-0000F61B0000}"/>
    <cellStyle name="d_yield_LP Chart_THEsumPage (2) 3 2" xfId="7185" xr:uid="{00000000-0005-0000-0000-0000F71B0000}"/>
    <cellStyle name="d_yield_LP Chart_THEsumPage (2) 4" xfId="7186" xr:uid="{00000000-0005-0000-0000-0000F81B0000}"/>
    <cellStyle name="d_yield_LP Chart_THEsumPage (2)_HRT O&amp;G" xfId="7187" xr:uid="{00000000-0005-0000-0000-0000F91B0000}"/>
    <cellStyle name="d_yield_LP Chart_THEsumPage (2)_HRT O&amp;G 2" xfId="7188" xr:uid="{00000000-0005-0000-0000-0000FA1B0000}"/>
    <cellStyle name="d_yield_LP Chart_THEsumPage (2)_HRT O&amp;G 2 2" xfId="7189" xr:uid="{00000000-0005-0000-0000-0000FB1B0000}"/>
    <cellStyle name="d_yield_LP Chart_THEsumPage (2)_HRT O&amp;G 3" xfId="7190" xr:uid="{00000000-0005-0000-0000-0000FC1B0000}"/>
    <cellStyle name="d_yield_Merg Cons" xfId="7191" xr:uid="{00000000-0005-0000-0000-0000FD1B0000}"/>
    <cellStyle name="d_yield_Merg Cons 2" xfId="7192" xr:uid="{00000000-0005-0000-0000-0000FE1B0000}"/>
    <cellStyle name="d_yield_Merg Cons 2 2" xfId="7193" xr:uid="{00000000-0005-0000-0000-0000FF1B0000}"/>
    <cellStyle name="d_yield_Merg Cons 2 2 2" xfId="7194" xr:uid="{00000000-0005-0000-0000-0000001C0000}"/>
    <cellStyle name="d_yield_Merg Cons 2 3" xfId="7195" xr:uid="{00000000-0005-0000-0000-0000011C0000}"/>
    <cellStyle name="d_yield_Merg Cons 3" xfId="7196" xr:uid="{00000000-0005-0000-0000-0000021C0000}"/>
    <cellStyle name="d_yield_Merg Cons 3 2" xfId="7197" xr:uid="{00000000-0005-0000-0000-0000031C0000}"/>
    <cellStyle name="d_yield_Merg Cons 4" xfId="7198" xr:uid="{00000000-0005-0000-0000-0000041C0000}"/>
    <cellStyle name="d_yield_Merg Cons_CompSheet" xfId="7199" xr:uid="{00000000-0005-0000-0000-0000051C0000}"/>
    <cellStyle name="d_yield_Merg Cons_CompSheet 2" xfId="7200" xr:uid="{00000000-0005-0000-0000-0000061C0000}"/>
    <cellStyle name="d_yield_Merg Cons_CompSheet 2 2" xfId="7201" xr:uid="{00000000-0005-0000-0000-0000071C0000}"/>
    <cellStyle name="d_yield_Merg Cons_CompSheet 2 2 2" xfId="7202" xr:uid="{00000000-0005-0000-0000-0000081C0000}"/>
    <cellStyle name="d_yield_Merg Cons_CompSheet 2 3" xfId="7203" xr:uid="{00000000-0005-0000-0000-0000091C0000}"/>
    <cellStyle name="d_yield_Merg Cons_CompSheet 3" xfId="7204" xr:uid="{00000000-0005-0000-0000-00000A1C0000}"/>
    <cellStyle name="d_yield_Merg Cons_CompSheet 3 2" xfId="7205" xr:uid="{00000000-0005-0000-0000-00000B1C0000}"/>
    <cellStyle name="d_yield_Merg Cons_CompSheet 4" xfId="7206" xr:uid="{00000000-0005-0000-0000-00000C1C0000}"/>
    <cellStyle name="d_yield_Merg Cons_CompSheet_HRT O&amp;G" xfId="7207" xr:uid="{00000000-0005-0000-0000-00000D1C0000}"/>
    <cellStyle name="d_yield_Merg Cons_CompSheet_HRT O&amp;G 2" xfId="7208" xr:uid="{00000000-0005-0000-0000-00000E1C0000}"/>
    <cellStyle name="d_yield_Merg Cons_CompSheet_HRT O&amp;G 2 2" xfId="7209" xr:uid="{00000000-0005-0000-0000-00000F1C0000}"/>
    <cellStyle name="d_yield_Merg Cons_CompSheet_HRT O&amp;G 3" xfId="7210" xr:uid="{00000000-0005-0000-0000-0000101C0000}"/>
    <cellStyle name="d_yield_Merg Cons_HRT O&amp;G" xfId="7211" xr:uid="{00000000-0005-0000-0000-0000111C0000}"/>
    <cellStyle name="d_yield_Merg Cons_HRT O&amp;G 2" xfId="7212" xr:uid="{00000000-0005-0000-0000-0000121C0000}"/>
    <cellStyle name="d_yield_Merg Cons_HRT O&amp;G 2 2" xfId="7213" xr:uid="{00000000-0005-0000-0000-0000131C0000}"/>
    <cellStyle name="d_yield_Merg Cons_HRT O&amp;G 3" xfId="7214" xr:uid="{00000000-0005-0000-0000-0000141C0000}"/>
    <cellStyle name="d_yield_Merg Cons_THEsumPage (2)" xfId="7215" xr:uid="{00000000-0005-0000-0000-0000151C0000}"/>
    <cellStyle name="d_yield_Merg Cons_THEsumPage (2) 2" xfId="7216" xr:uid="{00000000-0005-0000-0000-0000161C0000}"/>
    <cellStyle name="d_yield_Merg Cons_THEsumPage (2) 2 2" xfId="7217" xr:uid="{00000000-0005-0000-0000-0000171C0000}"/>
    <cellStyle name="d_yield_Merg Cons_THEsumPage (2) 2 2 2" xfId="7218" xr:uid="{00000000-0005-0000-0000-0000181C0000}"/>
    <cellStyle name="d_yield_Merg Cons_THEsumPage (2) 2 3" xfId="7219" xr:uid="{00000000-0005-0000-0000-0000191C0000}"/>
    <cellStyle name="d_yield_Merg Cons_THEsumPage (2) 3" xfId="7220" xr:uid="{00000000-0005-0000-0000-00001A1C0000}"/>
    <cellStyle name="d_yield_Merg Cons_THEsumPage (2) 3 2" xfId="7221" xr:uid="{00000000-0005-0000-0000-00001B1C0000}"/>
    <cellStyle name="d_yield_Merg Cons_THEsumPage (2) 4" xfId="7222" xr:uid="{00000000-0005-0000-0000-00001C1C0000}"/>
    <cellStyle name="d_yield_Merg Cons_THEsumPage (2)_HRT O&amp;G" xfId="7223" xr:uid="{00000000-0005-0000-0000-00001D1C0000}"/>
    <cellStyle name="d_yield_Merg Cons_THEsumPage (2)_HRT O&amp;G 2" xfId="7224" xr:uid="{00000000-0005-0000-0000-00001E1C0000}"/>
    <cellStyle name="d_yield_Merg Cons_THEsumPage (2)_HRT O&amp;G 2 2" xfId="7225" xr:uid="{00000000-0005-0000-0000-00001F1C0000}"/>
    <cellStyle name="d_yield_Merg Cons_THEsumPage (2)_HRT O&amp;G 3" xfId="7226" xr:uid="{00000000-0005-0000-0000-0000201C0000}"/>
    <cellStyle name="d_yield_PowerValuation.xls Chart 21" xfId="7227" xr:uid="{00000000-0005-0000-0000-0000211C0000}"/>
    <cellStyle name="d_yield_PowerValuation.xls Chart 21 2" xfId="7228" xr:uid="{00000000-0005-0000-0000-0000221C0000}"/>
    <cellStyle name="d_yield_PowerValuation.xls Chart 21 2 2" xfId="7229" xr:uid="{00000000-0005-0000-0000-0000231C0000}"/>
    <cellStyle name="d_yield_PowerValuation.xls Chart 21 2 2 2" xfId="7230" xr:uid="{00000000-0005-0000-0000-0000241C0000}"/>
    <cellStyle name="d_yield_PowerValuation.xls Chart 21 2 3" xfId="7231" xr:uid="{00000000-0005-0000-0000-0000251C0000}"/>
    <cellStyle name="d_yield_PowerValuation.xls Chart 21 3" xfId="7232" xr:uid="{00000000-0005-0000-0000-0000261C0000}"/>
    <cellStyle name="d_yield_PowerValuation.xls Chart 21 3 2" xfId="7233" xr:uid="{00000000-0005-0000-0000-0000271C0000}"/>
    <cellStyle name="d_yield_PowerValuation.xls Chart 21 4" xfId="7234" xr:uid="{00000000-0005-0000-0000-0000281C0000}"/>
    <cellStyle name="d_yield_PowerValuation.xls Chart 21_HRT O&amp;G" xfId="7235" xr:uid="{00000000-0005-0000-0000-0000291C0000}"/>
    <cellStyle name="d_yield_PowerValuation.xls Chart 21_HRT O&amp;G 2" xfId="7236" xr:uid="{00000000-0005-0000-0000-00002A1C0000}"/>
    <cellStyle name="d_yield_PowerValuation.xls Chart 21_HRT O&amp;G 2 2" xfId="7237" xr:uid="{00000000-0005-0000-0000-00002B1C0000}"/>
    <cellStyle name="d_yield_PowerValuation.xls Chart 21_HRT O&amp;G 3" xfId="7238" xr:uid="{00000000-0005-0000-0000-00002C1C0000}"/>
    <cellStyle name="d_yield_PowerValuation.xls Chart 28" xfId="7239" xr:uid="{00000000-0005-0000-0000-00002D1C0000}"/>
    <cellStyle name="d_yield_PowerValuation.xls Chart 28 2" xfId="7240" xr:uid="{00000000-0005-0000-0000-00002E1C0000}"/>
    <cellStyle name="d_yield_PowerValuation.xls Chart 28 2 2" xfId="7241" xr:uid="{00000000-0005-0000-0000-00002F1C0000}"/>
    <cellStyle name="d_yield_PowerValuation.xls Chart 28 2 2 2" xfId="7242" xr:uid="{00000000-0005-0000-0000-0000301C0000}"/>
    <cellStyle name="d_yield_PowerValuation.xls Chart 28 2 3" xfId="7243" xr:uid="{00000000-0005-0000-0000-0000311C0000}"/>
    <cellStyle name="d_yield_PowerValuation.xls Chart 28 3" xfId="7244" xr:uid="{00000000-0005-0000-0000-0000321C0000}"/>
    <cellStyle name="d_yield_PowerValuation.xls Chart 28 3 2" xfId="7245" xr:uid="{00000000-0005-0000-0000-0000331C0000}"/>
    <cellStyle name="d_yield_PowerValuation.xls Chart 28 4" xfId="7246" xr:uid="{00000000-0005-0000-0000-0000341C0000}"/>
    <cellStyle name="d_yield_PowerValuation.xls Chart 28_HRT O&amp;G" xfId="7247" xr:uid="{00000000-0005-0000-0000-0000351C0000}"/>
    <cellStyle name="d_yield_PowerValuation.xls Chart 28_HRT O&amp;G 2" xfId="7248" xr:uid="{00000000-0005-0000-0000-0000361C0000}"/>
    <cellStyle name="d_yield_PowerValuation.xls Chart 28_HRT O&amp;G 2 2" xfId="7249" xr:uid="{00000000-0005-0000-0000-0000371C0000}"/>
    <cellStyle name="d_yield_PowerValuation.xls Chart 28_HRT O&amp;G 3" xfId="7250" xr:uid="{00000000-0005-0000-0000-0000381C0000}"/>
    <cellStyle name="d_yield_Proj10" xfId="7251" xr:uid="{00000000-0005-0000-0000-0000391C0000}"/>
    <cellStyle name="d_yield_Proj10 2" xfId="7252" xr:uid="{00000000-0005-0000-0000-00003A1C0000}"/>
    <cellStyle name="d_yield_Proj10 2 2" xfId="7253" xr:uid="{00000000-0005-0000-0000-00003B1C0000}"/>
    <cellStyle name="d_yield_Proj10 2 2 2" xfId="7254" xr:uid="{00000000-0005-0000-0000-00003C1C0000}"/>
    <cellStyle name="d_yield_Proj10 2 3" xfId="7255" xr:uid="{00000000-0005-0000-0000-00003D1C0000}"/>
    <cellStyle name="d_yield_Proj10 3" xfId="7256" xr:uid="{00000000-0005-0000-0000-00003E1C0000}"/>
    <cellStyle name="d_yield_Proj10 3 2" xfId="7257" xr:uid="{00000000-0005-0000-0000-00003F1C0000}"/>
    <cellStyle name="d_yield_Proj10 4" xfId="7258" xr:uid="{00000000-0005-0000-0000-0000401C0000}"/>
    <cellStyle name="d_yield_Proj10_AVP" xfId="7259" xr:uid="{00000000-0005-0000-0000-0000411C0000}"/>
    <cellStyle name="d_yield_Proj10_AVP 2" xfId="7260" xr:uid="{00000000-0005-0000-0000-0000421C0000}"/>
    <cellStyle name="d_yield_Proj10_AVP 2 2" xfId="7261" xr:uid="{00000000-0005-0000-0000-0000431C0000}"/>
    <cellStyle name="d_yield_Proj10_AVP 2 2 2" xfId="7262" xr:uid="{00000000-0005-0000-0000-0000441C0000}"/>
    <cellStyle name="d_yield_Proj10_AVP 2 3" xfId="7263" xr:uid="{00000000-0005-0000-0000-0000451C0000}"/>
    <cellStyle name="d_yield_Proj10_AVP 3" xfId="7264" xr:uid="{00000000-0005-0000-0000-0000461C0000}"/>
    <cellStyle name="d_yield_Proj10_AVP 3 2" xfId="7265" xr:uid="{00000000-0005-0000-0000-0000471C0000}"/>
    <cellStyle name="d_yield_Proj10_AVP 4" xfId="7266" xr:uid="{00000000-0005-0000-0000-0000481C0000}"/>
    <cellStyle name="d_yield_Proj10_AVP_Graphic Depiction - NO DEV" xfId="7267" xr:uid="{00000000-0005-0000-0000-0000491C0000}"/>
    <cellStyle name="d_yield_Proj10_AVP_Graphic Depiction - NO DEV 2" xfId="7268" xr:uid="{00000000-0005-0000-0000-00004A1C0000}"/>
    <cellStyle name="d_yield_Proj10_AVP_Graphic Depiction - NO DEV 2 2" xfId="7269" xr:uid="{00000000-0005-0000-0000-00004B1C0000}"/>
    <cellStyle name="d_yield_Proj10_AVP_Graphic Depiction - NO DEV 2 2 2" xfId="7270" xr:uid="{00000000-0005-0000-0000-00004C1C0000}"/>
    <cellStyle name="d_yield_Proj10_AVP_Graphic Depiction - NO DEV 2 3" xfId="7271" xr:uid="{00000000-0005-0000-0000-00004D1C0000}"/>
    <cellStyle name="d_yield_Proj10_AVP_Graphic Depiction - NO DEV 3" xfId="7272" xr:uid="{00000000-0005-0000-0000-00004E1C0000}"/>
    <cellStyle name="d_yield_Proj10_AVP_Graphic Depiction - NO DEV 3 2" xfId="7273" xr:uid="{00000000-0005-0000-0000-00004F1C0000}"/>
    <cellStyle name="d_yield_Proj10_AVP_Graphic Depiction - NO DEV 4" xfId="7274" xr:uid="{00000000-0005-0000-0000-0000501C0000}"/>
    <cellStyle name="d_yield_Proj10_AVP_Graphic Depiction - NO DEV_HRT O&amp;G" xfId="7275" xr:uid="{00000000-0005-0000-0000-0000511C0000}"/>
    <cellStyle name="d_yield_Proj10_AVP_Graphic Depiction - NO DEV_HRT O&amp;G 2" xfId="7276" xr:uid="{00000000-0005-0000-0000-0000521C0000}"/>
    <cellStyle name="d_yield_Proj10_AVP_Graphic Depiction - NO DEV_HRT O&amp;G 2 2" xfId="7277" xr:uid="{00000000-0005-0000-0000-0000531C0000}"/>
    <cellStyle name="d_yield_Proj10_AVP_Graphic Depiction - NO DEV_HRT O&amp;G 3" xfId="7278" xr:uid="{00000000-0005-0000-0000-0000541C0000}"/>
    <cellStyle name="d_yield_Proj10_AVP_HRT O&amp;G" xfId="7279" xr:uid="{00000000-0005-0000-0000-0000551C0000}"/>
    <cellStyle name="d_yield_Proj10_AVP_HRT O&amp;G 2" xfId="7280" xr:uid="{00000000-0005-0000-0000-0000561C0000}"/>
    <cellStyle name="d_yield_Proj10_AVP_HRT O&amp;G 2 2" xfId="7281" xr:uid="{00000000-0005-0000-0000-0000571C0000}"/>
    <cellStyle name="d_yield_Proj10_AVP_HRT O&amp;G 3" xfId="7282" xr:uid="{00000000-0005-0000-0000-0000581C0000}"/>
    <cellStyle name="d_yield_Proj10_AVP_THEsumPage (2)" xfId="7283" xr:uid="{00000000-0005-0000-0000-0000591C0000}"/>
    <cellStyle name="d_yield_Proj10_AVP_THEsumPage (2) 2" xfId="7284" xr:uid="{00000000-0005-0000-0000-00005A1C0000}"/>
    <cellStyle name="d_yield_Proj10_AVP_THEsumPage (2) 2 2" xfId="7285" xr:uid="{00000000-0005-0000-0000-00005B1C0000}"/>
    <cellStyle name="d_yield_Proj10_AVP_THEsumPage (2) 2 2 2" xfId="7286" xr:uid="{00000000-0005-0000-0000-00005C1C0000}"/>
    <cellStyle name="d_yield_Proj10_AVP_THEsumPage (2) 2 3" xfId="7287" xr:uid="{00000000-0005-0000-0000-00005D1C0000}"/>
    <cellStyle name="d_yield_Proj10_AVP_THEsumPage (2) 3" xfId="7288" xr:uid="{00000000-0005-0000-0000-00005E1C0000}"/>
    <cellStyle name="d_yield_Proj10_AVP_THEsumPage (2) 3 2" xfId="7289" xr:uid="{00000000-0005-0000-0000-00005F1C0000}"/>
    <cellStyle name="d_yield_Proj10_AVP_THEsumPage (2) 4" xfId="7290" xr:uid="{00000000-0005-0000-0000-0000601C0000}"/>
    <cellStyle name="d_yield_Proj10_AVP_THEsumPage (2)_HRT O&amp;G" xfId="7291" xr:uid="{00000000-0005-0000-0000-0000611C0000}"/>
    <cellStyle name="d_yield_Proj10_AVP_THEsumPage (2)_HRT O&amp;G 2" xfId="7292" xr:uid="{00000000-0005-0000-0000-0000621C0000}"/>
    <cellStyle name="d_yield_Proj10_AVP_THEsumPage (2)_HRT O&amp;G 2 2" xfId="7293" xr:uid="{00000000-0005-0000-0000-0000631C0000}"/>
    <cellStyle name="d_yield_Proj10_AVP_THEsumPage (2)_HRT O&amp;G 3" xfId="7294" xr:uid="{00000000-0005-0000-0000-0000641C0000}"/>
    <cellStyle name="d_yield_Proj10_CompSheet" xfId="7295" xr:uid="{00000000-0005-0000-0000-0000651C0000}"/>
    <cellStyle name="d_yield_Proj10_CompSheet 2" xfId="7296" xr:uid="{00000000-0005-0000-0000-0000661C0000}"/>
    <cellStyle name="d_yield_Proj10_CompSheet 2 2" xfId="7297" xr:uid="{00000000-0005-0000-0000-0000671C0000}"/>
    <cellStyle name="d_yield_Proj10_CompSheet 2 2 2" xfId="7298" xr:uid="{00000000-0005-0000-0000-0000681C0000}"/>
    <cellStyle name="d_yield_Proj10_CompSheet 2 3" xfId="7299" xr:uid="{00000000-0005-0000-0000-0000691C0000}"/>
    <cellStyle name="d_yield_Proj10_CompSheet 3" xfId="7300" xr:uid="{00000000-0005-0000-0000-00006A1C0000}"/>
    <cellStyle name="d_yield_Proj10_CompSheet 3 2" xfId="7301" xr:uid="{00000000-0005-0000-0000-00006B1C0000}"/>
    <cellStyle name="d_yield_Proj10_CompSheet 4" xfId="7302" xr:uid="{00000000-0005-0000-0000-00006C1C0000}"/>
    <cellStyle name="d_yield_Proj10_CompSheet_HRT O&amp;G" xfId="7303" xr:uid="{00000000-0005-0000-0000-00006D1C0000}"/>
    <cellStyle name="d_yield_Proj10_CompSheet_HRT O&amp;G 2" xfId="7304" xr:uid="{00000000-0005-0000-0000-00006E1C0000}"/>
    <cellStyle name="d_yield_Proj10_CompSheet_HRT O&amp;G 2 2" xfId="7305" xr:uid="{00000000-0005-0000-0000-00006F1C0000}"/>
    <cellStyle name="d_yield_Proj10_CompSheet_HRT O&amp;G 3" xfId="7306" xr:uid="{00000000-0005-0000-0000-0000701C0000}"/>
    <cellStyle name="d_yield_Proj10_Disc Analysis" xfId="7307" xr:uid="{00000000-0005-0000-0000-0000711C0000}"/>
    <cellStyle name="d_yield_Proj10_Disc Analysis 2" xfId="7308" xr:uid="{00000000-0005-0000-0000-0000721C0000}"/>
    <cellStyle name="d_yield_Proj10_Disc Analysis 2 2" xfId="7309" xr:uid="{00000000-0005-0000-0000-0000731C0000}"/>
    <cellStyle name="d_yield_Proj10_Disc Analysis 2 2 2" xfId="7310" xr:uid="{00000000-0005-0000-0000-0000741C0000}"/>
    <cellStyle name="d_yield_Proj10_Disc Analysis 2 3" xfId="7311" xr:uid="{00000000-0005-0000-0000-0000751C0000}"/>
    <cellStyle name="d_yield_Proj10_Disc Analysis 3" xfId="7312" xr:uid="{00000000-0005-0000-0000-0000761C0000}"/>
    <cellStyle name="d_yield_Proj10_Disc Analysis 3 2" xfId="7313" xr:uid="{00000000-0005-0000-0000-0000771C0000}"/>
    <cellStyle name="d_yield_Proj10_Disc Analysis 4" xfId="7314" xr:uid="{00000000-0005-0000-0000-0000781C0000}"/>
    <cellStyle name="d_yield_Proj10_Disc Analysis_CompSheet" xfId="7315" xr:uid="{00000000-0005-0000-0000-0000791C0000}"/>
    <cellStyle name="d_yield_Proj10_Disc Analysis_CompSheet 2" xfId="7316" xr:uid="{00000000-0005-0000-0000-00007A1C0000}"/>
    <cellStyle name="d_yield_Proj10_Disc Analysis_CompSheet 2 2" xfId="7317" xr:uid="{00000000-0005-0000-0000-00007B1C0000}"/>
    <cellStyle name="d_yield_Proj10_Disc Analysis_CompSheet 2 2 2" xfId="7318" xr:uid="{00000000-0005-0000-0000-00007C1C0000}"/>
    <cellStyle name="d_yield_Proj10_Disc Analysis_CompSheet 2 3" xfId="7319" xr:uid="{00000000-0005-0000-0000-00007D1C0000}"/>
    <cellStyle name="d_yield_Proj10_Disc Analysis_CompSheet 3" xfId="7320" xr:uid="{00000000-0005-0000-0000-00007E1C0000}"/>
    <cellStyle name="d_yield_Proj10_Disc Analysis_CompSheet 3 2" xfId="7321" xr:uid="{00000000-0005-0000-0000-00007F1C0000}"/>
    <cellStyle name="d_yield_Proj10_Disc Analysis_CompSheet 4" xfId="7322" xr:uid="{00000000-0005-0000-0000-0000801C0000}"/>
    <cellStyle name="d_yield_Proj10_Disc Analysis_CompSheet_HRT O&amp;G" xfId="7323" xr:uid="{00000000-0005-0000-0000-0000811C0000}"/>
    <cellStyle name="d_yield_Proj10_Disc Analysis_CompSheet_HRT O&amp;G 2" xfId="7324" xr:uid="{00000000-0005-0000-0000-0000821C0000}"/>
    <cellStyle name="d_yield_Proj10_Disc Analysis_CompSheet_HRT O&amp;G 2 2" xfId="7325" xr:uid="{00000000-0005-0000-0000-0000831C0000}"/>
    <cellStyle name="d_yield_Proj10_Disc Analysis_CompSheet_HRT O&amp;G 3" xfId="7326" xr:uid="{00000000-0005-0000-0000-0000841C0000}"/>
    <cellStyle name="d_yield_Proj10_Disc Analysis_HRT O&amp;G" xfId="7327" xr:uid="{00000000-0005-0000-0000-0000851C0000}"/>
    <cellStyle name="d_yield_Proj10_Disc Analysis_HRT O&amp;G 2" xfId="7328" xr:uid="{00000000-0005-0000-0000-0000861C0000}"/>
    <cellStyle name="d_yield_Proj10_Disc Analysis_HRT O&amp;G 2 2" xfId="7329" xr:uid="{00000000-0005-0000-0000-0000871C0000}"/>
    <cellStyle name="d_yield_Proj10_Disc Analysis_HRT O&amp;G 3" xfId="7330" xr:uid="{00000000-0005-0000-0000-0000881C0000}"/>
    <cellStyle name="d_yield_Proj10_Disc Analysis_THEsumPage (2)" xfId="7331" xr:uid="{00000000-0005-0000-0000-0000891C0000}"/>
    <cellStyle name="d_yield_Proj10_Disc Analysis_THEsumPage (2) 2" xfId="7332" xr:uid="{00000000-0005-0000-0000-00008A1C0000}"/>
    <cellStyle name="d_yield_Proj10_Disc Analysis_THEsumPage (2) 2 2" xfId="7333" xr:uid="{00000000-0005-0000-0000-00008B1C0000}"/>
    <cellStyle name="d_yield_Proj10_Disc Analysis_THEsumPage (2) 2 2 2" xfId="7334" xr:uid="{00000000-0005-0000-0000-00008C1C0000}"/>
    <cellStyle name="d_yield_Proj10_Disc Analysis_THEsumPage (2) 2 3" xfId="7335" xr:uid="{00000000-0005-0000-0000-00008D1C0000}"/>
    <cellStyle name="d_yield_Proj10_Disc Analysis_THEsumPage (2) 3" xfId="7336" xr:uid="{00000000-0005-0000-0000-00008E1C0000}"/>
    <cellStyle name="d_yield_Proj10_Disc Analysis_THEsumPage (2) 3 2" xfId="7337" xr:uid="{00000000-0005-0000-0000-00008F1C0000}"/>
    <cellStyle name="d_yield_Proj10_Disc Analysis_THEsumPage (2) 4" xfId="7338" xr:uid="{00000000-0005-0000-0000-0000901C0000}"/>
    <cellStyle name="d_yield_Proj10_Disc Analysis_THEsumPage (2)_HRT O&amp;G" xfId="7339" xr:uid="{00000000-0005-0000-0000-0000911C0000}"/>
    <cellStyle name="d_yield_Proj10_Disc Analysis_THEsumPage (2)_HRT O&amp;G 2" xfId="7340" xr:uid="{00000000-0005-0000-0000-0000921C0000}"/>
    <cellStyle name="d_yield_Proj10_Disc Analysis_THEsumPage (2)_HRT O&amp;G 2 2" xfId="7341" xr:uid="{00000000-0005-0000-0000-0000931C0000}"/>
    <cellStyle name="d_yield_Proj10_Disc Analysis_THEsumPage (2)_HRT O&amp;G 3" xfId="7342" xr:uid="{00000000-0005-0000-0000-0000941C0000}"/>
    <cellStyle name="d_yield_Proj10_Fairness Opinion Valuation 4-23a.xls Chart 1" xfId="7343" xr:uid="{00000000-0005-0000-0000-0000951C0000}"/>
    <cellStyle name="d_yield_Proj10_Fairness Opinion Valuation 4-23a.xls Chart 1 2" xfId="7344" xr:uid="{00000000-0005-0000-0000-0000961C0000}"/>
    <cellStyle name="d_yield_Proj10_Fairness Opinion Valuation 4-23a.xls Chart 1 2 2" xfId="7345" xr:uid="{00000000-0005-0000-0000-0000971C0000}"/>
    <cellStyle name="d_yield_Proj10_Fairness Opinion Valuation 4-23a.xls Chart 1 2 2 2" xfId="7346" xr:uid="{00000000-0005-0000-0000-0000981C0000}"/>
    <cellStyle name="d_yield_Proj10_Fairness Opinion Valuation 4-23a.xls Chart 1 2 3" xfId="7347" xr:uid="{00000000-0005-0000-0000-0000991C0000}"/>
    <cellStyle name="d_yield_Proj10_Fairness Opinion Valuation 4-23a.xls Chart 1 3" xfId="7348" xr:uid="{00000000-0005-0000-0000-00009A1C0000}"/>
    <cellStyle name="d_yield_Proj10_Fairness Opinion Valuation 4-23a.xls Chart 1 3 2" xfId="7349" xr:uid="{00000000-0005-0000-0000-00009B1C0000}"/>
    <cellStyle name="d_yield_Proj10_Fairness Opinion Valuation 4-23a.xls Chart 1 4" xfId="7350" xr:uid="{00000000-0005-0000-0000-00009C1C0000}"/>
    <cellStyle name="d_yield_Proj10_Fairness Opinion Valuation 4-23a.xls Chart 1_HRT O&amp;G" xfId="7351" xr:uid="{00000000-0005-0000-0000-00009D1C0000}"/>
    <cellStyle name="d_yield_Proj10_Fairness Opinion Valuation 4-23a.xls Chart 1_HRT O&amp;G 2" xfId="7352" xr:uid="{00000000-0005-0000-0000-00009E1C0000}"/>
    <cellStyle name="d_yield_Proj10_Fairness Opinion Valuation 4-23a.xls Chart 1_HRT O&amp;G 2 2" xfId="7353" xr:uid="{00000000-0005-0000-0000-00009F1C0000}"/>
    <cellStyle name="d_yield_Proj10_Fairness Opinion Valuation 4-23a.xls Chart 1_HRT O&amp;G 3" xfId="7354" xr:uid="{00000000-0005-0000-0000-0000A01C0000}"/>
    <cellStyle name="d_yield_Proj10_HRT O&amp;G" xfId="7355" xr:uid="{00000000-0005-0000-0000-0000A11C0000}"/>
    <cellStyle name="d_yield_Proj10_HRT O&amp;G 2" xfId="7356" xr:uid="{00000000-0005-0000-0000-0000A21C0000}"/>
    <cellStyle name="d_yield_Proj10_HRT O&amp;G 2 2" xfId="7357" xr:uid="{00000000-0005-0000-0000-0000A31C0000}"/>
    <cellStyle name="d_yield_Proj10_HRT O&amp;G 3" xfId="7358" xr:uid="{00000000-0005-0000-0000-0000A41C0000}"/>
    <cellStyle name="d_yield_Proj10_LP Chart" xfId="7359" xr:uid="{00000000-0005-0000-0000-0000A51C0000}"/>
    <cellStyle name="d_yield_Proj10_LP Chart 2" xfId="7360" xr:uid="{00000000-0005-0000-0000-0000A61C0000}"/>
    <cellStyle name="d_yield_Proj10_LP Chart 2 2" xfId="7361" xr:uid="{00000000-0005-0000-0000-0000A71C0000}"/>
    <cellStyle name="d_yield_Proj10_LP Chart 2 2 2" xfId="7362" xr:uid="{00000000-0005-0000-0000-0000A81C0000}"/>
    <cellStyle name="d_yield_Proj10_LP Chart 2 3" xfId="7363" xr:uid="{00000000-0005-0000-0000-0000A91C0000}"/>
    <cellStyle name="d_yield_Proj10_LP Chart 3" xfId="7364" xr:uid="{00000000-0005-0000-0000-0000AA1C0000}"/>
    <cellStyle name="d_yield_Proj10_LP Chart 3 2" xfId="7365" xr:uid="{00000000-0005-0000-0000-0000AB1C0000}"/>
    <cellStyle name="d_yield_Proj10_LP Chart 4" xfId="7366" xr:uid="{00000000-0005-0000-0000-0000AC1C0000}"/>
    <cellStyle name="d_yield_Proj10_LP Chart_HRT O&amp;G" xfId="7367" xr:uid="{00000000-0005-0000-0000-0000AD1C0000}"/>
    <cellStyle name="d_yield_Proj10_LP Chart_HRT O&amp;G 2" xfId="7368" xr:uid="{00000000-0005-0000-0000-0000AE1C0000}"/>
    <cellStyle name="d_yield_Proj10_LP Chart_HRT O&amp;G 2 2" xfId="7369" xr:uid="{00000000-0005-0000-0000-0000AF1C0000}"/>
    <cellStyle name="d_yield_Proj10_LP Chart_HRT O&amp;G 3" xfId="7370" xr:uid="{00000000-0005-0000-0000-0000B01C0000}"/>
    <cellStyle name="d_yield_Proj10_LP Chart_THEsumPage (2)" xfId="7371" xr:uid="{00000000-0005-0000-0000-0000B11C0000}"/>
    <cellStyle name="d_yield_Proj10_LP Chart_THEsumPage (2) 2" xfId="7372" xr:uid="{00000000-0005-0000-0000-0000B21C0000}"/>
    <cellStyle name="d_yield_Proj10_LP Chart_THEsumPage (2) 2 2" xfId="7373" xr:uid="{00000000-0005-0000-0000-0000B31C0000}"/>
    <cellStyle name="d_yield_Proj10_LP Chart_THEsumPage (2) 2 2 2" xfId="7374" xr:uid="{00000000-0005-0000-0000-0000B41C0000}"/>
    <cellStyle name="d_yield_Proj10_LP Chart_THEsumPage (2) 2 3" xfId="7375" xr:uid="{00000000-0005-0000-0000-0000B51C0000}"/>
    <cellStyle name="d_yield_Proj10_LP Chart_THEsumPage (2) 3" xfId="7376" xr:uid="{00000000-0005-0000-0000-0000B61C0000}"/>
    <cellStyle name="d_yield_Proj10_LP Chart_THEsumPage (2) 3 2" xfId="7377" xr:uid="{00000000-0005-0000-0000-0000B71C0000}"/>
    <cellStyle name="d_yield_Proj10_LP Chart_THEsumPage (2) 4" xfId="7378" xr:uid="{00000000-0005-0000-0000-0000B81C0000}"/>
    <cellStyle name="d_yield_Proj10_LP Chart_THEsumPage (2)_HRT O&amp;G" xfId="7379" xr:uid="{00000000-0005-0000-0000-0000B91C0000}"/>
    <cellStyle name="d_yield_Proj10_LP Chart_THEsumPage (2)_HRT O&amp;G 2" xfId="7380" xr:uid="{00000000-0005-0000-0000-0000BA1C0000}"/>
    <cellStyle name="d_yield_Proj10_LP Chart_THEsumPage (2)_HRT O&amp;G 2 2" xfId="7381" xr:uid="{00000000-0005-0000-0000-0000BB1C0000}"/>
    <cellStyle name="d_yield_Proj10_LP Chart_THEsumPage (2)_HRT O&amp;G 3" xfId="7382" xr:uid="{00000000-0005-0000-0000-0000BC1C0000}"/>
    <cellStyle name="d_yield_Proj10_Merg Cons" xfId="7383" xr:uid="{00000000-0005-0000-0000-0000BD1C0000}"/>
    <cellStyle name="d_yield_Proj10_Merg Cons 2" xfId="7384" xr:uid="{00000000-0005-0000-0000-0000BE1C0000}"/>
    <cellStyle name="d_yield_Proj10_Merg Cons 2 2" xfId="7385" xr:uid="{00000000-0005-0000-0000-0000BF1C0000}"/>
    <cellStyle name="d_yield_Proj10_Merg Cons 2 2 2" xfId="7386" xr:uid="{00000000-0005-0000-0000-0000C01C0000}"/>
    <cellStyle name="d_yield_Proj10_Merg Cons 2 3" xfId="7387" xr:uid="{00000000-0005-0000-0000-0000C11C0000}"/>
    <cellStyle name="d_yield_Proj10_Merg Cons 3" xfId="7388" xr:uid="{00000000-0005-0000-0000-0000C21C0000}"/>
    <cellStyle name="d_yield_Proj10_Merg Cons 3 2" xfId="7389" xr:uid="{00000000-0005-0000-0000-0000C31C0000}"/>
    <cellStyle name="d_yield_Proj10_Merg Cons 4" xfId="7390" xr:uid="{00000000-0005-0000-0000-0000C41C0000}"/>
    <cellStyle name="d_yield_Proj10_Merg Cons_CompSheet" xfId="7391" xr:uid="{00000000-0005-0000-0000-0000C51C0000}"/>
    <cellStyle name="d_yield_Proj10_Merg Cons_CompSheet 2" xfId="7392" xr:uid="{00000000-0005-0000-0000-0000C61C0000}"/>
    <cellStyle name="d_yield_Proj10_Merg Cons_CompSheet 2 2" xfId="7393" xr:uid="{00000000-0005-0000-0000-0000C71C0000}"/>
    <cellStyle name="d_yield_Proj10_Merg Cons_CompSheet 2 2 2" xfId="7394" xr:uid="{00000000-0005-0000-0000-0000C81C0000}"/>
    <cellStyle name="d_yield_Proj10_Merg Cons_CompSheet 2 3" xfId="7395" xr:uid="{00000000-0005-0000-0000-0000C91C0000}"/>
    <cellStyle name="d_yield_Proj10_Merg Cons_CompSheet 3" xfId="7396" xr:uid="{00000000-0005-0000-0000-0000CA1C0000}"/>
    <cellStyle name="d_yield_Proj10_Merg Cons_CompSheet 3 2" xfId="7397" xr:uid="{00000000-0005-0000-0000-0000CB1C0000}"/>
    <cellStyle name="d_yield_Proj10_Merg Cons_CompSheet 4" xfId="7398" xr:uid="{00000000-0005-0000-0000-0000CC1C0000}"/>
    <cellStyle name="d_yield_Proj10_Merg Cons_CompSheet_HRT O&amp;G" xfId="7399" xr:uid="{00000000-0005-0000-0000-0000CD1C0000}"/>
    <cellStyle name="d_yield_Proj10_Merg Cons_CompSheet_HRT O&amp;G 2" xfId="7400" xr:uid="{00000000-0005-0000-0000-0000CE1C0000}"/>
    <cellStyle name="d_yield_Proj10_Merg Cons_CompSheet_HRT O&amp;G 2 2" xfId="7401" xr:uid="{00000000-0005-0000-0000-0000CF1C0000}"/>
    <cellStyle name="d_yield_Proj10_Merg Cons_CompSheet_HRT O&amp;G 3" xfId="7402" xr:uid="{00000000-0005-0000-0000-0000D01C0000}"/>
    <cellStyle name="d_yield_Proj10_Merg Cons_HRT O&amp;G" xfId="7403" xr:uid="{00000000-0005-0000-0000-0000D11C0000}"/>
    <cellStyle name="d_yield_Proj10_Merg Cons_HRT O&amp;G 2" xfId="7404" xr:uid="{00000000-0005-0000-0000-0000D21C0000}"/>
    <cellStyle name="d_yield_Proj10_Merg Cons_HRT O&amp;G 2 2" xfId="7405" xr:uid="{00000000-0005-0000-0000-0000D31C0000}"/>
    <cellStyle name="d_yield_Proj10_Merg Cons_HRT O&amp;G 3" xfId="7406" xr:uid="{00000000-0005-0000-0000-0000D41C0000}"/>
    <cellStyle name="d_yield_Proj10_Merg Cons_THEsumPage (2)" xfId="7407" xr:uid="{00000000-0005-0000-0000-0000D51C0000}"/>
    <cellStyle name="d_yield_Proj10_Merg Cons_THEsumPage (2) 2" xfId="7408" xr:uid="{00000000-0005-0000-0000-0000D61C0000}"/>
    <cellStyle name="d_yield_Proj10_Merg Cons_THEsumPage (2) 2 2" xfId="7409" xr:uid="{00000000-0005-0000-0000-0000D71C0000}"/>
    <cellStyle name="d_yield_Proj10_Merg Cons_THEsumPage (2) 2 2 2" xfId="7410" xr:uid="{00000000-0005-0000-0000-0000D81C0000}"/>
    <cellStyle name="d_yield_Proj10_Merg Cons_THEsumPage (2) 2 3" xfId="7411" xr:uid="{00000000-0005-0000-0000-0000D91C0000}"/>
    <cellStyle name="d_yield_Proj10_Merg Cons_THEsumPage (2) 3" xfId="7412" xr:uid="{00000000-0005-0000-0000-0000DA1C0000}"/>
    <cellStyle name="d_yield_Proj10_Merg Cons_THEsumPage (2) 3 2" xfId="7413" xr:uid="{00000000-0005-0000-0000-0000DB1C0000}"/>
    <cellStyle name="d_yield_Proj10_Merg Cons_THEsumPage (2) 4" xfId="7414" xr:uid="{00000000-0005-0000-0000-0000DC1C0000}"/>
    <cellStyle name="d_yield_Proj10_Merg Cons_THEsumPage (2)_HRT O&amp;G" xfId="7415" xr:uid="{00000000-0005-0000-0000-0000DD1C0000}"/>
    <cellStyle name="d_yield_Proj10_Merg Cons_THEsumPage (2)_HRT O&amp;G 2" xfId="7416" xr:uid="{00000000-0005-0000-0000-0000DE1C0000}"/>
    <cellStyle name="d_yield_Proj10_Merg Cons_THEsumPage (2)_HRT O&amp;G 2 2" xfId="7417" xr:uid="{00000000-0005-0000-0000-0000DF1C0000}"/>
    <cellStyle name="d_yield_Proj10_Merg Cons_THEsumPage (2)_HRT O&amp;G 3" xfId="7418" xr:uid="{00000000-0005-0000-0000-0000E01C0000}"/>
    <cellStyle name="d_yield_Proj10_PowerValuation.xls Chart 21" xfId="7419" xr:uid="{00000000-0005-0000-0000-0000E11C0000}"/>
    <cellStyle name="d_yield_Proj10_PowerValuation.xls Chart 21 2" xfId="7420" xr:uid="{00000000-0005-0000-0000-0000E21C0000}"/>
    <cellStyle name="d_yield_Proj10_PowerValuation.xls Chart 21 2 2" xfId="7421" xr:uid="{00000000-0005-0000-0000-0000E31C0000}"/>
    <cellStyle name="d_yield_Proj10_PowerValuation.xls Chart 21 2 2 2" xfId="7422" xr:uid="{00000000-0005-0000-0000-0000E41C0000}"/>
    <cellStyle name="d_yield_Proj10_PowerValuation.xls Chart 21 2 3" xfId="7423" xr:uid="{00000000-0005-0000-0000-0000E51C0000}"/>
    <cellStyle name="d_yield_Proj10_PowerValuation.xls Chart 21 3" xfId="7424" xr:uid="{00000000-0005-0000-0000-0000E61C0000}"/>
    <cellStyle name="d_yield_Proj10_PowerValuation.xls Chart 21 3 2" xfId="7425" xr:uid="{00000000-0005-0000-0000-0000E71C0000}"/>
    <cellStyle name="d_yield_Proj10_PowerValuation.xls Chart 21 4" xfId="7426" xr:uid="{00000000-0005-0000-0000-0000E81C0000}"/>
    <cellStyle name="d_yield_Proj10_PowerValuation.xls Chart 21_HRT O&amp;G" xfId="7427" xr:uid="{00000000-0005-0000-0000-0000E91C0000}"/>
    <cellStyle name="d_yield_Proj10_PowerValuation.xls Chart 21_HRT O&amp;G 2" xfId="7428" xr:uid="{00000000-0005-0000-0000-0000EA1C0000}"/>
    <cellStyle name="d_yield_Proj10_PowerValuation.xls Chart 21_HRT O&amp;G 2 2" xfId="7429" xr:uid="{00000000-0005-0000-0000-0000EB1C0000}"/>
    <cellStyle name="d_yield_Proj10_PowerValuation.xls Chart 21_HRT O&amp;G 3" xfId="7430" xr:uid="{00000000-0005-0000-0000-0000EC1C0000}"/>
    <cellStyle name="d_yield_Proj10_PowerValuation.xls Chart 28" xfId="7431" xr:uid="{00000000-0005-0000-0000-0000ED1C0000}"/>
    <cellStyle name="d_yield_Proj10_PowerValuation.xls Chart 28 2" xfId="7432" xr:uid="{00000000-0005-0000-0000-0000EE1C0000}"/>
    <cellStyle name="d_yield_Proj10_PowerValuation.xls Chart 28 2 2" xfId="7433" xr:uid="{00000000-0005-0000-0000-0000EF1C0000}"/>
    <cellStyle name="d_yield_Proj10_PowerValuation.xls Chart 28 2 2 2" xfId="7434" xr:uid="{00000000-0005-0000-0000-0000F01C0000}"/>
    <cellStyle name="d_yield_Proj10_PowerValuation.xls Chart 28 2 3" xfId="7435" xr:uid="{00000000-0005-0000-0000-0000F11C0000}"/>
    <cellStyle name="d_yield_Proj10_PowerValuation.xls Chart 28 3" xfId="7436" xr:uid="{00000000-0005-0000-0000-0000F21C0000}"/>
    <cellStyle name="d_yield_Proj10_PowerValuation.xls Chart 28 3 2" xfId="7437" xr:uid="{00000000-0005-0000-0000-0000F31C0000}"/>
    <cellStyle name="d_yield_Proj10_PowerValuation.xls Chart 28 4" xfId="7438" xr:uid="{00000000-0005-0000-0000-0000F41C0000}"/>
    <cellStyle name="d_yield_Proj10_PowerValuation.xls Chart 28_HRT O&amp;G" xfId="7439" xr:uid="{00000000-0005-0000-0000-0000F51C0000}"/>
    <cellStyle name="d_yield_Proj10_PowerValuation.xls Chart 28_HRT O&amp;G 2" xfId="7440" xr:uid="{00000000-0005-0000-0000-0000F61C0000}"/>
    <cellStyle name="d_yield_Proj10_PowerValuation.xls Chart 28_HRT O&amp;G 2 2" xfId="7441" xr:uid="{00000000-0005-0000-0000-0000F71C0000}"/>
    <cellStyle name="d_yield_Proj10_PowerValuation.xls Chart 28_HRT O&amp;G 3" xfId="7442" xr:uid="{00000000-0005-0000-0000-0000F81C0000}"/>
    <cellStyle name="d_yield_Proj10_Sensitivity" xfId="7443" xr:uid="{00000000-0005-0000-0000-0000F91C0000}"/>
    <cellStyle name="d_yield_Proj10_Sensitivity 2" xfId="7444" xr:uid="{00000000-0005-0000-0000-0000FA1C0000}"/>
    <cellStyle name="d_yield_Proj10_Sensitivity 2 2" xfId="7445" xr:uid="{00000000-0005-0000-0000-0000FB1C0000}"/>
    <cellStyle name="d_yield_Proj10_Sensitivity 2 2 2" xfId="7446" xr:uid="{00000000-0005-0000-0000-0000FC1C0000}"/>
    <cellStyle name="d_yield_Proj10_Sensitivity 2 3" xfId="7447" xr:uid="{00000000-0005-0000-0000-0000FD1C0000}"/>
    <cellStyle name="d_yield_Proj10_Sensitivity 3" xfId="7448" xr:uid="{00000000-0005-0000-0000-0000FE1C0000}"/>
    <cellStyle name="d_yield_Proj10_Sensitivity 3 2" xfId="7449" xr:uid="{00000000-0005-0000-0000-0000FF1C0000}"/>
    <cellStyle name="d_yield_Proj10_Sensitivity 4" xfId="7450" xr:uid="{00000000-0005-0000-0000-0000001D0000}"/>
    <cellStyle name="d_yield_Proj10_Sensitivity_CompSheet" xfId="7451" xr:uid="{00000000-0005-0000-0000-0000011D0000}"/>
    <cellStyle name="d_yield_Proj10_Sensitivity_CompSheet 2" xfId="7452" xr:uid="{00000000-0005-0000-0000-0000021D0000}"/>
    <cellStyle name="d_yield_Proj10_Sensitivity_CompSheet 2 2" xfId="7453" xr:uid="{00000000-0005-0000-0000-0000031D0000}"/>
    <cellStyle name="d_yield_Proj10_Sensitivity_CompSheet 2 2 2" xfId="7454" xr:uid="{00000000-0005-0000-0000-0000041D0000}"/>
    <cellStyle name="d_yield_Proj10_Sensitivity_CompSheet 2 3" xfId="7455" xr:uid="{00000000-0005-0000-0000-0000051D0000}"/>
    <cellStyle name="d_yield_Proj10_Sensitivity_CompSheet 3" xfId="7456" xr:uid="{00000000-0005-0000-0000-0000061D0000}"/>
    <cellStyle name="d_yield_Proj10_Sensitivity_CompSheet 3 2" xfId="7457" xr:uid="{00000000-0005-0000-0000-0000071D0000}"/>
    <cellStyle name="d_yield_Proj10_Sensitivity_CompSheet 4" xfId="7458" xr:uid="{00000000-0005-0000-0000-0000081D0000}"/>
    <cellStyle name="d_yield_Proj10_Sensitivity_CompSheet_HRT O&amp;G" xfId="7459" xr:uid="{00000000-0005-0000-0000-0000091D0000}"/>
    <cellStyle name="d_yield_Proj10_Sensitivity_CompSheet_HRT O&amp;G 2" xfId="7460" xr:uid="{00000000-0005-0000-0000-00000A1D0000}"/>
    <cellStyle name="d_yield_Proj10_Sensitivity_CompSheet_HRT O&amp;G 2 2" xfId="7461" xr:uid="{00000000-0005-0000-0000-00000B1D0000}"/>
    <cellStyle name="d_yield_Proj10_Sensitivity_CompSheet_HRT O&amp;G 3" xfId="7462" xr:uid="{00000000-0005-0000-0000-00000C1D0000}"/>
    <cellStyle name="d_yield_Proj10_Sensitivity_HRT O&amp;G" xfId="7463" xr:uid="{00000000-0005-0000-0000-00000D1D0000}"/>
    <cellStyle name="d_yield_Proj10_Sensitivity_HRT O&amp;G 2" xfId="7464" xr:uid="{00000000-0005-0000-0000-00000E1D0000}"/>
    <cellStyle name="d_yield_Proj10_Sensitivity_HRT O&amp;G 2 2" xfId="7465" xr:uid="{00000000-0005-0000-0000-00000F1D0000}"/>
    <cellStyle name="d_yield_Proj10_Sensitivity_HRT O&amp;G 3" xfId="7466" xr:uid="{00000000-0005-0000-0000-0000101D0000}"/>
    <cellStyle name="d_yield_Proj10_Sensitivity_THEsumPage (2)" xfId="7467" xr:uid="{00000000-0005-0000-0000-0000111D0000}"/>
    <cellStyle name="d_yield_Proj10_Sensitivity_THEsumPage (2) 2" xfId="7468" xr:uid="{00000000-0005-0000-0000-0000121D0000}"/>
    <cellStyle name="d_yield_Proj10_Sensitivity_THEsumPage (2) 2 2" xfId="7469" xr:uid="{00000000-0005-0000-0000-0000131D0000}"/>
    <cellStyle name="d_yield_Proj10_Sensitivity_THEsumPage (2) 2 2 2" xfId="7470" xr:uid="{00000000-0005-0000-0000-0000141D0000}"/>
    <cellStyle name="d_yield_Proj10_Sensitivity_THEsumPage (2) 2 3" xfId="7471" xr:uid="{00000000-0005-0000-0000-0000151D0000}"/>
    <cellStyle name="d_yield_Proj10_Sensitivity_THEsumPage (2) 3" xfId="7472" xr:uid="{00000000-0005-0000-0000-0000161D0000}"/>
    <cellStyle name="d_yield_Proj10_Sensitivity_THEsumPage (2) 3 2" xfId="7473" xr:uid="{00000000-0005-0000-0000-0000171D0000}"/>
    <cellStyle name="d_yield_Proj10_Sensitivity_THEsumPage (2) 4" xfId="7474" xr:uid="{00000000-0005-0000-0000-0000181D0000}"/>
    <cellStyle name="d_yield_Proj10_Sensitivity_THEsumPage (2)_HRT O&amp;G" xfId="7475" xr:uid="{00000000-0005-0000-0000-0000191D0000}"/>
    <cellStyle name="d_yield_Proj10_Sensitivity_THEsumPage (2)_HRT O&amp;G 2" xfId="7476" xr:uid="{00000000-0005-0000-0000-00001A1D0000}"/>
    <cellStyle name="d_yield_Proj10_Sensitivity_THEsumPage (2)_HRT O&amp;G 2 2" xfId="7477" xr:uid="{00000000-0005-0000-0000-00001B1D0000}"/>
    <cellStyle name="d_yield_Proj10_Sensitivity_THEsumPage (2)_HRT O&amp;G 3" xfId="7478" xr:uid="{00000000-0005-0000-0000-00001C1D0000}"/>
    <cellStyle name="d_yield_Proj10_show-hold" xfId="7479" xr:uid="{00000000-0005-0000-0000-00001D1D0000}"/>
    <cellStyle name="d_yield_Proj10_show-hold 2" xfId="7480" xr:uid="{00000000-0005-0000-0000-00001E1D0000}"/>
    <cellStyle name="d_yield_Proj10_show-hold 2 2" xfId="7481" xr:uid="{00000000-0005-0000-0000-00001F1D0000}"/>
    <cellStyle name="d_yield_Proj10_show-hold 2 2 2" xfId="7482" xr:uid="{00000000-0005-0000-0000-0000201D0000}"/>
    <cellStyle name="d_yield_Proj10_show-hold 2 3" xfId="7483" xr:uid="{00000000-0005-0000-0000-0000211D0000}"/>
    <cellStyle name="d_yield_Proj10_show-hold 3" xfId="7484" xr:uid="{00000000-0005-0000-0000-0000221D0000}"/>
    <cellStyle name="d_yield_Proj10_show-hold 3 2" xfId="7485" xr:uid="{00000000-0005-0000-0000-0000231D0000}"/>
    <cellStyle name="d_yield_Proj10_show-hold 4" xfId="7486" xr:uid="{00000000-0005-0000-0000-0000241D0000}"/>
    <cellStyle name="d_yield_Proj10_show-hold_Graphic Depiction - NO DEV" xfId="7487" xr:uid="{00000000-0005-0000-0000-0000251D0000}"/>
    <cellStyle name="d_yield_Proj10_show-hold_Graphic Depiction - NO DEV 2" xfId="7488" xr:uid="{00000000-0005-0000-0000-0000261D0000}"/>
    <cellStyle name="d_yield_Proj10_show-hold_Graphic Depiction - NO DEV 2 2" xfId="7489" xr:uid="{00000000-0005-0000-0000-0000271D0000}"/>
    <cellStyle name="d_yield_Proj10_show-hold_Graphic Depiction - NO DEV 2 2 2" xfId="7490" xr:uid="{00000000-0005-0000-0000-0000281D0000}"/>
    <cellStyle name="d_yield_Proj10_show-hold_Graphic Depiction - NO DEV 2 3" xfId="7491" xr:uid="{00000000-0005-0000-0000-0000291D0000}"/>
    <cellStyle name="d_yield_Proj10_show-hold_Graphic Depiction - NO DEV 3" xfId="7492" xr:uid="{00000000-0005-0000-0000-00002A1D0000}"/>
    <cellStyle name="d_yield_Proj10_show-hold_Graphic Depiction - NO DEV 3 2" xfId="7493" xr:uid="{00000000-0005-0000-0000-00002B1D0000}"/>
    <cellStyle name="d_yield_Proj10_show-hold_Graphic Depiction - NO DEV 4" xfId="7494" xr:uid="{00000000-0005-0000-0000-00002C1D0000}"/>
    <cellStyle name="d_yield_Proj10_show-hold_Graphic Depiction - NO DEV_HRT O&amp;G" xfId="7495" xr:uid="{00000000-0005-0000-0000-00002D1D0000}"/>
    <cellStyle name="d_yield_Proj10_show-hold_Graphic Depiction - NO DEV_HRT O&amp;G 2" xfId="7496" xr:uid="{00000000-0005-0000-0000-00002E1D0000}"/>
    <cellStyle name="d_yield_Proj10_show-hold_Graphic Depiction - NO DEV_HRT O&amp;G 2 2" xfId="7497" xr:uid="{00000000-0005-0000-0000-00002F1D0000}"/>
    <cellStyle name="d_yield_Proj10_show-hold_Graphic Depiction - NO DEV_HRT O&amp;G 3" xfId="7498" xr:uid="{00000000-0005-0000-0000-0000301D0000}"/>
    <cellStyle name="d_yield_Proj10_show-hold_HRT O&amp;G" xfId="7499" xr:uid="{00000000-0005-0000-0000-0000311D0000}"/>
    <cellStyle name="d_yield_Proj10_show-hold_HRT O&amp;G 2" xfId="7500" xr:uid="{00000000-0005-0000-0000-0000321D0000}"/>
    <cellStyle name="d_yield_Proj10_show-hold_HRT O&amp;G 2 2" xfId="7501" xr:uid="{00000000-0005-0000-0000-0000331D0000}"/>
    <cellStyle name="d_yield_Proj10_show-hold_HRT O&amp;G 3" xfId="7502" xr:uid="{00000000-0005-0000-0000-0000341D0000}"/>
    <cellStyle name="d_yield_Proj10_show-hold_THEsumPage (2)" xfId="7503" xr:uid="{00000000-0005-0000-0000-0000351D0000}"/>
    <cellStyle name="d_yield_Proj10_show-hold_THEsumPage (2) 2" xfId="7504" xr:uid="{00000000-0005-0000-0000-0000361D0000}"/>
    <cellStyle name="d_yield_Proj10_show-hold_THEsumPage (2) 2 2" xfId="7505" xr:uid="{00000000-0005-0000-0000-0000371D0000}"/>
    <cellStyle name="d_yield_Proj10_show-hold_THEsumPage (2) 2 2 2" xfId="7506" xr:uid="{00000000-0005-0000-0000-0000381D0000}"/>
    <cellStyle name="d_yield_Proj10_show-hold_THEsumPage (2) 2 3" xfId="7507" xr:uid="{00000000-0005-0000-0000-0000391D0000}"/>
    <cellStyle name="d_yield_Proj10_show-hold_THEsumPage (2) 3" xfId="7508" xr:uid="{00000000-0005-0000-0000-00003A1D0000}"/>
    <cellStyle name="d_yield_Proj10_show-hold_THEsumPage (2) 3 2" xfId="7509" xr:uid="{00000000-0005-0000-0000-00003B1D0000}"/>
    <cellStyle name="d_yield_Proj10_show-hold_THEsumPage (2) 4" xfId="7510" xr:uid="{00000000-0005-0000-0000-00003C1D0000}"/>
    <cellStyle name="d_yield_Proj10_show-hold_THEsumPage (2)_HRT O&amp;G" xfId="7511" xr:uid="{00000000-0005-0000-0000-00003D1D0000}"/>
    <cellStyle name="d_yield_Proj10_show-hold_THEsumPage (2)_HRT O&amp;G 2" xfId="7512" xr:uid="{00000000-0005-0000-0000-00003E1D0000}"/>
    <cellStyle name="d_yield_Proj10_show-hold_THEsumPage (2)_HRT O&amp;G 2 2" xfId="7513" xr:uid="{00000000-0005-0000-0000-00003F1D0000}"/>
    <cellStyle name="d_yield_Proj10_show-hold_THEsumPage (2)_HRT O&amp;G 3" xfId="7514" xr:uid="{00000000-0005-0000-0000-0000401D0000}"/>
    <cellStyle name="d_yield_Proj10_THEsumPage (2)" xfId="7515" xr:uid="{00000000-0005-0000-0000-0000411D0000}"/>
    <cellStyle name="d_yield_Proj10_THEsumPage (2) 2" xfId="7516" xr:uid="{00000000-0005-0000-0000-0000421D0000}"/>
    <cellStyle name="d_yield_Proj10_THEsumPage (2) 2 2" xfId="7517" xr:uid="{00000000-0005-0000-0000-0000431D0000}"/>
    <cellStyle name="d_yield_Proj10_THEsumPage (2) 2 2 2" xfId="7518" xr:uid="{00000000-0005-0000-0000-0000441D0000}"/>
    <cellStyle name="d_yield_Proj10_THEsumPage (2) 2 3" xfId="7519" xr:uid="{00000000-0005-0000-0000-0000451D0000}"/>
    <cellStyle name="d_yield_Proj10_THEsumPage (2) 3" xfId="7520" xr:uid="{00000000-0005-0000-0000-0000461D0000}"/>
    <cellStyle name="d_yield_Proj10_THEsumPage (2) 3 2" xfId="7521" xr:uid="{00000000-0005-0000-0000-0000471D0000}"/>
    <cellStyle name="d_yield_Proj10_THEsumPage (2) 4" xfId="7522" xr:uid="{00000000-0005-0000-0000-0000481D0000}"/>
    <cellStyle name="d_yield_Proj10_THEsumPage (2)_HRT O&amp;G" xfId="7523" xr:uid="{00000000-0005-0000-0000-0000491D0000}"/>
    <cellStyle name="d_yield_Proj10_THEsumPage (2)_HRT O&amp;G 2" xfId="7524" xr:uid="{00000000-0005-0000-0000-00004A1D0000}"/>
    <cellStyle name="d_yield_Proj10_THEsumPage (2)_HRT O&amp;G 2 2" xfId="7525" xr:uid="{00000000-0005-0000-0000-00004B1D0000}"/>
    <cellStyle name="d_yield_Proj10_THEsumPage (2)_HRT O&amp;G 3" xfId="7526" xr:uid="{00000000-0005-0000-0000-00004C1D0000}"/>
    <cellStyle name="d_yield_Proj10_Valuation summaries" xfId="7527" xr:uid="{00000000-0005-0000-0000-00004D1D0000}"/>
    <cellStyle name="d_yield_Proj10_Valuation summaries 2" xfId="7528" xr:uid="{00000000-0005-0000-0000-00004E1D0000}"/>
    <cellStyle name="d_yield_Proj10_Valuation summaries 2 2" xfId="7529" xr:uid="{00000000-0005-0000-0000-00004F1D0000}"/>
    <cellStyle name="d_yield_Proj10_Valuation summaries 2 2 2" xfId="7530" xr:uid="{00000000-0005-0000-0000-0000501D0000}"/>
    <cellStyle name="d_yield_Proj10_Valuation summaries 2 3" xfId="7531" xr:uid="{00000000-0005-0000-0000-0000511D0000}"/>
    <cellStyle name="d_yield_Proj10_Valuation summaries 3" xfId="7532" xr:uid="{00000000-0005-0000-0000-0000521D0000}"/>
    <cellStyle name="d_yield_Proj10_Valuation summaries 3 2" xfId="7533" xr:uid="{00000000-0005-0000-0000-0000531D0000}"/>
    <cellStyle name="d_yield_Proj10_Valuation summaries 4" xfId="7534" xr:uid="{00000000-0005-0000-0000-0000541D0000}"/>
    <cellStyle name="d_yield_Proj10_Valuation summaries_HRT O&amp;G" xfId="7535" xr:uid="{00000000-0005-0000-0000-0000551D0000}"/>
    <cellStyle name="d_yield_Proj10_Valuation summaries_HRT O&amp;G 2" xfId="7536" xr:uid="{00000000-0005-0000-0000-0000561D0000}"/>
    <cellStyle name="d_yield_Proj10_Valuation summaries_HRT O&amp;G 2 2" xfId="7537" xr:uid="{00000000-0005-0000-0000-0000571D0000}"/>
    <cellStyle name="d_yield_Proj10_Valuation summaries_HRT O&amp;G 3" xfId="7538" xr:uid="{00000000-0005-0000-0000-0000581D0000}"/>
    <cellStyle name="d_yield_Proj10_WACC-CableCar" xfId="7539" xr:uid="{00000000-0005-0000-0000-0000591D0000}"/>
    <cellStyle name="d_yield_Proj10_WACC-CableCar 2" xfId="7540" xr:uid="{00000000-0005-0000-0000-00005A1D0000}"/>
    <cellStyle name="d_yield_Proj10_WACC-CableCar 2 2" xfId="7541" xr:uid="{00000000-0005-0000-0000-00005B1D0000}"/>
    <cellStyle name="d_yield_Proj10_WACC-CableCar 2 2 2" xfId="7542" xr:uid="{00000000-0005-0000-0000-00005C1D0000}"/>
    <cellStyle name="d_yield_Proj10_WACC-CableCar 2 3" xfId="7543" xr:uid="{00000000-0005-0000-0000-00005D1D0000}"/>
    <cellStyle name="d_yield_Proj10_WACC-CableCar 3" xfId="7544" xr:uid="{00000000-0005-0000-0000-00005E1D0000}"/>
    <cellStyle name="d_yield_Proj10_WACC-CableCar 3 2" xfId="7545" xr:uid="{00000000-0005-0000-0000-00005F1D0000}"/>
    <cellStyle name="d_yield_Proj10_WACC-CableCar 4" xfId="7546" xr:uid="{00000000-0005-0000-0000-0000601D0000}"/>
    <cellStyle name="d_yield_Proj10_WACC-CableCar_HRT O&amp;G" xfId="7547" xr:uid="{00000000-0005-0000-0000-0000611D0000}"/>
    <cellStyle name="d_yield_Proj10_WACC-CableCar_HRT O&amp;G 2" xfId="7548" xr:uid="{00000000-0005-0000-0000-0000621D0000}"/>
    <cellStyle name="d_yield_Proj10_WACC-CableCar_HRT O&amp;G 2 2" xfId="7549" xr:uid="{00000000-0005-0000-0000-0000631D0000}"/>
    <cellStyle name="d_yield_Proj10_WACC-CableCar_HRT O&amp;G 3" xfId="7550" xr:uid="{00000000-0005-0000-0000-0000641D0000}"/>
    <cellStyle name="d_yield_Proj10_WACC-CableCar_THEsumPage (2)" xfId="7551" xr:uid="{00000000-0005-0000-0000-0000651D0000}"/>
    <cellStyle name="d_yield_Proj10_WACC-CableCar_THEsumPage (2) 2" xfId="7552" xr:uid="{00000000-0005-0000-0000-0000661D0000}"/>
    <cellStyle name="d_yield_Proj10_WACC-CableCar_THEsumPage (2) 2 2" xfId="7553" xr:uid="{00000000-0005-0000-0000-0000671D0000}"/>
    <cellStyle name="d_yield_Proj10_WACC-CableCar_THEsumPage (2) 2 2 2" xfId="7554" xr:uid="{00000000-0005-0000-0000-0000681D0000}"/>
    <cellStyle name="d_yield_Proj10_WACC-CableCar_THEsumPage (2) 2 3" xfId="7555" xr:uid="{00000000-0005-0000-0000-0000691D0000}"/>
    <cellStyle name="d_yield_Proj10_WACC-CableCar_THEsumPage (2) 3" xfId="7556" xr:uid="{00000000-0005-0000-0000-00006A1D0000}"/>
    <cellStyle name="d_yield_Proj10_WACC-CableCar_THEsumPage (2) 3 2" xfId="7557" xr:uid="{00000000-0005-0000-0000-00006B1D0000}"/>
    <cellStyle name="d_yield_Proj10_WACC-CableCar_THEsumPage (2) 4" xfId="7558" xr:uid="{00000000-0005-0000-0000-00006C1D0000}"/>
    <cellStyle name="d_yield_Proj10_WACC-CableCar_THEsumPage (2)_HRT O&amp;G" xfId="7559" xr:uid="{00000000-0005-0000-0000-00006D1D0000}"/>
    <cellStyle name="d_yield_Proj10_WACC-CableCar_THEsumPage (2)_HRT O&amp;G 2" xfId="7560" xr:uid="{00000000-0005-0000-0000-00006E1D0000}"/>
    <cellStyle name="d_yield_Proj10_WACC-CableCar_THEsumPage (2)_HRT O&amp;G 2 2" xfId="7561" xr:uid="{00000000-0005-0000-0000-00006F1D0000}"/>
    <cellStyle name="d_yield_Proj10_WACC-CableCar_THEsumPage (2)_HRT O&amp;G 3" xfId="7562" xr:uid="{00000000-0005-0000-0000-0000701D0000}"/>
    <cellStyle name="d_yield_Proj10_WACC-RAD (2)" xfId="7563" xr:uid="{00000000-0005-0000-0000-0000711D0000}"/>
    <cellStyle name="d_yield_Proj10_WACC-RAD (2) 2" xfId="7564" xr:uid="{00000000-0005-0000-0000-0000721D0000}"/>
    <cellStyle name="d_yield_Proj10_WACC-RAD (2) 2 2" xfId="7565" xr:uid="{00000000-0005-0000-0000-0000731D0000}"/>
    <cellStyle name="d_yield_Proj10_WACC-RAD (2) 2 2 2" xfId="7566" xr:uid="{00000000-0005-0000-0000-0000741D0000}"/>
    <cellStyle name="d_yield_Proj10_WACC-RAD (2) 2 3" xfId="7567" xr:uid="{00000000-0005-0000-0000-0000751D0000}"/>
    <cellStyle name="d_yield_Proj10_WACC-RAD (2) 3" xfId="7568" xr:uid="{00000000-0005-0000-0000-0000761D0000}"/>
    <cellStyle name="d_yield_Proj10_WACC-RAD (2) 3 2" xfId="7569" xr:uid="{00000000-0005-0000-0000-0000771D0000}"/>
    <cellStyle name="d_yield_Proj10_WACC-RAD (2) 4" xfId="7570" xr:uid="{00000000-0005-0000-0000-0000781D0000}"/>
    <cellStyle name="d_yield_Proj10_WACC-RAD (2)_HRT O&amp;G" xfId="7571" xr:uid="{00000000-0005-0000-0000-0000791D0000}"/>
    <cellStyle name="d_yield_Proj10_WACC-RAD (2)_HRT O&amp;G 2" xfId="7572" xr:uid="{00000000-0005-0000-0000-00007A1D0000}"/>
    <cellStyle name="d_yield_Proj10_WACC-RAD (2)_HRT O&amp;G 2 2" xfId="7573" xr:uid="{00000000-0005-0000-0000-00007B1D0000}"/>
    <cellStyle name="d_yield_Proj10_WACC-RAD (2)_HRT O&amp;G 3" xfId="7574" xr:uid="{00000000-0005-0000-0000-00007C1D0000}"/>
    <cellStyle name="d_yield_Proj10_WACC-RAD (2)_THEsumPage (2)" xfId="7575" xr:uid="{00000000-0005-0000-0000-00007D1D0000}"/>
    <cellStyle name="d_yield_Proj10_WACC-RAD (2)_THEsumPage (2) 2" xfId="7576" xr:uid="{00000000-0005-0000-0000-00007E1D0000}"/>
    <cellStyle name="d_yield_Proj10_WACC-RAD (2)_THEsumPage (2) 2 2" xfId="7577" xr:uid="{00000000-0005-0000-0000-00007F1D0000}"/>
    <cellStyle name="d_yield_Proj10_WACC-RAD (2)_THEsumPage (2) 2 2 2" xfId="7578" xr:uid="{00000000-0005-0000-0000-0000801D0000}"/>
    <cellStyle name="d_yield_Proj10_WACC-RAD (2)_THEsumPage (2) 2 3" xfId="7579" xr:uid="{00000000-0005-0000-0000-0000811D0000}"/>
    <cellStyle name="d_yield_Proj10_WACC-RAD (2)_THEsumPage (2) 3" xfId="7580" xr:uid="{00000000-0005-0000-0000-0000821D0000}"/>
    <cellStyle name="d_yield_Proj10_WACC-RAD (2)_THEsumPage (2) 3 2" xfId="7581" xr:uid="{00000000-0005-0000-0000-0000831D0000}"/>
    <cellStyle name="d_yield_Proj10_WACC-RAD (2)_THEsumPage (2) 4" xfId="7582" xr:uid="{00000000-0005-0000-0000-0000841D0000}"/>
    <cellStyle name="d_yield_Proj10_WACC-RAD (2)_THEsumPage (2)_HRT O&amp;G" xfId="7583" xr:uid="{00000000-0005-0000-0000-0000851D0000}"/>
    <cellStyle name="d_yield_Proj10_WACC-RAD (2)_THEsumPage (2)_HRT O&amp;G 2" xfId="7584" xr:uid="{00000000-0005-0000-0000-0000861D0000}"/>
    <cellStyle name="d_yield_Proj10_WACC-RAD (2)_THEsumPage (2)_HRT O&amp;G 2 2" xfId="7585" xr:uid="{00000000-0005-0000-0000-0000871D0000}"/>
    <cellStyle name="d_yield_Proj10_WACC-RAD (2)_THEsumPage (2)_HRT O&amp;G 3" xfId="7586" xr:uid="{00000000-0005-0000-0000-0000881D0000}"/>
    <cellStyle name="d_yield_Sensitivity" xfId="7587" xr:uid="{00000000-0005-0000-0000-0000891D0000}"/>
    <cellStyle name="d_yield_Sensitivity 2" xfId="7588" xr:uid="{00000000-0005-0000-0000-00008A1D0000}"/>
    <cellStyle name="d_yield_Sensitivity 2 2" xfId="7589" xr:uid="{00000000-0005-0000-0000-00008B1D0000}"/>
    <cellStyle name="d_yield_Sensitivity 2 2 2" xfId="7590" xr:uid="{00000000-0005-0000-0000-00008C1D0000}"/>
    <cellStyle name="d_yield_Sensitivity 2 3" xfId="7591" xr:uid="{00000000-0005-0000-0000-00008D1D0000}"/>
    <cellStyle name="d_yield_Sensitivity 3" xfId="7592" xr:uid="{00000000-0005-0000-0000-00008E1D0000}"/>
    <cellStyle name="d_yield_Sensitivity 3 2" xfId="7593" xr:uid="{00000000-0005-0000-0000-00008F1D0000}"/>
    <cellStyle name="d_yield_Sensitivity 4" xfId="7594" xr:uid="{00000000-0005-0000-0000-0000901D0000}"/>
    <cellStyle name="d_yield_Sensitivity_CompSheet" xfId="7595" xr:uid="{00000000-0005-0000-0000-0000911D0000}"/>
    <cellStyle name="d_yield_Sensitivity_CompSheet 2" xfId="7596" xr:uid="{00000000-0005-0000-0000-0000921D0000}"/>
    <cellStyle name="d_yield_Sensitivity_CompSheet 2 2" xfId="7597" xr:uid="{00000000-0005-0000-0000-0000931D0000}"/>
    <cellStyle name="d_yield_Sensitivity_CompSheet 2 2 2" xfId="7598" xr:uid="{00000000-0005-0000-0000-0000941D0000}"/>
    <cellStyle name="d_yield_Sensitivity_CompSheet 2 3" xfId="7599" xr:uid="{00000000-0005-0000-0000-0000951D0000}"/>
    <cellStyle name="d_yield_Sensitivity_CompSheet 3" xfId="7600" xr:uid="{00000000-0005-0000-0000-0000961D0000}"/>
    <cellStyle name="d_yield_Sensitivity_CompSheet 3 2" xfId="7601" xr:uid="{00000000-0005-0000-0000-0000971D0000}"/>
    <cellStyle name="d_yield_Sensitivity_CompSheet 4" xfId="7602" xr:uid="{00000000-0005-0000-0000-0000981D0000}"/>
    <cellStyle name="d_yield_Sensitivity_CompSheet_HRT O&amp;G" xfId="7603" xr:uid="{00000000-0005-0000-0000-0000991D0000}"/>
    <cellStyle name="d_yield_Sensitivity_CompSheet_HRT O&amp;G 2" xfId="7604" xr:uid="{00000000-0005-0000-0000-00009A1D0000}"/>
    <cellStyle name="d_yield_Sensitivity_CompSheet_HRT O&amp;G 2 2" xfId="7605" xr:uid="{00000000-0005-0000-0000-00009B1D0000}"/>
    <cellStyle name="d_yield_Sensitivity_CompSheet_HRT O&amp;G 3" xfId="7606" xr:uid="{00000000-0005-0000-0000-00009C1D0000}"/>
    <cellStyle name="d_yield_Sensitivity_HRT O&amp;G" xfId="7607" xr:uid="{00000000-0005-0000-0000-00009D1D0000}"/>
    <cellStyle name="d_yield_Sensitivity_HRT O&amp;G 2" xfId="7608" xr:uid="{00000000-0005-0000-0000-00009E1D0000}"/>
    <cellStyle name="d_yield_Sensitivity_HRT O&amp;G 2 2" xfId="7609" xr:uid="{00000000-0005-0000-0000-00009F1D0000}"/>
    <cellStyle name="d_yield_Sensitivity_HRT O&amp;G 3" xfId="7610" xr:uid="{00000000-0005-0000-0000-0000A01D0000}"/>
    <cellStyle name="d_yield_Sensitivity_THEsumPage (2)" xfId="7611" xr:uid="{00000000-0005-0000-0000-0000A11D0000}"/>
    <cellStyle name="d_yield_Sensitivity_THEsumPage (2) 2" xfId="7612" xr:uid="{00000000-0005-0000-0000-0000A21D0000}"/>
    <cellStyle name="d_yield_Sensitivity_THEsumPage (2) 2 2" xfId="7613" xr:uid="{00000000-0005-0000-0000-0000A31D0000}"/>
    <cellStyle name="d_yield_Sensitivity_THEsumPage (2) 2 2 2" xfId="7614" xr:uid="{00000000-0005-0000-0000-0000A41D0000}"/>
    <cellStyle name="d_yield_Sensitivity_THEsumPage (2) 2 3" xfId="7615" xr:uid="{00000000-0005-0000-0000-0000A51D0000}"/>
    <cellStyle name="d_yield_Sensitivity_THEsumPage (2) 3" xfId="7616" xr:uid="{00000000-0005-0000-0000-0000A61D0000}"/>
    <cellStyle name="d_yield_Sensitivity_THEsumPage (2) 3 2" xfId="7617" xr:uid="{00000000-0005-0000-0000-0000A71D0000}"/>
    <cellStyle name="d_yield_Sensitivity_THEsumPage (2) 4" xfId="7618" xr:uid="{00000000-0005-0000-0000-0000A81D0000}"/>
    <cellStyle name="d_yield_Sensitivity_THEsumPage (2)_HRT O&amp;G" xfId="7619" xr:uid="{00000000-0005-0000-0000-0000A91D0000}"/>
    <cellStyle name="d_yield_Sensitivity_THEsumPage (2)_HRT O&amp;G 2" xfId="7620" xr:uid="{00000000-0005-0000-0000-0000AA1D0000}"/>
    <cellStyle name="d_yield_Sensitivity_THEsumPage (2)_HRT O&amp;G 2 2" xfId="7621" xr:uid="{00000000-0005-0000-0000-0000AB1D0000}"/>
    <cellStyle name="d_yield_Sensitivity_THEsumPage (2)_HRT O&amp;G 3" xfId="7622" xr:uid="{00000000-0005-0000-0000-0000AC1D0000}"/>
    <cellStyle name="d_yield_show-hold" xfId="7623" xr:uid="{00000000-0005-0000-0000-0000AD1D0000}"/>
    <cellStyle name="d_yield_show-hold 2" xfId="7624" xr:uid="{00000000-0005-0000-0000-0000AE1D0000}"/>
    <cellStyle name="d_yield_show-hold 2 2" xfId="7625" xr:uid="{00000000-0005-0000-0000-0000AF1D0000}"/>
    <cellStyle name="d_yield_show-hold 2 2 2" xfId="7626" xr:uid="{00000000-0005-0000-0000-0000B01D0000}"/>
    <cellStyle name="d_yield_show-hold 2 3" xfId="7627" xr:uid="{00000000-0005-0000-0000-0000B11D0000}"/>
    <cellStyle name="d_yield_show-hold 3" xfId="7628" xr:uid="{00000000-0005-0000-0000-0000B21D0000}"/>
    <cellStyle name="d_yield_show-hold 3 2" xfId="7629" xr:uid="{00000000-0005-0000-0000-0000B31D0000}"/>
    <cellStyle name="d_yield_show-hold 4" xfId="7630" xr:uid="{00000000-0005-0000-0000-0000B41D0000}"/>
    <cellStyle name="d_yield_show-hold_CompSheet" xfId="7631" xr:uid="{00000000-0005-0000-0000-0000B51D0000}"/>
    <cellStyle name="d_yield_show-hold_CompSheet 2" xfId="7632" xr:uid="{00000000-0005-0000-0000-0000B61D0000}"/>
    <cellStyle name="d_yield_show-hold_CompSheet 2 2" xfId="7633" xr:uid="{00000000-0005-0000-0000-0000B71D0000}"/>
    <cellStyle name="d_yield_show-hold_CompSheet 2 2 2" xfId="7634" xr:uid="{00000000-0005-0000-0000-0000B81D0000}"/>
    <cellStyle name="d_yield_show-hold_CompSheet 2 3" xfId="7635" xr:uid="{00000000-0005-0000-0000-0000B91D0000}"/>
    <cellStyle name="d_yield_show-hold_CompSheet 3" xfId="7636" xr:uid="{00000000-0005-0000-0000-0000BA1D0000}"/>
    <cellStyle name="d_yield_show-hold_CompSheet 3 2" xfId="7637" xr:uid="{00000000-0005-0000-0000-0000BB1D0000}"/>
    <cellStyle name="d_yield_show-hold_CompSheet 4" xfId="7638" xr:uid="{00000000-0005-0000-0000-0000BC1D0000}"/>
    <cellStyle name="d_yield_show-hold_CompSheet_HRT O&amp;G" xfId="7639" xr:uid="{00000000-0005-0000-0000-0000BD1D0000}"/>
    <cellStyle name="d_yield_show-hold_CompSheet_HRT O&amp;G 2" xfId="7640" xr:uid="{00000000-0005-0000-0000-0000BE1D0000}"/>
    <cellStyle name="d_yield_show-hold_CompSheet_HRT O&amp;G 2 2" xfId="7641" xr:uid="{00000000-0005-0000-0000-0000BF1D0000}"/>
    <cellStyle name="d_yield_show-hold_CompSheet_HRT O&amp;G 3" xfId="7642" xr:uid="{00000000-0005-0000-0000-0000C01D0000}"/>
    <cellStyle name="d_yield_show-hold_HRT O&amp;G" xfId="7643" xr:uid="{00000000-0005-0000-0000-0000C11D0000}"/>
    <cellStyle name="d_yield_show-hold_HRT O&amp;G 2" xfId="7644" xr:uid="{00000000-0005-0000-0000-0000C21D0000}"/>
    <cellStyle name="d_yield_show-hold_HRT O&amp;G 2 2" xfId="7645" xr:uid="{00000000-0005-0000-0000-0000C31D0000}"/>
    <cellStyle name="d_yield_show-hold_HRT O&amp;G 3" xfId="7646" xr:uid="{00000000-0005-0000-0000-0000C41D0000}"/>
    <cellStyle name="d_yield_show-hold_THEsumPage (2)" xfId="7647" xr:uid="{00000000-0005-0000-0000-0000C51D0000}"/>
    <cellStyle name="d_yield_show-hold_THEsumPage (2) 2" xfId="7648" xr:uid="{00000000-0005-0000-0000-0000C61D0000}"/>
    <cellStyle name="d_yield_show-hold_THEsumPage (2) 2 2" xfId="7649" xr:uid="{00000000-0005-0000-0000-0000C71D0000}"/>
    <cellStyle name="d_yield_show-hold_THEsumPage (2) 2 2 2" xfId="7650" xr:uid="{00000000-0005-0000-0000-0000C81D0000}"/>
    <cellStyle name="d_yield_show-hold_THEsumPage (2) 2 3" xfId="7651" xr:uid="{00000000-0005-0000-0000-0000C91D0000}"/>
    <cellStyle name="d_yield_show-hold_THEsumPage (2) 3" xfId="7652" xr:uid="{00000000-0005-0000-0000-0000CA1D0000}"/>
    <cellStyle name="d_yield_show-hold_THEsumPage (2) 3 2" xfId="7653" xr:uid="{00000000-0005-0000-0000-0000CB1D0000}"/>
    <cellStyle name="d_yield_show-hold_THEsumPage (2) 4" xfId="7654" xr:uid="{00000000-0005-0000-0000-0000CC1D0000}"/>
    <cellStyle name="d_yield_show-hold_THEsumPage (2)_HRT O&amp;G" xfId="7655" xr:uid="{00000000-0005-0000-0000-0000CD1D0000}"/>
    <cellStyle name="d_yield_show-hold_THEsumPage (2)_HRT O&amp;G 2" xfId="7656" xr:uid="{00000000-0005-0000-0000-0000CE1D0000}"/>
    <cellStyle name="d_yield_show-hold_THEsumPage (2)_HRT O&amp;G 2 2" xfId="7657" xr:uid="{00000000-0005-0000-0000-0000CF1D0000}"/>
    <cellStyle name="d_yield_show-hold_THEsumPage (2)_HRT O&amp;G 3" xfId="7658" xr:uid="{00000000-0005-0000-0000-0000D01D0000}"/>
    <cellStyle name="d_yield_THEsumPage (2)" xfId="7659" xr:uid="{00000000-0005-0000-0000-0000D11D0000}"/>
    <cellStyle name="d_yield_THEsumPage (2) 2" xfId="7660" xr:uid="{00000000-0005-0000-0000-0000D21D0000}"/>
    <cellStyle name="d_yield_THEsumPage (2) 2 2" xfId="7661" xr:uid="{00000000-0005-0000-0000-0000D31D0000}"/>
    <cellStyle name="d_yield_THEsumPage (2) 2 2 2" xfId="7662" xr:uid="{00000000-0005-0000-0000-0000D41D0000}"/>
    <cellStyle name="d_yield_THEsumPage (2) 2 3" xfId="7663" xr:uid="{00000000-0005-0000-0000-0000D51D0000}"/>
    <cellStyle name="d_yield_THEsumPage (2) 3" xfId="7664" xr:uid="{00000000-0005-0000-0000-0000D61D0000}"/>
    <cellStyle name="d_yield_THEsumPage (2) 3 2" xfId="7665" xr:uid="{00000000-0005-0000-0000-0000D71D0000}"/>
    <cellStyle name="d_yield_THEsumPage (2) 4" xfId="7666" xr:uid="{00000000-0005-0000-0000-0000D81D0000}"/>
    <cellStyle name="d_yield_THEsumPage (2)_HRT O&amp;G" xfId="7667" xr:uid="{00000000-0005-0000-0000-0000D91D0000}"/>
    <cellStyle name="d_yield_THEsumPage (2)_HRT O&amp;G 2" xfId="7668" xr:uid="{00000000-0005-0000-0000-0000DA1D0000}"/>
    <cellStyle name="d_yield_THEsumPage (2)_HRT O&amp;G 2 2" xfId="7669" xr:uid="{00000000-0005-0000-0000-0000DB1D0000}"/>
    <cellStyle name="d_yield_THEsumPage (2)_HRT O&amp;G 3" xfId="7670" xr:uid="{00000000-0005-0000-0000-0000DC1D0000}"/>
    <cellStyle name="d_yield_Valuation summaries" xfId="7671" xr:uid="{00000000-0005-0000-0000-0000DD1D0000}"/>
    <cellStyle name="d_yield_Valuation summaries 2" xfId="7672" xr:uid="{00000000-0005-0000-0000-0000DE1D0000}"/>
    <cellStyle name="d_yield_Valuation summaries 2 2" xfId="7673" xr:uid="{00000000-0005-0000-0000-0000DF1D0000}"/>
    <cellStyle name="d_yield_Valuation summaries 2 2 2" xfId="7674" xr:uid="{00000000-0005-0000-0000-0000E01D0000}"/>
    <cellStyle name="d_yield_Valuation summaries 2 3" xfId="7675" xr:uid="{00000000-0005-0000-0000-0000E11D0000}"/>
    <cellStyle name="d_yield_Valuation summaries 3" xfId="7676" xr:uid="{00000000-0005-0000-0000-0000E21D0000}"/>
    <cellStyle name="d_yield_Valuation summaries 3 2" xfId="7677" xr:uid="{00000000-0005-0000-0000-0000E31D0000}"/>
    <cellStyle name="d_yield_Valuation summaries 4" xfId="7678" xr:uid="{00000000-0005-0000-0000-0000E41D0000}"/>
    <cellStyle name="d_yield_Valuation summaries_HRT O&amp;G" xfId="7679" xr:uid="{00000000-0005-0000-0000-0000E51D0000}"/>
    <cellStyle name="d_yield_Valuation summaries_HRT O&amp;G 2" xfId="7680" xr:uid="{00000000-0005-0000-0000-0000E61D0000}"/>
    <cellStyle name="d_yield_Valuation summaries_HRT O&amp;G 2 2" xfId="7681" xr:uid="{00000000-0005-0000-0000-0000E71D0000}"/>
    <cellStyle name="d_yield_Valuation summaries_HRT O&amp;G 3" xfId="7682" xr:uid="{00000000-0005-0000-0000-0000E81D0000}"/>
    <cellStyle name="d_yield_WACC-CableCar" xfId="7683" xr:uid="{00000000-0005-0000-0000-0000E91D0000}"/>
    <cellStyle name="d_yield_WACC-CableCar 2" xfId="7684" xr:uid="{00000000-0005-0000-0000-0000EA1D0000}"/>
    <cellStyle name="d_yield_WACC-CableCar 2 2" xfId="7685" xr:uid="{00000000-0005-0000-0000-0000EB1D0000}"/>
    <cellStyle name="d_yield_WACC-CableCar 2 2 2" xfId="7686" xr:uid="{00000000-0005-0000-0000-0000EC1D0000}"/>
    <cellStyle name="d_yield_WACC-CableCar 2 3" xfId="7687" xr:uid="{00000000-0005-0000-0000-0000ED1D0000}"/>
    <cellStyle name="d_yield_WACC-CableCar 3" xfId="7688" xr:uid="{00000000-0005-0000-0000-0000EE1D0000}"/>
    <cellStyle name="d_yield_WACC-CableCar 3 2" xfId="7689" xr:uid="{00000000-0005-0000-0000-0000EF1D0000}"/>
    <cellStyle name="d_yield_WACC-CableCar 4" xfId="7690" xr:uid="{00000000-0005-0000-0000-0000F01D0000}"/>
    <cellStyle name="d_yield_WACC-CableCar_HRT O&amp;G" xfId="7691" xr:uid="{00000000-0005-0000-0000-0000F11D0000}"/>
    <cellStyle name="d_yield_WACC-CableCar_HRT O&amp;G 2" xfId="7692" xr:uid="{00000000-0005-0000-0000-0000F21D0000}"/>
    <cellStyle name="d_yield_WACC-CableCar_HRT O&amp;G 2 2" xfId="7693" xr:uid="{00000000-0005-0000-0000-0000F31D0000}"/>
    <cellStyle name="d_yield_WACC-CableCar_HRT O&amp;G 3" xfId="7694" xr:uid="{00000000-0005-0000-0000-0000F41D0000}"/>
    <cellStyle name="d_yield_WACC-CableCar_THEsumPage (2)" xfId="7695" xr:uid="{00000000-0005-0000-0000-0000F51D0000}"/>
    <cellStyle name="d_yield_WACC-CableCar_THEsumPage (2) 2" xfId="7696" xr:uid="{00000000-0005-0000-0000-0000F61D0000}"/>
    <cellStyle name="d_yield_WACC-CableCar_THEsumPage (2) 2 2" xfId="7697" xr:uid="{00000000-0005-0000-0000-0000F71D0000}"/>
    <cellStyle name="d_yield_WACC-CableCar_THEsumPage (2) 2 2 2" xfId="7698" xr:uid="{00000000-0005-0000-0000-0000F81D0000}"/>
    <cellStyle name="d_yield_WACC-CableCar_THEsumPage (2) 2 3" xfId="7699" xr:uid="{00000000-0005-0000-0000-0000F91D0000}"/>
    <cellStyle name="d_yield_WACC-CableCar_THEsumPage (2) 3" xfId="7700" xr:uid="{00000000-0005-0000-0000-0000FA1D0000}"/>
    <cellStyle name="d_yield_WACC-CableCar_THEsumPage (2) 3 2" xfId="7701" xr:uid="{00000000-0005-0000-0000-0000FB1D0000}"/>
    <cellStyle name="d_yield_WACC-CableCar_THEsumPage (2) 4" xfId="7702" xr:uid="{00000000-0005-0000-0000-0000FC1D0000}"/>
    <cellStyle name="d_yield_WACC-CableCar_THEsumPage (2)_HRT O&amp;G" xfId="7703" xr:uid="{00000000-0005-0000-0000-0000FD1D0000}"/>
    <cellStyle name="d_yield_WACC-CableCar_THEsumPage (2)_HRT O&amp;G 2" xfId="7704" xr:uid="{00000000-0005-0000-0000-0000FE1D0000}"/>
    <cellStyle name="d_yield_WACC-CableCar_THEsumPage (2)_HRT O&amp;G 2 2" xfId="7705" xr:uid="{00000000-0005-0000-0000-0000FF1D0000}"/>
    <cellStyle name="d_yield_WACC-CableCar_THEsumPage (2)_HRT O&amp;G 3" xfId="7706" xr:uid="{00000000-0005-0000-0000-0000001E0000}"/>
    <cellStyle name="d_yield_WACC-RAD (2)" xfId="7707" xr:uid="{00000000-0005-0000-0000-0000011E0000}"/>
    <cellStyle name="d_yield_WACC-RAD (2) 2" xfId="7708" xr:uid="{00000000-0005-0000-0000-0000021E0000}"/>
    <cellStyle name="d_yield_WACC-RAD (2) 2 2" xfId="7709" xr:uid="{00000000-0005-0000-0000-0000031E0000}"/>
    <cellStyle name="d_yield_WACC-RAD (2) 2 2 2" xfId="7710" xr:uid="{00000000-0005-0000-0000-0000041E0000}"/>
    <cellStyle name="d_yield_WACC-RAD (2) 2 3" xfId="7711" xr:uid="{00000000-0005-0000-0000-0000051E0000}"/>
    <cellStyle name="d_yield_WACC-RAD (2) 3" xfId="7712" xr:uid="{00000000-0005-0000-0000-0000061E0000}"/>
    <cellStyle name="d_yield_WACC-RAD (2) 3 2" xfId="7713" xr:uid="{00000000-0005-0000-0000-0000071E0000}"/>
    <cellStyle name="d_yield_WACC-RAD (2) 4" xfId="7714" xr:uid="{00000000-0005-0000-0000-0000081E0000}"/>
    <cellStyle name="d_yield_WACC-RAD (2)_HRT O&amp;G" xfId="7715" xr:uid="{00000000-0005-0000-0000-0000091E0000}"/>
    <cellStyle name="d_yield_WACC-RAD (2)_HRT O&amp;G 2" xfId="7716" xr:uid="{00000000-0005-0000-0000-00000A1E0000}"/>
    <cellStyle name="d_yield_WACC-RAD (2)_HRT O&amp;G 2 2" xfId="7717" xr:uid="{00000000-0005-0000-0000-00000B1E0000}"/>
    <cellStyle name="d_yield_WACC-RAD (2)_HRT O&amp;G 3" xfId="7718" xr:uid="{00000000-0005-0000-0000-00000C1E0000}"/>
    <cellStyle name="d_yield_WACC-RAD (2)_THEsumPage (2)" xfId="7719" xr:uid="{00000000-0005-0000-0000-00000D1E0000}"/>
    <cellStyle name="d_yield_WACC-RAD (2)_THEsumPage (2) 2" xfId="7720" xr:uid="{00000000-0005-0000-0000-00000E1E0000}"/>
    <cellStyle name="d_yield_WACC-RAD (2)_THEsumPage (2) 2 2" xfId="7721" xr:uid="{00000000-0005-0000-0000-00000F1E0000}"/>
    <cellStyle name="d_yield_WACC-RAD (2)_THEsumPage (2) 2 2 2" xfId="7722" xr:uid="{00000000-0005-0000-0000-0000101E0000}"/>
    <cellStyle name="d_yield_WACC-RAD (2)_THEsumPage (2) 2 3" xfId="7723" xr:uid="{00000000-0005-0000-0000-0000111E0000}"/>
    <cellStyle name="d_yield_WACC-RAD (2)_THEsumPage (2) 3" xfId="7724" xr:uid="{00000000-0005-0000-0000-0000121E0000}"/>
    <cellStyle name="d_yield_WACC-RAD (2)_THEsumPage (2) 3 2" xfId="7725" xr:uid="{00000000-0005-0000-0000-0000131E0000}"/>
    <cellStyle name="d_yield_WACC-RAD (2)_THEsumPage (2) 4" xfId="7726" xr:uid="{00000000-0005-0000-0000-0000141E0000}"/>
    <cellStyle name="d_yield_WACC-RAD (2)_THEsumPage (2)_HRT O&amp;G" xfId="7727" xr:uid="{00000000-0005-0000-0000-0000151E0000}"/>
    <cellStyle name="d_yield_WACC-RAD (2)_THEsumPage (2)_HRT O&amp;G 2" xfId="7728" xr:uid="{00000000-0005-0000-0000-0000161E0000}"/>
    <cellStyle name="d_yield_WACC-RAD (2)_THEsumPage (2)_HRT O&amp;G 2 2" xfId="7729" xr:uid="{00000000-0005-0000-0000-0000171E0000}"/>
    <cellStyle name="d_yield_WACC-RAD (2)_THEsumPage (2)_HRT O&amp;G 3" xfId="7730" xr:uid="{00000000-0005-0000-0000-0000181E0000}"/>
    <cellStyle name="Dan" xfId="7731" xr:uid="{00000000-0005-0000-0000-0000191E0000}"/>
    <cellStyle name="Dash" xfId="7732" xr:uid="{00000000-0005-0000-0000-00001A1E0000}"/>
    <cellStyle name="data" xfId="7733" xr:uid="{00000000-0005-0000-0000-00001B1E0000}"/>
    <cellStyle name="Data Link" xfId="7734" xr:uid="{00000000-0005-0000-0000-00001C1E0000}"/>
    <cellStyle name="data_Bioenergia_Model_259" xfId="7735" xr:uid="{00000000-0005-0000-0000-00001D1E0000}"/>
    <cellStyle name="Date" xfId="7736" xr:uid="{00000000-0005-0000-0000-00001E1E0000}"/>
    <cellStyle name="Date &amp; Time" xfId="7737" xr:uid="{00000000-0005-0000-0000-00001F1E0000}"/>
    <cellStyle name="Date [d-mmm-yy]" xfId="7738" xr:uid="{00000000-0005-0000-0000-0000201E0000}"/>
    <cellStyle name="Date [mm-d-yy]" xfId="7739" xr:uid="{00000000-0005-0000-0000-0000211E0000}"/>
    <cellStyle name="Date [mm-d-yyyy]" xfId="7740" xr:uid="{00000000-0005-0000-0000-0000221E0000}"/>
    <cellStyle name="Date [mm-d-yyyy] 2" xfId="7741" xr:uid="{00000000-0005-0000-0000-0000231E0000}"/>
    <cellStyle name="Date [mm-d-yyyy] 2 2" xfId="7742" xr:uid="{00000000-0005-0000-0000-0000241E0000}"/>
    <cellStyle name="Date [mm-d-yyyy] 2 2 2" xfId="7743" xr:uid="{00000000-0005-0000-0000-0000251E0000}"/>
    <cellStyle name="Date [mm-d-yyyy] 2 3" xfId="7744" xr:uid="{00000000-0005-0000-0000-0000261E0000}"/>
    <cellStyle name="Date [mm-d-yyyy] 2 3 2" xfId="7745" xr:uid="{00000000-0005-0000-0000-0000271E0000}"/>
    <cellStyle name="Date [mm-d-yyyy] 2 4" xfId="7746" xr:uid="{00000000-0005-0000-0000-0000281E0000}"/>
    <cellStyle name="Date [mm-d-yyyy] 3" xfId="7747" xr:uid="{00000000-0005-0000-0000-0000291E0000}"/>
    <cellStyle name="Date [mm-d-yyyy] 3 2" xfId="7748" xr:uid="{00000000-0005-0000-0000-00002A1E0000}"/>
    <cellStyle name="Date [mm-d-yyyy] 3 2 2" xfId="7749" xr:uid="{00000000-0005-0000-0000-00002B1E0000}"/>
    <cellStyle name="Date [mm-d-yyyy] 3 3" xfId="7750" xr:uid="{00000000-0005-0000-0000-00002C1E0000}"/>
    <cellStyle name="Date [mm-d-yyyy] 3 3 2" xfId="7751" xr:uid="{00000000-0005-0000-0000-00002D1E0000}"/>
    <cellStyle name="Date [mm-d-yyyy] 3 4" xfId="7752" xr:uid="{00000000-0005-0000-0000-00002E1E0000}"/>
    <cellStyle name="Date [mm-d-yyyy] 4" xfId="7753" xr:uid="{00000000-0005-0000-0000-00002F1E0000}"/>
    <cellStyle name="Date [mm-d-yyyy] 4 2" xfId="7754" xr:uid="{00000000-0005-0000-0000-0000301E0000}"/>
    <cellStyle name="Date [mm-d-yyyy] 4 2 2" xfId="7755" xr:uid="{00000000-0005-0000-0000-0000311E0000}"/>
    <cellStyle name="Date [mm-d-yyyy] 4 3" xfId="7756" xr:uid="{00000000-0005-0000-0000-0000321E0000}"/>
    <cellStyle name="Date [mm-d-yyyy] 4 3 2" xfId="7757" xr:uid="{00000000-0005-0000-0000-0000331E0000}"/>
    <cellStyle name="Date [mm-d-yyyy] 4 4" xfId="7758" xr:uid="{00000000-0005-0000-0000-0000341E0000}"/>
    <cellStyle name="Date [mm-d-yyyy] 5" xfId="7759" xr:uid="{00000000-0005-0000-0000-0000351E0000}"/>
    <cellStyle name="Date [mm-d-yyyy] 5 2" xfId="7760" xr:uid="{00000000-0005-0000-0000-0000361E0000}"/>
    <cellStyle name="Date [mm-d-yyyy] 5 2 2" xfId="7761" xr:uid="{00000000-0005-0000-0000-0000371E0000}"/>
    <cellStyle name="Date [mm-d-yyyy] 5 3" xfId="7762" xr:uid="{00000000-0005-0000-0000-0000381E0000}"/>
    <cellStyle name="Date [mm-d-yyyy] 5 3 2" xfId="7763" xr:uid="{00000000-0005-0000-0000-0000391E0000}"/>
    <cellStyle name="Date [mm-d-yyyy] 5 4" xfId="7764" xr:uid="{00000000-0005-0000-0000-00003A1E0000}"/>
    <cellStyle name="Date [mm-d-yyyy] 6" xfId="7765" xr:uid="{00000000-0005-0000-0000-00003B1E0000}"/>
    <cellStyle name="Date [mm-d-yyyy] 6 2" xfId="7766" xr:uid="{00000000-0005-0000-0000-00003C1E0000}"/>
    <cellStyle name="Date [mm-d-yyyy] 6 2 2" xfId="7767" xr:uid="{00000000-0005-0000-0000-00003D1E0000}"/>
    <cellStyle name="Date [mm-d-yyyy] 6 3" xfId="7768" xr:uid="{00000000-0005-0000-0000-00003E1E0000}"/>
    <cellStyle name="Date [mm-d-yyyy] 6 3 2" xfId="7769" xr:uid="{00000000-0005-0000-0000-00003F1E0000}"/>
    <cellStyle name="Date [mm-d-yyyy] 6 4" xfId="7770" xr:uid="{00000000-0005-0000-0000-0000401E0000}"/>
    <cellStyle name="Date [mm-d-yyyy] 7" xfId="7771" xr:uid="{00000000-0005-0000-0000-0000411E0000}"/>
    <cellStyle name="Date [mmm-d-yyyy]" xfId="7772" xr:uid="{00000000-0005-0000-0000-0000421E0000}"/>
    <cellStyle name="Date [mmm-yy]" xfId="7773" xr:uid="{00000000-0005-0000-0000-0000431E0000}"/>
    <cellStyle name="Date [mmm-yyyy]" xfId="7774" xr:uid="{00000000-0005-0000-0000-0000441E0000}"/>
    <cellStyle name="Date [mmm-yyyy] 10" xfId="7775" xr:uid="{00000000-0005-0000-0000-0000451E0000}"/>
    <cellStyle name="Date [mmm-yyyy] 10 2" xfId="7776" xr:uid="{00000000-0005-0000-0000-0000461E0000}"/>
    <cellStyle name="Date [mmm-yyyy] 10 2 2" xfId="7777" xr:uid="{00000000-0005-0000-0000-0000471E0000}"/>
    <cellStyle name="Date [mmm-yyyy] 11" xfId="7778" xr:uid="{00000000-0005-0000-0000-0000481E0000}"/>
    <cellStyle name="Date [mmm-yyyy] 11 2" xfId="7779" xr:uid="{00000000-0005-0000-0000-0000491E0000}"/>
    <cellStyle name="Date [mmm-yyyy] 11 2 2" xfId="7780" xr:uid="{00000000-0005-0000-0000-00004A1E0000}"/>
    <cellStyle name="Date [mmm-yyyy] 2" xfId="7781" xr:uid="{00000000-0005-0000-0000-00004B1E0000}"/>
    <cellStyle name="Date [mmm-yyyy] 2 2" xfId="7782" xr:uid="{00000000-0005-0000-0000-00004C1E0000}"/>
    <cellStyle name="Date [mmm-yyyy] 2 2 10" xfId="7783" xr:uid="{00000000-0005-0000-0000-00004D1E0000}"/>
    <cellStyle name="Date [mmm-yyyy] 2 2 10 2" xfId="7784" xr:uid="{00000000-0005-0000-0000-00004E1E0000}"/>
    <cellStyle name="Date [mmm-yyyy] 2 2 10 2 2" xfId="7785" xr:uid="{00000000-0005-0000-0000-00004F1E0000}"/>
    <cellStyle name="Date [mmm-yyyy] 2 2 11" xfId="7786" xr:uid="{00000000-0005-0000-0000-0000501E0000}"/>
    <cellStyle name="Date [mmm-yyyy] 2 2 11 2" xfId="7787" xr:uid="{00000000-0005-0000-0000-0000511E0000}"/>
    <cellStyle name="Date [mmm-yyyy] 2 2 11 2 2" xfId="7788" xr:uid="{00000000-0005-0000-0000-0000521E0000}"/>
    <cellStyle name="Date [mmm-yyyy] 2 2 12" xfId="7789" xr:uid="{00000000-0005-0000-0000-0000531E0000}"/>
    <cellStyle name="Date [mmm-yyyy] 2 2 12 2" xfId="7790" xr:uid="{00000000-0005-0000-0000-0000541E0000}"/>
    <cellStyle name="Date [mmm-yyyy] 2 2 12 2 2" xfId="7791" xr:uid="{00000000-0005-0000-0000-0000551E0000}"/>
    <cellStyle name="Date [mmm-yyyy] 2 2 13" xfId="7792" xr:uid="{00000000-0005-0000-0000-0000561E0000}"/>
    <cellStyle name="Date [mmm-yyyy] 2 2 13 2" xfId="7793" xr:uid="{00000000-0005-0000-0000-0000571E0000}"/>
    <cellStyle name="Date [mmm-yyyy] 2 2 13 2 2" xfId="7794" xr:uid="{00000000-0005-0000-0000-0000581E0000}"/>
    <cellStyle name="Date [mmm-yyyy] 2 2 14" xfId="7795" xr:uid="{00000000-0005-0000-0000-0000591E0000}"/>
    <cellStyle name="Date [mmm-yyyy] 2 2 14 2" xfId="7796" xr:uid="{00000000-0005-0000-0000-00005A1E0000}"/>
    <cellStyle name="Date [mmm-yyyy] 2 2 14 2 2" xfId="7797" xr:uid="{00000000-0005-0000-0000-00005B1E0000}"/>
    <cellStyle name="Date [mmm-yyyy] 2 2 15" xfId="7798" xr:uid="{00000000-0005-0000-0000-00005C1E0000}"/>
    <cellStyle name="Date [mmm-yyyy] 2 2 15 2" xfId="7799" xr:uid="{00000000-0005-0000-0000-00005D1E0000}"/>
    <cellStyle name="Date [mmm-yyyy] 2 2 2" xfId="7800" xr:uid="{00000000-0005-0000-0000-00005E1E0000}"/>
    <cellStyle name="Date [mmm-yyyy] 2 2 2 2" xfId="7801" xr:uid="{00000000-0005-0000-0000-00005F1E0000}"/>
    <cellStyle name="Date [mmm-yyyy] 2 2 2 2 2" xfId="7802" xr:uid="{00000000-0005-0000-0000-0000601E0000}"/>
    <cellStyle name="Date [mmm-yyyy] 2 2 3" xfId="7803" xr:uid="{00000000-0005-0000-0000-0000611E0000}"/>
    <cellStyle name="Date [mmm-yyyy] 2 2 3 2" xfId="7804" xr:uid="{00000000-0005-0000-0000-0000621E0000}"/>
    <cellStyle name="Date [mmm-yyyy] 2 2 3 2 2" xfId="7805" xr:uid="{00000000-0005-0000-0000-0000631E0000}"/>
    <cellStyle name="Date [mmm-yyyy] 2 2 4" xfId="7806" xr:uid="{00000000-0005-0000-0000-0000641E0000}"/>
    <cellStyle name="Date [mmm-yyyy] 2 2 4 2" xfId="7807" xr:uid="{00000000-0005-0000-0000-0000651E0000}"/>
    <cellStyle name="Date [mmm-yyyy] 2 2 4 2 2" xfId="7808" xr:uid="{00000000-0005-0000-0000-0000661E0000}"/>
    <cellStyle name="Date [mmm-yyyy] 2 2 5" xfId="7809" xr:uid="{00000000-0005-0000-0000-0000671E0000}"/>
    <cellStyle name="Date [mmm-yyyy] 2 2 5 2" xfId="7810" xr:uid="{00000000-0005-0000-0000-0000681E0000}"/>
    <cellStyle name="Date [mmm-yyyy] 2 2 5 2 2" xfId="7811" xr:uid="{00000000-0005-0000-0000-0000691E0000}"/>
    <cellStyle name="Date [mmm-yyyy] 2 2 6" xfId="7812" xr:uid="{00000000-0005-0000-0000-00006A1E0000}"/>
    <cellStyle name="Date [mmm-yyyy] 2 2 6 2" xfId="7813" xr:uid="{00000000-0005-0000-0000-00006B1E0000}"/>
    <cellStyle name="Date [mmm-yyyy] 2 2 6 2 2" xfId="7814" xr:uid="{00000000-0005-0000-0000-00006C1E0000}"/>
    <cellStyle name="Date [mmm-yyyy] 2 2 7" xfId="7815" xr:uid="{00000000-0005-0000-0000-00006D1E0000}"/>
    <cellStyle name="Date [mmm-yyyy] 2 2 7 2" xfId="7816" xr:uid="{00000000-0005-0000-0000-00006E1E0000}"/>
    <cellStyle name="Date [mmm-yyyy] 2 2 7 2 2" xfId="7817" xr:uid="{00000000-0005-0000-0000-00006F1E0000}"/>
    <cellStyle name="Date [mmm-yyyy] 2 2 8" xfId="7818" xr:uid="{00000000-0005-0000-0000-0000701E0000}"/>
    <cellStyle name="Date [mmm-yyyy] 2 2 8 2" xfId="7819" xr:uid="{00000000-0005-0000-0000-0000711E0000}"/>
    <cellStyle name="Date [mmm-yyyy] 2 2 8 2 2" xfId="7820" xr:uid="{00000000-0005-0000-0000-0000721E0000}"/>
    <cellStyle name="Date [mmm-yyyy] 2 2 9" xfId="7821" xr:uid="{00000000-0005-0000-0000-0000731E0000}"/>
    <cellStyle name="Date [mmm-yyyy] 2 2 9 2" xfId="7822" xr:uid="{00000000-0005-0000-0000-0000741E0000}"/>
    <cellStyle name="Date [mmm-yyyy] 2 2 9 2 2" xfId="7823" xr:uid="{00000000-0005-0000-0000-0000751E0000}"/>
    <cellStyle name="Date [mmm-yyyy] 2 3" xfId="7824" xr:uid="{00000000-0005-0000-0000-0000761E0000}"/>
    <cellStyle name="Date [mmm-yyyy] 2 3 2" xfId="7825" xr:uid="{00000000-0005-0000-0000-0000771E0000}"/>
    <cellStyle name="Date [mmm-yyyy] 2 3 2 2" xfId="7826" xr:uid="{00000000-0005-0000-0000-0000781E0000}"/>
    <cellStyle name="Date [mmm-yyyy] 2 4" xfId="7827" xr:uid="{00000000-0005-0000-0000-0000791E0000}"/>
    <cellStyle name="Date [mmm-yyyy] 2 4 2" xfId="7828" xr:uid="{00000000-0005-0000-0000-00007A1E0000}"/>
    <cellStyle name="Date [mmm-yyyy] 2 4 2 2" xfId="7829" xr:uid="{00000000-0005-0000-0000-00007B1E0000}"/>
    <cellStyle name="Date [mmm-yyyy] 3" xfId="7830" xr:uid="{00000000-0005-0000-0000-00007C1E0000}"/>
    <cellStyle name="Date [mmm-yyyy] 3 10" xfId="7831" xr:uid="{00000000-0005-0000-0000-00007D1E0000}"/>
    <cellStyle name="Date [mmm-yyyy] 3 10 2" xfId="7832" xr:uid="{00000000-0005-0000-0000-00007E1E0000}"/>
    <cellStyle name="Date [mmm-yyyy] 3 10 2 2" xfId="7833" xr:uid="{00000000-0005-0000-0000-00007F1E0000}"/>
    <cellStyle name="Date [mmm-yyyy] 3 2" xfId="7834" xr:uid="{00000000-0005-0000-0000-0000801E0000}"/>
    <cellStyle name="Date [mmm-yyyy] 3 2 2" xfId="7835" xr:uid="{00000000-0005-0000-0000-0000811E0000}"/>
    <cellStyle name="Date [mmm-yyyy] 3 2 2 2" xfId="7836" xr:uid="{00000000-0005-0000-0000-0000821E0000}"/>
    <cellStyle name="Date [mmm-yyyy] 3 2 2 2 2" xfId="7837" xr:uid="{00000000-0005-0000-0000-0000831E0000}"/>
    <cellStyle name="Date [mmm-yyyy] 3 2 2 2 2 2" xfId="7838" xr:uid="{00000000-0005-0000-0000-0000841E0000}"/>
    <cellStyle name="Date [mmm-yyyy] 3 2 3" xfId="7839" xr:uid="{00000000-0005-0000-0000-0000851E0000}"/>
    <cellStyle name="Date [mmm-yyyy] 3 2 3 2" xfId="7840" xr:uid="{00000000-0005-0000-0000-0000861E0000}"/>
    <cellStyle name="Date [mmm-yyyy] 3 2 3 2 2" xfId="7841" xr:uid="{00000000-0005-0000-0000-0000871E0000}"/>
    <cellStyle name="Date [mmm-yyyy] 3 3" xfId="7842" xr:uid="{00000000-0005-0000-0000-0000881E0000}"/>
    <cellStyle name="Date [mmm-yyyy] 3 3 2" xfId="7843" xr:uid="{00000000-0005-0000-0000-0000891E0000}"/>
    <cellStyle name="Date [mmm-yyyy] 3 3 2 2" xfId="7844" xr:uid="{00000000-0005-0000-0000-00008A1E0000}"/>
    <cellStyle name="Date [mmm-yyyy] 3 3 2 2 2" xfId="7845" xr:uid="{00000000-0005-0000-0000-00008B1E0000}"/>
    <cellStyle name="Date [mmm-yyyy] 3 3 2 2 2 2" xfId="7846" xr:uid="{00000000-0005-0000-0000-00008C1E0000}"/>
    <cellStyle name="Date [mmm-yyyy] 3 3 3" xfId="7847" xr:uid="{00000000-0005-0000-0000-00008D1E0000}"/>
    <cellStyle name="Date [mmm-yyyy] 3 3 3 2" xfId="7848" xr:uid="{00000000-0005-0000-0000-00008E1E0000}"/>
    <cellStyle name="Date [mmm-yyyy] 3 3 3 2 2" xfId="7849" xr:uid="{00000000-0005-0000-0000-00008F1E0000}"/>
    <cellStyle name="Date [mmm-yyyy] 3 4" xfId="7850" xr:uid="{00000000-0005-0000-0000-0000901E0000}"/>
    <cellStyle name="Date [mmm-yyyy] 3 4 2" xfId="7851" xr:uid="{00000000-0005-0000-0000-0000911E0000}"/>
    <cellStyle name="Date [mmm-yyyy] 3 4 2 2" xfId="7852" xr:uid="{00000000-0005-0000-0000-0000921E0000}"/>
    <cellStyle name="Date [mmm-yyyy] 3 4 2 2 2" xfId="7853" xr:uid="{00000000-0005-0000-0000-0000931E0000}"/>
    <cellStyle name="Date [mmm-yyyy] 3 5" xfId="7854" xr:uid="{00000000-0005-0000-0000-0000941E0000}"/>
    <cellStyle name="Date [mmm-yyyy] 3 5 2" xfId="7855" xr:uid="{00000000-0005-0000-0000-0000951E0000}"/>
    <cellStyle name="Date [mmm-yyyy] 3 5 2 2" xfId="7856" xr:uid="{00000000-0005-0000-0000-0000961E0000}"/>
    <cellStyle name="Date [mmm-yyyy] 3 6" xfId="7857" xr:uid="{00000000-0005-0000-0000-0000971E0000}"/>
    <cellStyle name="Date [mmm-yyyy] 3 6 2" xfId="7858" xr:uid="{00000000-0005-0000-0000-0000981E0000}"/>
    <cellStyle name="Date [mmm-yyyy] 3 6 2 2" xfId="7859" xr:uid="{00000000-0005-0000-0000-0000991E0000}"/>
    <cellStyle name="Date [mmm-yyyy] 3 7" xfId="7860" xr:uid="{00000000-0005-0000-0000-00009A1E0000}"/>
    <cellStyle name="Date [mmm-yyyy] 3 7 2" xfId="7861" xr:uid="{00000000-0005-0000-0000-00009B1E0000}"/>
    <cellStyle name="Date [mmm-yyyy] 3 7 2 2" xfId="7862" xr:uid="{00000000-0005-0000-0000-00009C1E0000}"/>
    <cellStyle name="Date [mmm-yyyy] 3 8" xfId="7863" xr:uid="{00000000-0005-0000-0000-00009D1E0000}"/>
    <cellStyle name="Date [mmm-yyyy] 3 8 2" xfId="7864" xr:uid="{00000000-0005-0000-0000-00009E1E0000}"/>
    <cellStyle name="Date [mmm-yyyy] 3 8 2 2" xfId="7865" xr:uid="{00000000-0005-0000-0000-00009F1E0000}"/>
    <cellStyle name="Date [mmm-yyyy] 3 9" xfId="7866" xr:uid="{00000000-0005-0000-0000-0000A01E0000}"/>
    <cellStyle name="Date [mmm-yyyy] 3 9 2" xfId="7867" xr:uid="{00000000-0005-0000-0000-0000A11E0000}"/>
    <cellStyle name="Date [mmm-yyyy] 3 9 2 2" xfId="7868" xr:uid="{00000000-0005-0000-0000-0000A21E0000}"/>
    <cellStyle name="Date [mmm-yyyy] 4" xfId="7869" xr:uid="{00000000-0005-0000-0000-0000A31E0000}"/>
    <cellStyle name="Date [mmm-yyyy] 4 10" xfId="7870" xr:uid="{00000000-0005-0000-0000-0000A41E0000}"/>
    <cellStyle name="Date [mmm-yyyy] 4 10 2" xfId="7871" xr:uid="{00000000-0005-0000-0000-0000A51E0000}"/>
    <cellStyle name="Date [mmm-yyyy] 4 10 2 2" xfId="7872" xr:uid="{00000000-0005-0000-0000-0000A61E0000}"/>
    <cellStyle name="Date [mmm-yyyy] 4 11" xfId="7873" xr:uid="{00000000-0005-0000-0000-0000A71E0000}"/>
    <cellStyle name="Date [mmm-yyyy] 4 11 2" xfId="7874" xr:uid="{00000000-0005-0000-0000-0000A81E0000}"/>
    <cellStyle name="Date [mmm-yyyy] 4 11 2 2" xfId="7875" xr:uid="{00000000-0005-0000-0000-0000A91E0000}"/>
    <cellStyle name="Date [mmm-yyyy] 4 12" xfId="7876" xr:uid="{00000000-0005-0000-0000-0000AA1E0000}"/>
    <cellStyle name="Date [mmm-yyyy] 4 12 2" xfId="7877" xr:uid="{00000000-0005-0000-0000-0000AB1E0000}"/>
    <cellStyle name="Date [mmm-yyyy] 4 12 2 2" xfId="7878" xr:uid="{00000000-0005-0000-0000-0000AC1E0000}"/>
    <cellStyle name="Date [mmm-yyyy] 4 13" xfId="7879" xr:uid="{00000000-0005-0000-0000-0000AD1E0000}"/>
    <cellStyle name="Date [mmm-yyyy] 4 13 2" xfId="7880" xr:uid="{00000000-0005-0000-0000-0000AE1E0000}"/>
    <cellStyle name="Date [mmm-yyyy] 4 13 2 2" xfId="7881" xr:uid="{00000000-0005-0000-0000-0000AF1E0000}"/>
    <cellStyle name="Date [mmm-yyyy] 4 14" xfId="7882" xr:uid="{00000000-0005-0000-0000-0000B01E0000}"/>
    <cellStyle name="Date [mmm-yyyy] 4 14 2" xfId="7883" xr:uid="{00000000-0005-0000-0000-0000B11E0000}"/>
    <cellStyle name="Date [mmm-yyyy] 4 14 2 2" xfId="7884" xr:uid="{00000000-0005-0000-0000-0000B21E0000}"/>
    <cellStyle name="Date [mmm-yyyy] 4 2" xfId="7885" xr:uid="{00000000-0005-0000-0000-0000B31E0000}"/>
    <cellStyle name="Date [mmm-yyyy] 4 2 2" xfId="7886" xr:uid="{00000000-0005-0000-0000-0000B41E0000}"/>
    <cellStyle name="Date [mmm-yyyy] 4 2 2 2" xfId="7887" xr:uid="{00000000-0005-0000-0000-0000B51E0000}"/>
    <cellStyle name="Date [mmm-yyyy] 4 2 2 2 2" xfId="7888" xr:uid="{00000000-0005-0000-0000-0000B61E0000}"/>
    <cellStyle name="Date [mmm-yyyy] 4 2 2 2 2 2" xfId="7889" xr:uid="{00000000-0005-0000-0000-0000B71E0000}"/>
    <cellStyle name="Date [mmm-yyyy] 4 2 3" xfId="7890" xr:uid="{00000000-0005-0000-0000-0000B81E0000}"/>
    <cellStyle name="Date [mmm-yyyy] 4 2 3 2" xfId="7891" xr:uid="{00000000-0005-0000-0000-0000B91E0000}"/>
    <cellStyle name="Date [mmm-yyyy] 4 2 3 2 2" xfId="7892" xr:uid="{00000000-0005-0000-0000-0000BA1E0000}"/>
    <cellStyle name="Date [mmm-yyyy] 4 3" xfId="7893" xr:uid="{00000000-0005-0000-0000-0000BB1E0000}"/>
    <cellStyle name="Date [mmm-yyyy] 4 3 2" xfId="7894" xr:uid="{00000000-0005-0000-0000-0000BC1E0000}"/>
    <cellStyle name="Date [mmm-yyyy] 4 3 2 2" xfId="7895" xr:uid="{00000000-0005-0000-0000-0000BD1E0000}"/>
    <cellStyle name="Date [mmm-yyyy] 4 3 2 2 2" xfId="7896" xr:uid="{00000000-0005-0000-0000-0000BE1E0000}"/>
    <cellStyle name="Date [mmm-yyyy] 4 3 2 2 2 2" xfId="7897" xr:uid="{00000000-0005-0000-0000-0000BF1E0000}"/>
    <cellStyle name="Date [mmm-yyyy] 4 3 3" xfId="7898" xr:uid="{00000000-0005-0000-0000-0000C01E0000}"/>
    <cellStyle name="Date [mmm-yyyy] 4 3 3 2" xfId="7899" xr:uid="{00000000-0005-0000-0000-0000C11E0000}"/>
    <cellStyle name="Date [mmm-yyyy] 4 3 3 2 2" xfId="7900" xr:uid="{00000000-0005-0000-0000-0000C21E0000}"/>
    <cellStyle name="Date [mmm-yyyy] 4 4" xfId="7901" xr:uid="{00000000-0005-0000-0000-0000C31E0000}"/>
    <cellStyle name="Date [mmm-yyyy] 4 4 2" xfId="7902" xr:uid="{00000000-0005-0000-0000-0000C41E0000}"/>
    <cellStyle name="Date [mmm-yyyy] 4 4 2 2" xfId="7903" xr:uid="{00000000-0005-0000-0000-0000C51E0000}"/>
    <cellStyle name="Date [mmm-yyyy] 4 4 2 2 2" xfId="7904" xr:uid="{00000000-0005-0000-0000-0000C61E0000}"/>
    <cellStyle name="Date [mmm-yyyy] 4 5" xfId="7905" xr:uid="{00000000-0005-0000-0000-0000C71E0000}"/>
    <cellStyle name="Date [mmm-yyyy] 4 5 2" xfId="7906" xr:uid="{00000000-0005-0000-0000-0000C81E0000}"/>
    <cellStyle name="Date [mmm-yyyy] 4 5 2 2" xfId="7907" xr:uid="{00000000-0005-0000-0000-0000C91E0000}"/>
    <cellStyle name="Date [mmm-yyyy] 4 6" xfId="7908" xr:uid="{00000000-0005-0000-0000-0000CA1E0000}"/>
    <cellStyle name="Date [mmm-yyyy] 4 6 2" xfId="7909" xr:uid="{00000000-0005-0000-0000-0000CB1E0000}"/>
    <cellStyle name="Date [mmm-yyyy] 4 6 2 2" xfId="7910" xr:uid="{00000000-0005-0000-0000-0000CC1E0000}"/>
    <cellStyle name="Date [mmm-yyyy] 4 7" xfId="7911" xr:uid="{00000000-0005-0000-0000-0000CD1E0000}"/>
    <cellStyle name="Date [mmm-yyyy] 4 7 2" xfId="7912" xr:uid="{00000000-0005-0000-0000-0000CE1E0000}"/>
    <cellStyle name="Date [mmm-yyyy] 4 7 2 2" xfId="7913" xr:uid="{00000000-0005-0000-0000-0000CF1E0000}"/>
    <cellStyle name="Date [mmm-yyyy] 4 8" xfId="7914" xr:uid="{00000000-0005-0000-0000-0000D01E0000}"/>
    <cellStyle name="Date [mmm-yyyy] 4 8 2" xfId="7915" xr:uid="{00000000-0005-0000-0000-0000D11E0000}"/>
    <cellStyle name="Date [mmm-yyyy] 4 8 2 2" xfId="7916" xr:uid="{00000000-0005-0000-0000-0000D21E0000}"/>
    <cellStyle name="Date [mmm-yyyy] 4 9" xfId="7917" xr:uid="{00000000-0005-0000-0000-0000D31E0000}"/>
    <cellStyle name="Date [mmm-yyyy] 4 9 2" xfId="7918" xr:uid="{00000000-0005-0000-0000-0000D41E0000}"/>
    <cellStyle name="Date [mmm-yyyy] 4 9 2 2" xfId="7919" xr:uid="{00000000-0005-0000-0000-0000D51E0000}"/>
    <cellStyle name="Date [mmm-yyyy] 5" xfId="7920" xr:uid="{00000000-0005-0000-0000-0000D61E0000}"/>
    <cellStyle name="Date [mmm-yyyy] 5 10" xfId="7921" xr:uid="{00000000-0005-0000-0000-0000D71E0000}"/>
    <cellStyle name="Date [mmm-yyyy] 5 10 2" xfId="7922" xr:uid="{00000000-0005-0000-0000-0000D81E0000}"/>
    <cellStyle name="Date [mmm-yyyy] 5 10 2 2" xfId="7923" xr:uid="{00000000-0005-0000-0000-0000D91E0000}"/>
    <cellStyle name="Date [mmm-yyyy] 5 11" xfId="7924" xr:uid="{00000000-0005-0000-0000-0000DA1E0000}"/>
    <cellStyle name="Date [mmm-yyyy] 5 11 2" xfId="7925" xr:uid="{00000000-0005-0000-0000-0000DB1E0000}"/>
    <cellStyle name="Date [mmm-yyyy] 5 11 2 2" xfId="7926" xr:uid="{00000000-0005-0000-0000-0000DC1E0000}"/>
    <cellStyle name="Date [mmm-yyyy] 5 12" xfId="7927" xr:uid="{00000000-0005-0000-0000-0000DD1E0000}"/>
    <cellStyle name="Date [mmm-yyyy] 5 12 2" xfId="7928" xr:uid="{00000000-0005-0000-0000-0000DE1E0000}"/>
    <cellStyle name="Date [mmm-yyyy] 5 12 2 2" xfId="7929" xr:uid="{00000000-0005-0000-0000-0000DF1E0000}"/>
    <cellStyle name="Date [mmm-yyyy] 5 13" xfId="7930" xr:uid="{00000000-0005-0000-0000-0000E01E0000}"/>
    <cellStyle name="Date [mmm-yyyy] 5 13 2" xfId="7931" xr:uid="{00000000-0005-0000-0000-0000E11E0000}"/>
    <cellStyle name="Date [mmm-yyyy] 5 13 2 2" xfId="7932" xr:uid="{00000000-0005-0000-0000-0000E21E0000}"/>
    <cellStyle name="Date [mmm-yyyy] 5 14" xfId="7933" xr:uid="{00000000-0005-0000-0000-0000E31E0000}"/>
    <cellStyle name="Date [mmm-yyyy] 5 14 2" xfId="7934" xr:uid="{00000000-0005-0000-0000-0000E41E0000}"/>
    <cellStyle name="Date [mmm-yyyy] 5 14 2 2" xfId="7935" xr:uid="{00000000-0005-0000-0000-0000E51E0000}"/>
    <cellStyle name="Date [mmm-yyyy] 5 2" xfId="7936" xr:uid="{00000000-0005-0000-0000-0000E61E0000}"/>
    <cellStyle name="Date [mmm-yyyy] 5 2 2" xfId="7937" xr:uid="{00000000-0005-0000-0000-0000E71E0000}"/>
    <cellStyle name="Date [mmm-yyyy] 5 2 2 2" xfId="7938" xr:uid="{00000000-0005-0000-0000-0000E81E0000}"/>
    <cellStyle name="Date [mmm-yyyy] 5 3" xfId="7939" xr:uid="{00000000-0005-0000-0000-0000E91E0000}"/>
    <cellStyle name="Date [mmm-yyyy] 5 3 2" xfId="7940" xr:uid="{00000000-0005-0000-0000-0000EA1E0000}"/>
    <cellStyle name="Date [mmm-yyyy] 5 3 2 2" xfId="7941" xr:uid="{00000000-0005-0000-0000-0000EB1E0000}"/>
    <cellStyle name="Date [mmm-yyyy] 5 4" xfId="7942" xr:uid="{00000000-0005-0000-0000-0000EC1E0000}"/>
    <cellStyle name="Date [mmm-yyyy] 5 4 2" xfId="7943" xr:uid="{00000000-0005-0000-0000-0000ED1E0000}"/>
    <cellStyle name="Date [mmm-yyyy] 5 4 2 2" xfId="7944" xr:uid="{00000000-0005-0000-0000-0000EE1E0000}"/>
    <cellStyle name="Date [mmm-yyyy] 5 5" xfId="7945" xr:uid="{00000000-0005-0000-0000-0000EF1E0000}"/>
    <cellStyle name="Date [mmm-yyyy] 5 5 2" xfId="7946" xr:uid="{00000000-0005-0000-0000-0000F01E0000}"/>
    <cellStyle name="Date [mmm-yyyy] 5 5 2 2" xfId="7947" xr:uid="{00000000-0005-0000-0000-0000F11E0000}"/>
    <cellStyle name="Date [mmm-yyyy] 5 6" xfId="7948" xr:uid="{00000000-0005-0000-0000-0000F21E0000}"/>
    <cellStyle name="Date [mmm-yyyy] 5 6 2" xfId="7949" xr:uid="{00000000-0005-0000-0000-0000F31E0000}"/>
    <cellStyle name="Date [mmm-yyyy] 5 6 2 2" xfId="7950" xr:uid="{00000000-0005-0000-0000-0000F41E0000}"/>
    <cellStyle name="Date [mmm-yyyy] 5 7" xfId="7951" xr:uid="{00000000-0005-0000-0000-0000F51E0000}"/>
    <cellStyle name="Date [mmm-yyyy] 5 7 2" xfId="7952" xr:uid="{00000000-0005-0000-0000-0000F61E0000}"/>
    <cellStyle name="Date [mmm-yyyy] 5 7 2 2" xfId="7953" xr:uid="{00000000-0005-0000-0000-0000F71E0000}"/>
    <cellStyle name="Date [mmm-yyyy] 5 8" xfId="7954" xr:uid="{00000000-0005-0000-0000-0000F81E0000}"/>
    <cellStyle name="Date [mmm-yyyy] 5 8 2" xfId="7955" xr:uid="{00000000-0005-0000-0000-0000F91E0000}"/>
    <cellStyle name="Date [mmm-yyyy] 5 8 2 2" xfId="7956" xr:uid="{00000000-0005-0000-0000-0000FA1E0000}"/>
    <cellStyle name="Date [mmm-yyyy] 5 9" xfId="7957" xr:uid="{00000000-0005-0000-0000-0000FB1E0000}"/>
    <cellStyle name="Date [mmm-yyyy] 5 9 2" xfId="7958" xr:uid="{00000000-0005-0000-0000-0000FC1E0000}"/>
    <cellStyle name="Date [mmm-yyyy] 5 9 2 2" xfId="7959" xr:uid="{00000000-0005-0000-0000-0000FD1E0000}"/>
    <cellStyle name="Date [mmm-yyyy] 6" xfId="7960" xr:uid="{00000000-0005-0000-0000-0000FE1E0000}"/>
    <cellStyle name="Date [mmm-yyyy] 6 2" xfId="7961" xr:uid="{00000000-0005-0000-0000-0000FF1E0000}"/>
    <cellStyle name="Date [mmm-yyyy] 6 2 2" xfId="7962" xr:uid="{00000000-0005-0000-0000-0000001F0000}"/>
    <cellStyle name="Date [mmm-yyyy] 7" xfId="7963" xr:uid="{00000000-0005-0000-0000-0000011F0000}"/>
    <cellStyle name="Date [mmm-yyyy] 7 2" xfId="7964" xr:uid="{00000000-0005-0000-0000-0000021F0000}"/>
    <cellStyle name="Date [mmm-yyyy] 7 2 2" xfId="7965" xr:uid="{00000000-0005-0000-0000-0000031F0000}"/>
    <cellStyle name="Date [mmm-yyyy] 8" xfId="7966" xr:uid="{00000000-0005-0000-0000-0000041F0000}"/>
    <cellStyle name="Date [mmm-yyyy] 8 2" xfId="7967" xr:uid="{00000000-0005-0000-0000-0000051F0000}"/>
    <cellStyle name="Date [mmm-yyyy] 8 2 2" xfId="7968" xr:uid="{00000000-0005-0000-0000-0000061F0000}"/>
    <cellStyle name="Date [mmm-yyyy] 9" xfId="7969" xr:uid="{00000000-0005-0000-0000-0000071F0000}"/>
    <cellStyle name="Date [mmm-yyyy] 9 2" xfId="7970" xr:uid="{00000000-0005-0000-0000-0000081F0000}"/>
    <cellStyle name="Date [mmm-yyyy] 9 2 2" xfId="7971" xr:uid="{00000000-0005-0000-0000-0000091F0000}"/>
    <cellStyle name="Date 10" xfId="7972" xr:uid="{00000000-0005-0000-0000-00000A1F0000}"/>
    <cellStyle name="Date 10 2" xfId="7973" xr:uid="{00000000-0005-0000-0000-00000B1F0000}"/>
    <cellStyle name="Date 10 2 2" xfId="7974" xr:uid="{00000000-0005-0000-0000-00000C1F0000}"/>
    <cellStyle name="Date 10 2 2 2" xfId="7975" xr:uid="{00000000-0005-0000-0000-00000D1F0000}"/>
    <cellStyle name="Date 10 2 3" xfId="7976" xr:uid="{00000000-0005-0000-0000-00000E1F0000}"/>
    <cellStyle name="Date 10 3" xfId="7977" xr:uid="{00000000-0005-0000-0000-00000F1F0000}"/>
    <cellStyle name="Date 10 3 2" xfId="7978" xr:uid="{00000000-0005-0000-0000-0000101F0000}"/>
    <cellStyle name="Date 10 4" xfId="7979" xr:uid="{00000000-0005-0000-0000-0000111F0000}"/>
    <cellStyle name="Date 11" xfId="7980" xr:uid="{00000000-0005-0000-0000-0000121F0000}"/>
    <cellStyle name="Date 11 2" xfId="7981" xr:uid="{00000000-0005-0000-0000-0000131F0000}"/>
    <cellStyle name="Date 11 2 2" xfId="7982" xr:uid="{00000000-0005-0000-0000-0000141F0000}"/>
    <cellStyle name="Date 11 2 2 2" xfId="7983" xr:uid="{00000000-0005-0000-0000-0000151F0000}"/>
    <cellStyle name="Date 11 2 3" xfId="7984" xr:uid="{00000000-0005-0000-0000-0000161F0000}"/>
    <cellStyle name="Date 11 3" xfId="7985" xr:uid="{00000000-0005-0000-0000-0000171F0000}"/>
    <cellStyle name="Date 11 3 2" xfId="7986" xr:uid="{00000000-0005-0000-0000-0000181F0000}"/>
    <cellStyle name="Date 11 4" xfId="7987" xr:uid="{00000000-0005-0000-0000-0000191F0000}"/>
    <cellStyle name="Date 12" xfId="7988" xr:uid="{00000000-0005-0000-0000-00001A1F0000}"/>
    <cellStyle name="Date 12 2" xfId="7989" xr:uid="{00000000-0005-0000-0000-00001B1F0000}"/>
    <cellStyle name="Date 12 2 2" xfId="7990" xr:uid="{00000000-0005-0000-0000-00001C1F0000}"/>
    <cellStyle name="Date 12 2 2 2" xfId="7991" xr:uid="{00000000-0005-0000-0000-00001D1F0000}"/>
    <cellStyle name="Date 12 2 3" xfId="7992" xr:uid="{00000000-0005-0000-0000-00001E1F0000}"/>
    <cellStyle name="Date 12 3" xfId="7993" xr:uid="{00000000-0005-0000-0000-00001F1F0000}"/>
    <cellStyle name="Date 12 3 2" xfId="7994" xr:uid="{00000000-0005-0000-0000-0000201F0000}"/>
    <cellStyle name="Date 12 4" xfId="7995" xr:uid="{00000000-0005-0000-0000-0000211F0000}"/>
    <cellStyle name="Date 13" xfId="7996" xr:uid="{00000000-0005-0000-0000-0000221F0000}"/>
    <cellStyle name="Date 13 2" xfId="7997" xr:uid="{00000000-0005-0000-0000-0000231F0000}"/>
    <cellStyle name="Date 13 2 2" xfId="7998" xr:uid="{00000000-0005-0000-0000-0000241F0000}"/>
    <cellStyle name="Date 13 3" xfId="7999" xr:uid="{00000000-0005-0000-0000-0000251F0000}"/>
    <cellStyle name="Date 14" xfId="8000" xr:uid="{00000000-0005-0000-0000-0000261F0000}"/>
    <cellStyle name="Date 14 2" xfId="8001" xr:uid="{00000000-0005-0000-0000-0000271F0000}"/>
    <cellStyle name="Date 14 2 2" xfId="8002" xr:uid="{00000000-0005-0000-0000-0000281F0000}"/>
    <cellStyle name="Date 14 3" xfId="8003" xr:uid="{00000000-0005-0000-0000-0000291F0000}"/>
    <cellStyle name="Date 15" xfId="8004" xr:uid="{00000000-0005-0000-0000-00002A1F0000}"/>
    <cellStyle name="Date 15 2" xfId="8005" xr:uid="{00000000-0005-0000-0000-00002B1F0000}"/>
    <cellStyle name="Date 15 2 2" xfId="8006" xr:uid="{00000000-0005-0000-0000-00002C1F0000}"/>
    <cellStyle name="Date 15 3" xfId="8007" xr:uid="{00000000-0005-0000-0000-00002D1F0000}"/>
    <cellStyle name="Date 16" xfId="8008" xr:uid="{00000000-0005-0000-0000-00002E1F0000}"/>
    <cellStyle name="Date 16 2" xfId="8009" xr:uid="{00000000-0005-0000-0000-00002F1F0000}"/>
    <cellStyle name="Date 16 2 2" xfId="8010" xr:uid="{00000000-0005-0000-0000-0000301F0000}"/>
    <cellStyle name="Date 16 3" xfId="8011" xr:uid="{00000000-0005-0000-0000-0000311F0000}"/>
    <cellStyle name="Date 17" xfId="8012" xr:uid="{00000000-0005-0000-0000-0000321F0000}"/>
    <cellStyle name="Date 17 2" xfId="8013" xr:uid="{00000000-0005-0000-0000-0000331F0000}"/>
    <cellStyle name="Date 18" xfId="8014" xr:uid="{00000000-0005-0000-0000-0000341F0000}"/>
    <cellStyle name="Date 19" xfId="8015" xr:uid="{00000000-0005-0000-0000-0000351F0000}"/>
    <cellStyle name="Date 2" xfId="8016" xr:uid="{00000000-0005-0000-0000-0000361F0000}"/>
    <cellStyle name="Date 2 2" xfId="8017" xr:uid="{00000000-0005-0000-0000-0000371F0000}"/>
    <cellStyle name="Date 2 2 2" xfId="8018" xr:uid="{00000000-0005-0000-0000-0000381F0000}"/>
    <cellStyle name="Date 2 2 2 2" xfId="8019" xr:uid="{00000000-0005-0000-0000-0000391F0000}"/>
    <cellStyle name="Date 2 2 2 2 2" xfId="8020" xr:uid="{00000000-0005-0000-0000-00003A1F0000}"/>
    <cellStyle name="Date 2 2 2 3" xfId="8021" xr:uid="{00000000-0005-0000-0000-00003B1F0000}"/>
    <cellStyle name="Date 2 2 3" xfId="8022" xr:uid="{00000000-0005-0000-0000-00003C1F0000}"/>
    <cellStyle name="Date 2 2 3 2" xfId="8023" xr:uid="{00000000-0005-0000-0000-00003D1F0000}"/>
    <cellStyle name="Date 2 2 4" xfId="8024" xr:uid="{00000000-0005-0000-0000-00003E1F0000}"/>
    <cellStyle name="Date 2 3" xfId="8025" xr:uid="{00000000-0005-0000-0000-00003F1F0000}"/>
    <cellStyle name="Date 2 3 2" xfId="8026" xr:uid="{00000000-0005-0000-0000-0000401F0000}"/>
    <cellStyle name="Date 2 3 2 2" xfId="8027" xr:uid="{00000000-0005-0000-0000-0000411F0000}"/>
    <cellStyle name="Date 2 3 2 2 2" xfId="8028" xr:uid="{00000000-0005-0000-0000-0000421F0000}"/>
    <cellStyle name="Date 2 3 2 3" xfId="8029" xr:uid="{00000000-0005-0000-0000-0000431F0000}"/>
    <cellStyle name="Date 2 3 3" xfId="8030" xr:uid="{00000000-0005-0000-0000-0000441F0000}"/>
    <cellStyle name="Date 2 3 3 2" xfId="8031" xr:uid="{00000000-0005-0000-0000-0000451F0000}"/>
    <cellStyle name="Date 2 3 4" xfId="8032" xr:uid="{00000000-0005-0000-0000-0000461F0000}"/>
    <cellStyle name="Date 2 4" xfId="8033" xr:uid="{00000000-0005-0000-0000-0000471F0000}"/>
    <cellStyle name="Date 2 4 2" xfId="8034" xr:uid="{00000000-0005-0000-0000-0000481F0000}"/>
    <cellStyle name="Date 2 4 2 2" xfId="8035" xr:uid="{00000000-0005-0000-0000-0000491F0000}"/>
    <cellStyle name="Date 2 4 2 2 2" xfId="8036" xr:uid="{00000000-0005-0000-0000-00004A1F0000}"/>
    <cellStyle name="Date 2 4 2 3" xfId="8037" xr:uid="{00000000-0005-0000-0000-00004B1F0000}"/>
    <cellStyle name="Date 2 4 3" xfId="8038" xr:uid="{00000000-0005-0000-0000-00004C1F0000}"/>
    <cellStyle name="Date 2 4 3 2" xfId="8039" xr:uid="{00000000-0005-0000-0000-00004D1F0000}"/>
    <cellStyle name="Date 2 4 4" xfId="8040" xr:uid="{00000000-0005-0000-0000-00004E1F0000}"/>
    <cellStyle name="Date 2 5" xfId="8041" xr:uid="{00000000-0005-0000-0000-00004F1F0000}"/>
    <cellStyle name="Date 2 5 2" xfId="8042" xr:uid="{00000000-0005-0000-0000-0000501F0000}"/>
    <cellStyle name="Date 2 5 2 2" xfId="8043" xr:uid="{00000000-0005-0000-0000-0000511F0000}"/>
    <cellStyle name="Date 2 5 2 2 2" xfId="8044" xr:uid="{00000000-0005-0000-0000-0000521F0000}"/>
    <cellStyle name="Date 2 5 2 3" xfId="8045" xr:uid="{00000000-0005-0000-0000-0000531F0000}"/>
    <cellStyle name="Date 2 5 3" xfId="8046" xr:uid="{00000000-0005-0000-0000-0000541F0000}"/>
    <cellStyle name="Date 2 5 3 2" xfId="8047" xr:uid="{00000000-0005-0000-0000-0000551F0000}"/>
    <cellStyle name="Date 2 5 4" xfId="8048" xr:uid="{00000000-0005-0000-0000-0000561F0000}"/>
    <cellStyle name="Date 2 6" xfId="8049" xr:uid="{00000000-0005-0000-0000-0000571F0000}"/>
    <cellStyle name="Date 2 6 2" xfId="8050" xr:uid="{00000000-0005-0000-0000-0000581F0000}"/>
    <cellStyle name="Date 2 6 2 2" xfId="8051" xr:uid="{00000000-0005-0000-0000-0000591F0000}"/>
    <cellStyle name="Date 2 6 2 2 2" xfId="8052" xr:uid="{00000000-0005-0000-0000-00005A1F0000}"/>
    <cellStyle name="Date 2 6 2 3" xfId="8053" xr:uid="{00000000-0005-0000-0000-00005B1F0000}"/>
    <cellStyle name="Date 2 6 3" xfId="8054" xr:uid="{00000000-0005-0000-0000-00005C1F0000}"/>
    <cellStyle name="Date 2 6 3 2" xfId="8055" xr:uid="{00000000-0005-0000-0000-00005D1F0000}"/>
    <cellStyle name="Date 2 6 4" xfId="8056" xr:uid="{00000000-0005-0000-0000-00005E1F0000}"/>
    <cellStyle name="Date 2 7" xfId="8057" xr:uid="{00000000-0005-0000-0000-00005F1F0000}"/>
    <cellStyle name="Date 2 7 2" xfId="8058" xr:uid="{00000000-0005-0000-0000-0000601F0000}"/>
    <cellStyle name="Date 2 8" xfId="8059" xr:uid="{00000000-0005-0000-0000-0000611F0000}"/>
    <cellStyle name="Date 20" xfId="8060" xr:uid="{00000000-0005-0000-0000-0000621F0000}"/>
    <cellStyle name="Date 21" xfId="8061" xr:uid="{00000000-0005-0000-0000-0000631F0000}"/>
    <cellStyle name="Date 3" xfId="8062" xr:uid="{00000000-0005-0000-0000-0000641F0000}"/>
    <cellStyle name="Date 3 2" xfId="8063" xr:uid="{00000000-0005-0000-0000-0000651F0000}"/>
    <cellStyle name="Date 3 2 2" xfId="8064" xr:uid="{00000000-0005-0000-0000-0000661F0000}"/>
    <cellStyle name="Date 3 2 2 2" xfId="8065" xr:uid="{00000000-0005-0000-0000-0000671F0000}"/>
    <cellStyle name="Date 3 2 3" xfId="8066" xr:uid="{00000000-0005-0000-0000-0000681F0000}"/>
    <cellStyle name="Date 3 3" xfId="8067" xr:uid="{00000000-0005-0000-0000-0000691F0000}"/>
    <cellStyle name="Date 3 3 2" xfId="8068" xr:uid="{00000000-0005-0000-0000-00006A1F0000}"/>
    <cellStyle name="Date 3 4" xfId="8069" xr:uid="{00000000-0005-0000-0000-00006B1F0000}"/>
    <cellStyle name="Date 4" xfId="8070" xr:uid="{00000000-0005-0000-0000-00006C1F0000}"/>
    <cellStyle name="Date 4 2" xfId="8071" xr:uid="{00000000-0005-0000-0000-00006D1F0000}"/>
    <cellStyle name="Date 4 2 2" xfId="8072" xr:uid="{00000000-0005-0000-0000-00006E1F0000}"/>
    <cellStyle name="Date 4 2 2 2" xfId="8073" xr:uid="{00000000-0005-0000-0000-00006F1F0000}"/>
    <cellStyle name="Date 4 2 3" xfId="8074" xr:uid="{00000000-0005-0000-0000-0000701F0000}"/>
    <cellStyle name="Date 4 3" xfId="8075" xr:uid="{00000000-0005-0000-0000-0000711F0000}"/>
    <cellStyle name="Date 4 3 2" xfId="8076" xr:uid="{00000000-0005-0000-0000-0000721F0000}"/>
    <cellStyle name="Date 4 4" xfId="8077" xr:uid="{00000000-0005-0000-0000-0000731F0000}"/>
    <cellStyle name="Date 5" xfId="8078" xr:uid="{00000000-0005-0000-0000-0000741F0000}"/>
    <cellStyle name="Date 5 2" xfId="8079" xr:uid="{00000000-0005-0000-0000-0000751F0000}"/>
    <cellStyle name="Date 5 2 2" xfId="8080" xr:uid="{00000000-0005-0000-0000-0000761F0000}"/>
    <cellStyle name="Date 5 2 2 2" xfId="8081" xr:uid="{00000000-0005-0000-0000-0000771F0000}"/>
    <cellStyle name="Date 5 2 3" xfId="8082" xr:uid="{00000000-0005-0000-0000-0000781F0000}"/>
    <cellStyle name="Date 5 3" xfId="8083" xr:uid="{00000000-0005-0000-0000-0000791F0000}"/>
    <cellStyle name="Date 5 3 2" xfId="8084" xr:uid="{00000000-0005-0000-0000-00007A1F0000}"/>
    <cellStyle name="Date 5 4" xfId="8085" xr:uid="{00000000-0005-0000-0000-00007B1F0000}"/>
    <cellStyle name="Date 6" xfId="8086" xr:uid="{00000000-0005-0000-0000-00007C1F0000}"/>
    <cellStyle name="Date 6 2" xfId="8087" xr:uid="{00000000-0005-0000-0000-00007D1F0000}"/>
    <cellStyle name="Date 6 2 2" xfId="8088" xr:uid="{00000000-0005-0000-0000-00007E1F0000}"/>
    <cellStyle name="Date 6 2 2 2" xfId="8089" xr:uid="{00000000-0005-0000-0000-00007F1F0000}"/>
    <cellStyle name="Date 6 2 3" xfId="8090" xr:uid="{00000000-0005-0000-0000-0000801F0000}"/>
    <cellStyle name="Date 6 3" xfId="8091" xr:uid="{00000000-0005-0000-0000-0000811F0000}"/>
    <cellStyle name="Date 6 3 2" xfId="8092" xr:uid="{00000000-0005-0000-0000-0000821F0000}"/>
    <cellStyle name="Date 6 4" xfId="8093" xr:uid="{00000000-0005-0000-0000-0000831F0000}"/>
    <cellStyle name="Date 7" xfId="8094" xr:uid="{00000000-0005-0000-0000-0000841F0000}"/>
    <cellStyle name="Date 7 2" xfId="8095" xr:uid="{00000000-0005-0000-0000-0000851F0000}"/>
    <cellStyle name="Date 7 2 2" xfId="8096" xr:uid="{00000000-0005-0000-0000-0000861F0000}"/>
    <cellStyle name="Date 7 2 2 2" xfId="8097" xr:uid="{00000000-0005-0000-0000-0000871F0000}"/>
    <cellStyle name="Date 7 2 3" xfId="8098" xr:uid="{00000000-0005-0000-0000-0000881F0000}"/>
    <cellStyle name="Date 7 3" xfId="8099" xr:uid="{00000000-0005-0000-0000-0000891F0000}"/>
    <cellStyle name="Date 7 3 2" xfId="8100" xr:uid="{00000000-0005-0000-0000-00008A1F0000}"/>
    <cellStyle name="Date 7 4" xfId="8101" xr:uid="{00000000-0005-0000-0000-00008B1F0000}"/>
    <cellStyle name="Date 8" xfId="8102" xr:uid="{00000000-0005-0000-0000-00008C1F0000}"/>
    <cellStyle name="Date 8 2" xfId="8103" xr:uid="{00000000-0005-0000-0000-00008D1F0000}"/>
    <cellStyle name="Date 8 2 2" xfId="8104" xr:uid="{00000000-0005-0000-0000-00008E1F0000}"/>
    <cellStyle name="Date 8 2 2 2" xfId="8105" xr:uid="{00000000-0005-0000-0000-00008F1F0000}"/>
    <cellStyle name="Date 8 2 3" xfId="8106" xr:uid="{00000000-0005-0000-0000-0000901F0000}"/>
    <cellStyle name="Date 8 3" xfId="8107" xr:uid="{00000000-0005-0000-0000-0000911F0000}"/>
    <cellStyle name="Date 8 3 2" xfId="8108" xr:uid="{00000000-0005-0000-0000-0000921F0000}"/>
    <cellStyle name="Date 8 4" xfId="8109" xr:uid="{00000000-0005-0000-0000-0000931F0000}"/>
    <cellStyle name="Date 9" xfId="8110" xr:uid="{00000000-0005-0000-0000-0000941F0000}"/>
    <cellStyle name="Date 9 2" xfId="8111" xr:uid="{00000000-0005-0000-0000-0000951F0000}"/>
    <cellStyle name="Date 9 2 2" xfId="8112" xr:uid="{00000000-0005-0000-0000-0000961F0000}"/>
    <cellStyle name="Date 9 2 2 2" xfId="8113" xr:uid="{00000000-0005-0000-0000-0000971F0000}"/>
    <cellStyle name="Date 9 2 3" xfId="8114" xr:uid="{00000000-0005-0000-0000-0000981F0000}"/>
    <cellStyle name="Date 9 3" xfId="8115" xr:uid="{00000000-0005-0000-0000-0000991F0000}"/>
    <cellStyle name="Date 9 3 2" xfId="8116" xr:uid="{00000000-0005-0000-0000-00009A1F0000}"/>
    <cellStyle name="Date 9 4" xfId="8117" xr:uid="{00000000-0005-0000-0000-00009B1F0000}"/>
    <cellStyle name="Date Aligned" xfId="8118" xr:uid="{00000000-0005-0000-0000-00009C1F0000}"/>
    <cellStyle name="Date Short" xfId="8119" xr:uid="{00000000-0005-0000-0000-00009D1F0000}"/>
    <cellStyle name="Date_120939_1" xfId="8120" xr:uid="{00000000-0005-0000-0000-00009E1F0000}"/>
    <cellStyle name="Date2" xfId="8121" xr:uid="{00000000-0005-0000-0000-00009F1F0000}"/>
    <cellStyle name="Date2h" xfId="8122" xr:uid="{00000000-0005-0000-0000-0000A01F0000}"/>
    <cellStyle name="Date2h 2" xfId="8123" xr:uid="{00000000-0005-0000-0000-0000A11F0000}"/>
    <cellStyle name="Date2h 2 2" xfId="8124" xr:uid="{00000000-0005-0000-0000-0000A21F0000}"/>
    <cellStyle name="Decimal" xfId="8125" xr:uid="{00000000-0005-0000-0000-0000A31F0000}"/>
    <cellStyle name="default" xfId="8126" xr:uid="{00000000-0005-0000-0000-0000A41F0000}"/>
    <cellStyle name="DEMANDA" xfId="8127" xr:uid="{00000000-0005-0000-0000-0000A51F0000}"/>
    <cellStyle name="Déprotégé" xfId="8128" xr:uid="{00000000-0005-0000-0000-0000A61F0000}"/>
    <cellStyle name="DESCRIÇÃO" xfId="8129" xr:uid="{00000000-0005-0000-0000-0000A71F0000}"/>
    <cellStyle name="DESCRIÇÃO 10" xfId="8130" xr:uid="{00000000-0005-0000-0000-0000A81F0000}"/>
    <cellStyle name="DESCRIÇÃO 2" xfId="8131" xr:uid="{00000000-0005-0000-0000-0000A91F0000}"/>
    <cellStyle name="DESCRIÇÃO 2 2" xfId="8132" xr:uid="{00000000-0005-0000-0000-0000AA1F0000}"/>
    <cellStyle name="DESCRIÇÃO 2 2 2" xfId="8133" xr:uid="{00000000-0005-0000-0000-0000AB1F0000}"/>
    <cellStyle name="DESCRIÇÃO 2 2 2 2" xfId="8134" xr:uid="{00000000-0005-0000-0000-0000AC1F0000}"/>
    <cellStyle name="DESCRIÇÃO 2 2 2 2 2" xfId="8135" xr:uid="{00000000-0005-0000-0000-0000AD1F0000}"/>
    <cellStyle name="DESCRIÇÃO 2 2 2 2 3" xfId="8136" xr:uid="{00000000-0005-0000-0000-0000AE1F0000}"/>
    <cellStyle name="DESCRIÇÃO 2 2 2 3" xfId="8137" xr:uid="{00000000-0005-0000-0000-0000AF1F0000}"/>
    <cellStyle name="DESCRIÇÃO 2 2 2 4" xfId="8138" xr:uid="{00000000-0005-0000-0000-0000B01F0000}"/>
    <cellStyle name="DESCRIÇÃO 2 2 3" xfId="8139" xr:uid="{00000000-0005-0000-0000-0000B11F0000}"/>
    <cellStyle name="DESCRIÇÃO 2 2 3 2" xfId="8140" xr:uid="{00000000-0005-0000-0000-0000B21F0000}"/>
    <cellStyle name="DESCRIÇÃO 2 2 3 3" xfId="8141" xr:uid="{00000000-0005-0000-0000-0000B31F0000}"/>
    <cellStyle name="DESCRIÇÃO 2 2 4" xfId="8142" xr:uid="{00000000-0005-0000-0000-0000B41F0000}"/>
    <cellStyle name="DESCRIÇÃO 2 2 5" xfId="8143" xr:uid="{00000000-0005-0000-0000-0000B51F0000}"/>
    <cellStyle name="DESCRIÇÃO 2 3" xfId="8144" xr:uid="{00000000-0005-0000-0000-0000B61F0000}"/>
    <cellStyle name="DESCRIÇÃO 2 3 2" xfId="8145" xr:uid="{00000000-0005-0000-0000-0000B71F0000}"/>
    <cellStyle name="DESCRIÇÃO 2 3 2 2" xfId="8146" xr:uid="{00000000-0005-0000-0000-0000B81F0000}"/>
    <cellStyle name="DESCRIÇÃO 2 3 2 2 2" xfId="8147" xr:uid="{00000000-0005-0000-0000-0000B91F0000}"/>
    <cellStyle name="DESCRIÇÃO 2 3 2 2 3" xfId="8148" xr:uid="{00000000-0005-0000-0000-0000BA1F0000}"/>
    <cellStyle name="DESCRIÇÃO 2 3 2 3" xfId="8149" xr:uid="{00000000-0005-0000-0000-0000BB1F0000}"/>
    <cellStyle name="DESCRIÇÃO 2 3 2 4" xfId="8150" xr:uid="{00000000-0005-0000-0000-0000BC1F0000}"/>
    <cellStyle name="DESCRIÇÃO 2 3 3" xfId="8151" xr:uid="{00000000-0005-0000-0000-0000BD1F0000}"/>
    <cellStyle name="DESCRIÇÃO 2 3 3 2" xfId="8152" xr:uid="{00000000-0005-0000-0000-0000BE1F0000}"/>
    <cellStyle name="DESCRIÇÃO 2 3 3 3" xfId="8153" xr:uid="{00000000-0005-0000-0000-0000BF1F0000}"/>
    <cellStyle name="DESCRIÇÃO 2 3 4" xfId="8154" xr:uid="{00000000-0005-0000-0000-0000C01F0000}"/>
    <cellStyle name="DESCRIÇÃO 2 3 5" xfId="8155" xr:uid="{00000000-0005-0000-0000-0000C11F0000}"/>
    <cellStyle name="DESCRIÇÃO 2 4" xfId="8156" xr:uid="{00000000-0005-0000-0000-0000C21F0000}"/>
    <cellStyle name="DESCRIÇÃO 2 4 2" xfId="8157" xr:uid="{00000000-0005-0000-0000-0000C31F0000}"/>
    <cellStyle name="DESCRIÇÃO 2 4 2 2" xfId="8158" xr:uid="{00000000-0005-0000-0000-0000C41F0000}"/>
    <cellStyle name="DESCRIÇÃO 2 4 2 2 2" xfId="8159" xr:uid="{00000000-0005-0000-0000-0000C51F0000}"/>
    <cellStyle name="DESCRIÇÃO 2 4 2 2 3" xfId="8160" xr:uid="{00000000-0005-0000-0000-0000C61F0000}"/>
    <cellStyle name="DESCRIÇÃO 2 4 2 3" xfId="8161" xr:uid="{00000000-0005-0000-0000-0000C71F0000}"/>
    <cellStyle name="DESCRIÇÃO 2 4 2 4" xfId="8162" xr:uid="{00000000-0005-0000-0000-0000C81F0000}"/>
    <cellStyle name="DESCRIÇÃO 2 4 3" xfId="8163" xr:uid="{00000000-0005-0000-0000-0000C91F0000}"/>
    <cellStyle name="DESCRIÇÃO 2 4 3 2" xfId="8164" xr:uid="{00000000-0005-0000-0000-0000CA1F0000}"/>
    <cellStyle name="DESCRIÇÃO 2 4 3 3" xfId="8165" xr:uid="{00000000-0005-0000-0000-0000CB1F0000}"/>
    <cellStyle name="DESCRIÇÃO 2 4 4" xfId="8166" xr:uid="{00000000-0005-0000-0000-0000CC1F0000}"/>
    <cellStyle name="DESCRIÇÃO 2 4 5" xfId="8167" xr:uid="{00000000-0005-0000-0000-0000CD1F0000}"/>
    <cellStyle name="DESCRIÇÃO 2 5" xfId="8168" xr:uid="{00000000-0005-0000-0000-0000CE1F0000}"/>
    <cellStyle name="DESCRIÇÃO 2 5 2" xfId="8169" xr:uid="{00000000-0005-0000-0000-0000CF1F0000}"/>
    <cellStyle name="DESCRIÇÃO 2 5 2 2" xfId="8170" xr:uid="{00000000-0005-0000-0000-0000D01F0000}"/>
    <cellStyle name="DESCRIÇÃO 2 5 2 2 2" xfId="8171" xr:uid="{00000000-0005-0000-0000-0000D11F0000}"/>
    <cellStyle name="DESCRIÇÃO 2 5 2 2 3" xfId="8172" xr:uid="{00000000-0005-0000-0000-0000D21F0000}"/>
    <cellStyle name="DESCRIÇÃO 2 5 2 3" xfId="8173" xr:uid="{00000000-0005-0000-0000-0000D31F0000}"/>
    <cellStyle name="DESCRIÇÃO 2 5 2 4" xfId="8174" xr:uid="{00000000-0005-0000-0000-0000D41F0000}"/>
    <cellStyle name="DESCRIÇÃO 2 5 3" xfId="8175" xr:uid="{00000000-0005-0000-0000-0000D51F0000}"/>
    <cellStyle name="DESCRIÇÃO 2 5 3 2" xfId="8176" xr:uid="{00000000-0005-0000-0000-0000D61F0000}"/>
    <cellStyle name="DESCRIÇÃO 2 5 3 3" xfId="8177" xr:uid="{00000000-0005-0000-0000-0000D71F0000}"/>
    <cellStyle name="DESCRIÇÃO 2 5 4" xfId="8178" xr:uid="{00000000-0005-0000-0000-0000D81F0000}"/>
    <cellStyle name="DESCRIÇÃO 2 5 5" xfId="8179" xr:uid="{00000000-0005-0000-0000-0000D91F0000}"/>
    <cellStyle name="DESCRIÇÃO 2 6" xfId="8180" xr:uid="{00000000-0005-0000-0000-0000DA1F0000}"/>
    <cellStyle name="DESCRIÇÃO 2 6 2" xfId="8181" xr:uid="{00000000-0005-0000-0000-0000DB1F0000}"/>
    <cellStyle name="DESCRIÇÃO 2 6 2 2" xfId="8182" xr:uid="{00000000-0005-0000-0000-0000DC1F0000}"/>
    <cellStyle name="DESCRIÇÃO 2 6 2 2 2" xfId="8183" xr:uid="{00000000-0005-0000-0000-0000DD1F0000}"/>
    <cellStyle name="DESCRIÇÃO 2 6 2 2 3" xfId="8184" xr:uid="{00000000-0005-0000-0000-0000DE1F0000}"/>
    <cellStyle name="DESCRIÇÃO 2 6 2 3" xfId="8185" xr:uid="{00000000-0005-0000-0000-0000DF1F0000}"/>
    <cellStyle name="DESCRIÇÃO 2 6 2 4" xfId="8186" xr:uid="{00000000-0005-0000-0000-0000E01F0000}"/>
    <cellStyle name="DESCRIÇÃO 2 6 3" xfId="8187" xr:uid="{00000000-0005-0000-0000-0000E11F0000}"/>
    <cellStyle name="DESCRIÇÃO 2 6 3 2" xfId="8188" xr:uid="{00000000-0005-0000-0000-0000E21F0000}"/>
    <cellStyle name="DESCRIÇÃO 2 6 3 3" xfId="8189" xr:uid="{00000000-0005-0000-0000-0000E31F0000}"/>
    <cellStyle name="DESCRIÇÃO 2 6 4" xfId="8190" xr:uid="{00000000-0005-0000-0000-0000E41F0000}"/>
    <cellStyle name="DESCRIÇÃO 2 6 5" xfId="8191" xr:uid="{00000000-0005-0000-0000-0000E51F0000}"/>
    <cellStyle name="DESCRIÇÃO 2 7" xfId="8192" xr:uid="{00000000-0005-0000-0000-0000E61F0000}"/>
    <cellStyle name="DESCRIÇÃO 2 7 2" xfId="8193" xr:uid="{00000000-0005-0000-0000-0000E71F0000}"/>
    <cellStyle name="DESCRIÇÃO 2 7 3" xfId="8194" xr:uid="{00000000-0005-0000-0000-0000E81F0000}"/>
    <cellStyle name="DESCRIÇÃO 2 8" xfId="8195" xr:uid="{00000000-0005-0000-0000-0000E91F0000}"/>
    <cellStyle name="DESCRIÇÃO 2 9" xfId="8196" xr:uid="{00000000-0005-0000-0000-0000EA1F0000}"/>
    <cellStyle name="DESCRIÇÃO 3" xfId="8197" xr:uid="{00000000-0005-0000-0000-0000EB1F0000}"/>
    <cellStyle name="DESCRIÇÃO 3 2" xfId="8198" xr:uid="{00000000-0005-0000-0000-0000EC1F0000}"/>
    <cellStyle name="DESCRIÇÃO 3 2 2" xfId="8199" xr:uid="{00000000-0005-0000-0000-0000ED1F0000}"/>
    <cellStyle name="DESCRIÇÃO 3 2 2 2" xfId="8200" xr:uid="{00000000-0005-0000-0000-0000EE1F0000}"/>
    <cellStyle name="DESCRIÇÃO 3 2 2 3" xfId="8201" xr:uid="{00000000-0005-0000-0000-0000EF1F0000}"/>
    <cellStyle name="DESCRIÇÃO 3 2 3" xfId="8202" xr:uid="{00000000-0005-0000-0000-0000F01F0000}"/>
    <cellStyle name="DESCRIÇÃO 3 2 4" xfId="8203" xr:uid="{00000000-0005-0000-0000-0000F11F0000}"/>
    <cellStyle name="DESCRIÇÃO 3 3" xfId="8204" xr:uid="{00000000-0005-0000-0000-0000F21F0000}"/>
    <cellStyle name="DESCRIÇÃO 3 3 2" xfId="8205" xr:uid="{00000000-0005-0000-0000-0000F31F0000}"/>
    <cellStyle name="DESCRIÇÃO 3 3 3" xfId="8206" xr:uid="{00000000-0005-0000-0000-0000F41F0000}"/>
    <cellStyle name="DESCRIÇÃO 3 4" xfId="8207" xr:uid="{00000000-0005-0000-0000-0000F51F0000}"/>
    <cellStyle name="DESCRIÇÃO 3 5" xfId="8208" xr:uid="{00000000-0005-0000-0000-0000F61F0000}"/>
    <cellStyle name="DESCRIÇÃO 4" xfId="8209" xr:uid="{00000000-0005-0000-0000-0000F71F0000}"/>
    <cellStyle name="DESCRIÇÃO 4 2" xfId="8210" xr:uid="{00000000-0005-0000-0000-0000F81F0000}"/>
    <cellStyle name="DESCRIÇÃO 4 2 2" xfId="8211" xr:uid="{00000000-0005-0000-0000-0000F91F0000}"/>
    <cellStyle name="DESCRIÇÃO 4 2 2 2" xfId="8212" xr:uid="{00000000-0005-0000-0000-0000FA1F0000}"/>
    <cellStyle name="DESCRIÇÃO 4 2 2 3" xfId="8213" xr:uid="{00000000-0005-0000-0000-0000FB1F0000}"/>
    <cellStyle name="DESCRIÇÃO 4 2 3" xfId="8214" xr:uid="{00000000-0005-0000-0000-0000FC1F0000}"/>
    <cellStyle name="DESCRIÇÃO 4 2 4" xfId="8215" xr:uid="{00000000-0005-0000-0000-0000FD1F0000}"/>
    <cellStyle name="DESCRIÇÃO 4 3" xfId="8216" xr:uid="{00000000-0005-0000-0000-0000FE1F0000}"/>
    <cellStyle name="DESCRIÇÃO 4 3 2" xfId="8217" xr:uid="{00000000-0005-0000-0000-0000FF1F0000}"/>
    <cellStyle name="DESCRIÇÃO 4 3 3" xfId="8218" xr:uid="{00000000-0005-0000-0000-000000200000}"/>
    <cellStyle name="DESCRIÇÃO 4 4" xfId="8219" xr:uid="{00000000-0005-0000-0000-000001200000}"/>
    <cellStyle name="DESCRIÇÃO 4 5" xfId="8220" xr:uid="{00000000-0005-0000-0000-000002200000}"/>
    <cellStyle name="DESCRIÇÃO 5" xfId="8221" xr:uid="{00000000-0005-0000-0000-000003200000}"/>
    <cellStyle name="DESCRIÇÃO 5 2" xfId="8222" xr:uid="{00000000-0005-0000-0000-000004200000}"/>
    <cellStyle name="DESCRIÇÃO 5 2 2" xfId="8223" xr:uid="{00000000-0005-0000-0000-000005200000}"/>
    <cellStyle name="DESCRIÇÃO 5 2 2 2" xfId="8224" xr:uid="{00000000-0005-0000-0000-000006200000}"/>
    <cellStyle name="DESCRIÇÃO 5 2 2 3" xfId="8225" xr:uid="{00000000-0005-0000-0000-000007200000}"/>
    <cellStyle name="DESCRIÇÃO 5 2 3" xfId="8226" xr:uid="{00000000-0005-0000-0000-000008200000}"/>
    <cellStyle name="DESCRIÇÃO 5 2 4" xfId="8227" xr:uid="{00000000-0005-0000-0000-000009200000}"/>
    <cellStyle name="DESCRIÇÃO 5 3" xfId="8228" xr:uid="{00000000-0005-0000-0000-00000A200000}"/>
    <cellStyle name="DESCRIÇÃO 5 3 2" xfId="8229" xr:uid="{00000000-0005-0000-0000-00000B200000}"/>
    <cellStyle name="DESCRIÇÃO 5 3 3" xfId="8230" xr:uid="{00000000-0005-0000-0000-00000C200000}"/>
    <cellStyle name="DESCRIÇÃO 5 4" xfId="8231" xr:uid="{00000000-0005-0000-0000-00000D200000}"/>
    <cellStyle name="DESCRIÇÃO 5 5" xfId="8232" xr:uid="{00000000-0005-0000-0000-00000E200000}"/>
    <cellStyle name="DESCRIÇÃO 6" xfId="8233" xr:uid="{00000000-0005-0000-0000-00000F200000}"/>
    <cellStyle name="DESCRIÇÃO 6 2" xfId="8234" xr:uid="{00000000-0005-0000-0000-000010200000}"/>
    <cellStyle name="DESCRIÇÃO 6 2 2" xfId="8235" xr:uid="{00000000-0005-0000-0000-000011200000}"/>
    <cellStyle name="DESCRIÇÃO 6 2 2 2" xfId="8236" xr:uid="{00000000-0005-0000-0000-000012200000}"/>
    <cellStyle name="DESCRIÇÃO 6 2 2 3" xfId="8237" xr:uid="{00000000-0005-0000-0000-000013200000}"/>
    <cellStyle name="DESCRIÇÃO 6 2 3" xfId="8238" xr:uid="{00000000-0005-0000-0000-000014200000}"/>
    <cellStyle name="DESCRIÇÃO 6 2 4" xfId="8239" xr:uid="{00000000-0005-0000-0000-000015200000}"/>
    <cellStyle name="DESCRIÇÃO 6 3" xfId="8240" xr:uid="{00000000-0005-0000-0000-000016200000}"/>
    <cellStyle name="DESCRIÇÃO 6 3 2" xfId="8241" xr:uid="{00000000-0005-0000-0000-000017200000}"/>
    <cellStyle name="DESCRIÇÃO 6 3 3" xfId="8242" xr:uid="{00000000-0005-0000-0000-000018200000}"/>
    <cellStyle name="DESCRIÇÃO 6 4" xfId="8243" xr:uid="{00000000-0005-0000-0000-000019200000}"/>
    <cellStyle name="DESCRIÇÃO 6 5" xfId="8244" xr:uid="{00000000-0005-0000-0000-00001A200000}"/>
    <cellStyle name="DESCRIÇÃO 7" xfId="8245" xr:uid="{00000000-0005-0000-0000-00001B200000}"/>
    <cellStyle name="DESCRIÇÃO 7 2" xfId="8246" xr:uid="{00000000-0005-0000-0000-00001C200000}"/>
    <cellStyle name="DESCRIÇÃO 7 2 2" xfId="8247" xr:uid="{00000000-0005-0000-0000-00001D200000}"/>
    <cellStyle name="DESCRIÇÃO 7 2 2 2" xfId="8248" xr:uid="{00000000-0005-0000-0000-00001E200000}"/>
    <cellStyle name="DESCRIÇÃO 7 2 2 3" xfId="8249" xr:uid="{00000000-0005-0000-0000-00001F200000}"/>
    <cellStyle name="DESCRIÇÃO 7 2 3" xfId="8250" xr:uid="{00000000-0005-0000-0000-000020200000}"/>
    <cellStyle name="DESCRIÇÃO 7 2 4" xfId="8251" xr:uid="{00000000-0005-0000-0000-000021200000}"/>
    <cellStyle name="DESCRIÇÃO 7 3" xfId="8252" xr:uid="{00000000-0005-0000-0000-000022200000}"/>
    <cellStyle name="DESCRIÇÃO 7 3 2" xfId="8253" xr:uid="{00000000-0005-0000-0000-000023200000}"/>
    <cellStyle name="DESCRIÇÃO 7 3 3" xfId="8254" xr:uid="{00000000-0005-0000-0000-000024200000}"/>
    <cellStyle name="DESCRIÇÃO 7 4" xfId="8255" xr:uid="{00000000-0005-0000-0000-000025200000}"/>
    <cellStyle name="DESCRIÇÃO 7 5" xfId="8256" xr:uid="{00000000-0005-0000-0000-000026200000}"/>
    <cellStyle name="DESCRIÇÃO 8" xfId="8257" xr:uid="{00000000-0005-0000-0000-000027200000}"/>
    <cellStyle name="DESCRIÇÃO 8 2" xfId="8258" xr:uid="{00000000-0005-0000-0000-000028200000}"/>
    <cellStyle name="DESCRIÇÃO 8 3" xfId="8259" xr:uid="{00000000-0005-0000-0000-000029200000}"/>
    <cellStyle name="DESCRIÇÃO 9" xfId="8260" xr:uid="{00000000-0005-0000-0000-00002A200000}"/>
    <cellStyle name="Design" xfId="8261" xr:uid="{00000000-0005-0000-0000-00002B200000}"/>
    <cellStyle name="Design 2" xfId="8262" xr:uid="{00000000-0005-0000-0000-00002C200000}"/>
    <cellStyle name="Design 2 2" xfId="8263" xr:uid="{00000000-0005-0000-0000-00002D200000}"/>
    <cellStyle name="Design 3" xfId="8264" xr:uid="{00000000-0005-0000-0000-00002E200000}"/>
    <cellStyle name="Dezimal [0]_44" xfId="8265" xr:uid="{00000000-0005-0000-0000-00002F200000}"/>
    <cellStyle name="Dezimal__Utopia Index Index und Guidance (Deutsch)" xfId="8266" xr:uid="{00000000-0005-0000-0000-000030200000}"/>
    <cellStyle name="Dia" xfId="8267" xr:uid="{00000000-0005-0000-0000-000031200000}"/>
    <cellStyle name="Diseño" xfId="8268" xr:uid="{00000000-0005-0000-0000-000032200000}"/>
    <cellStyle name="DOH" xfId="8269" xr:uid="{00000000-0005-0000-0000-000033200000}"/>
    <cellStyle name="dollar" xfId="8270" xr:uid="{00000000-0005-0000-0000-000034200000}"/>
    <cellStyle name="Dollar1" xfId="8271" xr:uid="{00000000-0005-0000-0000-000035200000}"/>
    <cellStyle name="dollars" xfId="8272" xr:uid="{00000000-0005-0000-0000-000036200000}"/>
    <cellStyle name="Dotted Line" xfId="8273" xr:uid="{00000000-0005-0000-0000-000037200000}"/>
    <cellStyle name="dunkel" xfId="8274" xr:uid="{00000000-0005-0000-0000-000038200000}"/>
    <cellStyle name="Encabez1" xfId="8275" xr:uid="{00000000-0005-0000-0000-000039200000}"/>
    <cellStyle name="Encabez2" xfId="8276" xr:uid="{00000000-0005-0000-0000-00003A200000}"/>
    <cellStyle name="Ênfase1" xfId="18" builtinId="29" customBuiltin="1"/>
    <cellStyle name="Ênfase1 10" xfId="8277" xr:uid="{00000000-0005-0000-0000-00003C200000}"/>
    <cellStyle name="Ênfase1 11" xfId="8278" xr:uid="{00000000-0005-0000-0000-00003D200000}"/>
    <cellStyle name="Ênfase1 12" xfId="8279" xr:uid="{00000000-0005-0000-0000-00003E200000}"/>
    <cellStyle name="Ênfase1 13" xfId="8280" xr:uid="{00000000-0005-0000-0000-00003F200000}"/>
    <cellStyle name="Ênfase1 14" xfId="8281" xr:uid="{00000000-0005-0000-0000-000040200000}"/>
    <cellStyle name="Ênfase1 15" xfId="8282" xr:uid="{00000000-0005-0000-0000-000041200000}"/>
    <cellStyle name="Ênfase1 16" xfId="8283" xr:uid="{00000000-0005-0000-0000-000042200000}"/>
    <cellStyle name="Ênfase1 17" xfId="8284" xr:uid="{00000000-0005-0000-0000-000043200000}"/>
    <cellStyle name="Ênfase1 18" xfId="8285" xr:uid="{00000000-0005-0000-0000-000044200000}"/>
    <cellStyle name="Ênfase1 19" xfId="8286" xr:uid="{00000000-0005-0000-0000-000045200000}"/>
    <cellStyle name="Ênfase1 2" xfId="8287" xr:uid="{00000000-0005-0000-0000-000046200000}"/>
    <cellStyle name="Ênfase1 20" xfId="8288" xr:uid="{00000000-0005-0000-0000-000047200000}"/>
    <cellStyle name="Ênfase1 21" xfId="8289" xr:uid="{00000000-0005-0000-0000-000048200000}"/>
    <cellStyle name="Ênfase1 22" xfId="8290" xr:uid="{00000000-0005-0000-0000-000049200000}"/>
    <cellStyle name="Ênfase1 23" xfId="8291" xr:uid="{00000000-0005-0000-0000-00004A200000}"/>
    <cellStyle name="Ênfase1 24" xfId="8292" xr:uid="{00000000-0005-0000-0000-00004B200000}"/>
    <cellStyle name="Ênfase1 25" xfId="8293" xr:uid="{00000000-0005-0000-0000-00004C200000}"/>
    <cellStyle name="Ênfase1 26" xfId="8294" xr:uid="{00000000-0005-0000-0000-00004D200000}"/>
    <cellStyle name="Ênfase1 27" xfId="8295" xr:uid="{00000000-0005-0000-0000-00004E200000}"/>
    <cellStyle name="Ênfase1 28" xfId="8296" xr:uid="{00000000-0005-0000-0000-00004F200000}"/>
    <cellStyle name="Ênfase1 29" xfId="8297" xr:uid="{00000000-0005-0000-0000-000050200000}"/>
    <cellStyle name="Ênfase1 3" xfId="8298" xr:uid="{00000000-0005-0000-0000-000051200000}"/>
    <cellStyle name="Ênfase1 30" xfId="8299" xr:uid="{00000000-0005-0000-0000-000052200000}"/>
    <cellStyle name="Ênfase1 31" xfId="8300" xr:uid="{00000000-0005-0000-0000-000053200000}"/>
    <cellStyle name="Ênfase1 32" xfId="8301" xr:uid="{00000000-0005-0000-0000-000054200000}"/>
    <cellStyle name="Ênfase1 33" xfId="8302" xr:uid="{00000000-0005-0000-0000-000055200000}"/>
    <cellStyle name="Ênfase1 34" xfId="8303" xr:uid="{00000000-0005-0000-0000-000056200000}"/>
    <cellStyle name="Ênfase1 35" xfId="8304" xr:uid="{00000000-0005-0000-0000-000057200000}"/>
    <cellStyle name="Ênfase1 36" xfId="8305" xr:uid="{00000000-0005-0000-0000-000058200000}"/>
    <cellStyle name="Ênfase1 37" xfId="8306" xr:uid="{00000000-0005-0000-0000-000059200000}"/>
    <cellStyle name="Ênfase1 38" xfId="8307" xr:uid="{00000000-0005-0000-0000-00005A200000}"/>
    <cellStyle name="Ênfase1 39" xfId="8308" xr:uid="{00000000-0005-0000-0000-00005B200000}"/>
    <cellStyle name="Ênfase1 4" xfId="8309" xr:uid="{00000000-0005-0000-0000-00005C200000}"/>
    <cellStyle name="Ênfase1 40" xfId="8310" xr:uid="{00000000-0005-0000-0000-00005D200000}"/>
    <cellStyle name="Ênfase1 5" xfId="8311" xr:uid="{00000000-0005-0000-0000-00005E200000}"/>
    <cellStyle name="Ênfase1 6" xfId="8312" xr:uid="{00000000-0005-0000-0000-00005F200000}"/>
    <cellStyle name="Ênfase1 7" xfId="8313" xr:uid="{00000000-0005-0000-0000-000060200000}"/>
    <cellStyle name="Ênfase1 8" xfId="8314" xr:uid="{00000000-0005-0000-0000-000061200000}"/>
    <cellStyle name="Ênfase1 9" xfId="8315" xr:uid="{00000000-0005-0000-0000-000062200000}"/>
    <cellStyle name="Ênfase2" xfId="21" builtinId="33" customBuiltin="1"/>
    <cellStyle name="Ênfase2 10" xfId="8316" xr:uid="{00000000-0005-0000-0000-000064200000}"/>
    <cellStyle name="Ênfase2 11" xfId="8317" xr:uid="{00000000-0005-0000-0000-000065200000}"/>
    <cellStyle name="Ênfase2 12" xfId="8318" xr:uid="{00000000-0005-0000-0000-000066200000}"/>
    <cellStyle name="Ênfase2 13" xfId="8319" xr:uid="{00000000-0005-0000-0000-000067200000}"/>
    <cellStyle name="Ênfase2 14" xfId="8320" xr:uid="{00000000-0005-0000-0000-000068200000}"/>
    <cellStyle name="Ênfase2 15" xfId="8321" xr:uid="{00000000-0005-0000-0000-000069200000}"/>
    <cellStyle name="Ênfase2 16" xfId="8322" xr:uid="{00000000-0005-0000-0000-00006A200000}"/>
    <cellStyle name="Ênfase2 17" xfId="8323" xr:uid="{00000000-0005-0000-0000-00006B200000}"/>
    <cellStyle name="Ênfase2 18" xfId="8324" xr:uid="{00000000-0005-0000-0000-00006C200000}"/>
    <cellStyle name="Ênfase2 19" xfId="8325" xr:uid="{00000000-0005-0000-0000-00006D200000}"/>
    <cellStyle name="Ênfase2 2" xfId="8326" xr:uid="{00000000-0005-0000-0000-00006E200000}"/>
    <cellStyle name="Ênfase2 20" xfId="8327" xr:uid="{00000000-0005-0000-0000-00006F200000}"/>
    <cellStyle name="Ênfase2 21" xfId="8328" xr:uid="{00000000-0005-0000-0000-000070200000}"/>
    <cellStyle name="Ênfase2 22" xfId="8329" xr:uid="{00000000-0005-0000-0000-000071200000}"/>
    <cellStyle name="Ênfase2 23" xfId="8330" xr:uid="{00000000-0005-0000-0000-000072200000}"/>
    <cellStyle name="Ênfase2 24" xfId="8331" xr:uid="{00000000-0005-0000-0000-000073200000}"/>
    <cellStyle name="Ênfase2 25" xfId="8332" xr:uid="{00000000-0005-0000-0000-000074200000}"/>
    <cellStyle name="Ênfase2 26" xfId="8333" xr:uid="{00000000-0005-0000-0000-000075200000}"/>
    <cellStyle name="Ênfase2 27" xfId="8334" xr:uid="{00000000-0005-0000-0000-000076200000}"/>
    <cellStyle name="Ênfase2 28" xfId="8335" xr:uid="{00000000-0005-0000-0000-000077200000}"/>
    <cellStyle name="Ênfase2 29" xfId="8336" xr:uid="{00000000-0005-0000-0000-000078200000}"/>
    <cellStyle name="Ênfase2 3" xfId="8337" xr:uid="{00000000-0005-0000-0000-000079200000}"/>
    <cellStyle name="Ênfase2 30" xfId="8338" xr:uid="{00000000-0005-0000-0000-00007A200000}"/>
    <cellStyle name="Ênfase2 31" xfId="8339" xr:uid="{00000000-0005-0000-0000-00007B200000}"/>
    <cellStyle name="Ênfase2 32" xfId="8340" xr:uid="{00000000-0005-0000-0000-00007C200000}"/>
    <cellStyle name="Ênfase2 33" xfId="8341" xr:uid="{00000000-0005-0000-0000-00007D200000}"/>
    <cellStyle name="Ênfase2 34" xfId="8342" xr:uid="{00000000-0005-0000-0000-00007E200000}"/>
    <cellStyle name="Ênfase2 35" xfId="8343" xr:uid="{00000000-0005-0000-0000-00007F200000}"/>
    <cellStyle name="Ênfase2 36" xfId="8344" xr:uid="{00000000-0005-0000-0000-000080200000}"/>
    <cellStyle name="Ênfase2 37" xfId="8345" xr:uid="{00000000-0005-0000-0000-000081200000}"/>
    <cellStyle name="Ênfase2 38" xfId="8346" xr:uid="{00000000-0005-0000-0000-000082200000}"/>
    <cellStyle name="Ênfase2 39" xfId="8347" xr:uid="{00000000-0005-0000-0000-000083200000}"/>
    <cellStyle name="Ênfase2 4" xfId="8348" xr:uid="{00000000-0005-0000-0000-000084200000}"/>
    <cellStyle name="Ênfase2 40" xfId="8349" xr:uid="{00000000-0005-0000-0000-000085200000}"/>
    <cellStyle name="Ênfase2 5" xfId="8350" xr:uid="{00000000-0005-0000-0000-000086200000}"/>
    <cellStyle name="Ênfase2 6" xfId="8351" xr:uid="{00000000-0005-0000-0000-000087200000}"/>
    <cellStyle name="Ênfase2 7" xfId="8352" xr:uid="{00000000-0005-0000-0000-000088200000}"/>
    <cellStyle name="Ênfase2 8" xfId="8353" xr:uid="{00000000-0005-0000-0000-000089200000}"/>
    <cellStyle name="Ênfase2 9" xfId="8354" xr:uid="{00000000-0005-0000-0000-00008A200000}"/>
    <cellStyle name="Ênfase3" xfId="24" builtinId="37" customBuiltin="1"/>
    <cellStyle name="Ênfase3 10" xfId="8355" xr:uid="{00000000-0005-0000-0000-00008C200000}"/>
    <cellStyle name="Ênfase3 11" xfId="8356" xr:uid="{00000000-0005-0000-0000-00008D200000}"/>
    <cellStyle name="Ênfase3 12" xfId="8357" xr:uid="{00000000-0005-0000-0000-00008E200000}"/>
    <cellStyle name="Ênfase3 13" xfId="8358" xr:uid="{00000000-0005-0000-0000-00008F200000}"/>
    <cellStyle name="Ênfase3 14" xfId="8359" xr:uid="{00000000-0005-0000-0000-000090200000}"/>
    <cellStyle name="Ênfase3 15" xfId="8360" xr:uid="{00000000-0005-0000-0000-000091200000}"/>
    <cellStyle name="Ênfase3 16" xfId="8361" xr:uid="{00000000-0005-0000-0000-000092200000}"/>
    <cellStyle name="Ênfase3 17" xfId="8362" xr:uid="{00000000-0005-0000-0000-000093200000}"/>
    <cellStyle name="Ênfase3 18" xfId="8363" xr:uid="{00000000-0005-0000-0000-000094200000}"/>
    <cellStyle name="Ênfase3 19" xfId="8364" xr:uid="{00000000-0005-0000-0000-000095200000}"/>
    <cellStyle name="Ênfase3 2" xfId="8365" xr:uid="{00000000-0005-0000-0000-000096200000}"/>
    <cellStyle name="Ênfase3 20" xfId="8366" xr:uid="{00000000-0005-0000-0000-000097200000}"/>
    <cellStyle name="Ênfase3 21" xfId="8367" xr:uid="{00000000-0005-0000-0000-000098200000}"/>
    <cellStyle name="Ênfase3 22" xfId="8368" xr:uid="{00000000-0005-0000-0000-000099200000}"/>
    <cellStyle name="Ênfase3 23" xfId="8369" xr:uid="{00000000-0005-0000-0000-00009A200000}"/>
    <cellStyle name="Ênfase3 24" xfId="8370" xr:uid="{00000000-0005-0000-0000-00009B200000}"/>
    <cellStyle name="Ênfase3 25" xfId="8371" xr:uid="{00000000-0005-0000-0000-00009C200000}"/>
    <cellStyle name="Ênfase3 26" xfId="8372" xr:uid="{00000000-0005-0000-0000-00009D200000}"/>
    <cellStyle name="Ênfase3 27" xfId="8373" xr:uid="{00000000-0005-0000-0000-00009E200000}"/>
    <cellStyle name="Ênfase3 28" xfId="8374" xr:uid="{00000000-0005-0000-0000-00009F200000}"/>
    <cellStyle name="Ênfase3 29" xfId="8375" xr:uid="{00000000-0005-0000-0000-0000A0200000}"/>
    <cellStyle name="Ênfase3 3" xfId="8376" xr:uid="{00000000-0005-0000-0000-0000A1200000}"/>
    <cellStyle name="Ênfase3 30" xfId="8377" xr:uid="{00000000-0005-0000-0000-0000A2200000}"/>
    <cellStyle name="Ênfase3 31" xfId="8378" xr:uid="{00000000-0005-0000-0000-0000A3200000}"/>
    <cellStyle name="Ênfase3 32" xfId="8379" xr:uid="{00000000-0005-0000-0000-0000A4200000}"/>
    <cellStyle name="Ênfase3 33" xfId="8380" xr:uid="{00000000-0005-0000-0000-0000A5200000}"/>
    <cellStyle name="Ênfase3 34" xfId="8381" xr:uid="{00000000-0005-0000-0000-0000A6200000}"/>
    <cellStyle name="Ênfase3 35" xfId="8382" xr:uid="{00000000-0005-0000-0000-0000A7200000}"/>
    <cellStyle name="Ênfase3 36" xfId="8383" xr:uid="{00000000-0005-0000-0000-0000A8200000}"/>
    <cellStyle name="Ênfase3 37" xfId="8384" xr:uid="{00000000-0005-0000-0000-0000A9200000}"/>
    <cellStyle name="Ênfase3 38" xfId="8385" xr:uid="{00000000-0005-0000-0000-0000AA200000}"/>
    <cellStyle name="Ênfase3 39" xfId="8386" xr:uid="{00000000-0005-0000-0000-0000AB200000}"/>
    <cellStyle name="Ênfase3 4" xfId="8387" xr:uid="{00000000-0005-0000-0000-0000AC200000}"/>
    <cellStyle name="Ênfase3 40" xfId="8388" xr:uid="{00000000-0005-0000-0000-0000AD200000}"/>
    <cellStyle name="Ênfase3 5" xfId="8389" xr:uid="{00000000-0005-0000-0000-0000AE200000}"/>
    <cellStyle name="Ênfase3 6" xfId="8390" xr:uid="{00000000-0005-0000-0000-0000AF200000}"/>
    <cellStyle name="Ênfase3 7" xfId="8391" xr:uid="{00000000-0005-0000-0000-0000B0200000}"/>
    <cellStyle name="Ênfase3 8" xfId="8392" xr:uid="{00000000-0005-0000-0000-0000B1200000}"/>
    <cellStyle name="Ênfase3 9" xfId="8393" xr:uid="{00000000-0005-0000-0000-0000B2200000}"/>
    <cellStyle name="Ênfase4" xfId="27" builtinId="41" customBuiltin="1"/>
    <cellStyle name="Ênfase4 10" xfId="8394" xr:uid="{00000000-0005-0000-0000-0000B4200000}"/>
    <cellStyle name="Ênfase4 11" xfId="8395" xr:uid="{00000000-0005-0000-0000-0000B5200000}"/>
    <cellStyle name="Ênfase4 12" xfId="8396" xr:uid="{00000000-0005-0000-0000-0000B6200000}"/>
    <cellStyle name="Ênfase4 13" xfId="8397" xr:uid="{00000000-0005-0000-0000-0000B7200000}"/>
    <cellStyle name="Ênfase4 14" xfId="8398" xr:uid="{00000000-0005-0000-0000-0000B8200000}"/>
    <cellStyle name="Ênfase4 15" xfId="8399" xr:uid="{00000000-0005-0000-0000-0000B9200000}"/>
    <cellStyle name="Ênfase4 16" xfId="8400" xr:uid="{00000000-0005-0000-0000-0000BA200000}"/>
    <cellStyle name="Ênfase4 17" xfId="8401" xr:uid="{00000000-0005-0000-0000-0000BB200000}"/>
    <cellStyle name="Ênfase4 18" xfId="8402" xr:uid="{00000000-0005-0000-0000-0000BC200000}"/>
    <cellStyle name="Ênfase4 19" xfId="8403" xr:uid="{00000000-0005-0000-0000-0000BD200000}"/>
    <cellStyle name="Ênfase4 2" xfId="8404" xr:uid="{00000000-0005-0000-0000-0000BE200000}"/>
    <cellStyle name="Ênfase4 20" xfId="8405" xr:uid="{00000000-0005-0000-0000-0000BF200000}"/>
    <cellStyle name="Ênfase4 21" xfId="8406" xr:uid="{00000000-0005-0000-0000-0000C0200000}"/>
    <cellStyle name="Ênfase4 22" xfId="8407" xr:uid="{00000000-0005-0000-0000-0000C1200000}"/>
    <cellStyle name="Ênfase4 23" xfId="8408" xr:uid="{00000000-0005-0000-0000-0000C2200000}"/>
    <cellStyle name="Ênfase4 24" xfId="8409" xr:uid="{00000000-0005-0000-0000-0000C3200000}"/>
    <cellStyle name="Ênfase4 25" xfId="8410" xr:uid="{00000000-0005-0000-0000-0000C4200000}"/>
    <cellStyle name="Ênfase4 26" xfId="8411" xr:uid="{00000000-0005-0000-0000-0000C5200000}"/>
    <cellStyle name="Ênfase4 27" xfId="8412" xr:uid="{00000000-0005-0000-0000-0000C6200000}"/>
    <cellStyle name="Ênfase4 28" xfId="8413" xr:uid="{00000000-0005-0000-0000-0000C7200000}"/>
    <cellStyle name="Ênfase4 29" xfId="8414" xr:uid="{00000000-0005-0000-0000-0000C8200000}"/>
    <cellStyle name="Ênfase4 3" xfId="8415" xr:uid="{00000000-0005-0000-0000-0000C9200000}"/>
    <cellStyle name="Ênfase4 30" xfId="8416" xr:uid="{00000000-0005-0000-0000-0000CA200000}"/>
    <cellStyle name="Ênfase4 31" xfId="8417" xr:uid="{00000000-0005-0000-0000-0000CB200000}"/>
    <cellStyle name="Ênfase4 32" xfId="8418" xr:uid="{00000000-0005-0000-0000-0000CC200000}"/>
    <cellStyle name="Ênfase4 33" xfId="8419" xr:uid="{00000000-0005-0000-0000-0000CD200000}"/>
    <cellStyle name="Ênfase4 34" xfId="8420" xr:uid="{00000000-0005-0000-0000-0000CE200000}"/>
    <cellStyle name="Ênfase4 35" xfId="8421" xr:uid="{00000000-0005-0000-0000-0000CF200000}"/>
    <cellStyle name="Ênfase4 36" xfId="8422" xr:uid="{00000000-0005-0000-0000-0000D0200000}"/>
    <cellStyle name="Ênfase4 37" xfId="8423" xr:uid="{00000000-0005-0000-0000-0000D1200000}"/>
    <cellStyle name="Ênfase4 38" xfId="8424" xr:uid="{00000000-0005-0000-0000-0000D2200000}"/>
    <cellStyle name="Ênfase4 39" xfId="8425" xr:uid="{00000000-0005-0000-0000-0000D3200000}"/>
    <cellStyle name="Ênfase4 4" xfId="8426" xr:uid="{00000000-0005-0000-0000-0000D4200000}"/>
    <cellStyle name="Ênfase4 40" xfId="8427" xr:uid="{00000000-0005-0000-0000-0000D5200000}"/>
    <cellStyle name="Ênfase4 5" xfId="8428" xr:uid="{00000000-0005-0000-0000-0000D6200000}"/>
    <cellStyle name="Ênfase4 6" xfId="8429" xr:uid="{00000000-0005-0000-0000-0000D7200000}"/>
    <cellStyle name="Ênfase4 7" xfId="8430" xr:uid="{00000000-0005-0000-0000-0000D8200000}"/>
    <cellStyle name="Ênfase4 8" xfId="8431" xr:uid="{00000000-0005-0000-0000-0000D9200000}"/>
    <cellStyle name="Ênfase4 9" xfId="8432" xr:uid="{00000000-0005-0000-0000-0000DA200000}"/>
    <cellStyle name="Ênfase5" xfId="30" builtinId="45" customBuiltin="1"/>
    <cellStyle name="Ênfase5 10" xfId="8433" xr:uid="{00000000-0005-0000-0000-0000DC200000}"/>
    <cellStyle name="Ênfase5 11" xfId="8434" xr:uid="{00000000-0005-0000-0000-0000DD200000}"/>
    <cellStyle name="Ênfase5 12" xfId="8435" xr:uid="{00000000-0005-0000-0000-0000DE200000}"/>
    <cellStyle name="Ênfase5 13" xfId="8436" xr:uid="{00000000-0005-0000-0000-0000DF200000}"/>
    <cellStyle name="Ênfase5 14" xfId="8437" xr:uid="{00000000-0005-0000-0000-0000E0200000}"/>
    <cellStyle name="Ênfase5 15" xfId="8438" xr:uid="{00000000-0005-0000-0000-0000E1200000}"/>
    <cellStyle name="Ênfase5 16" xfId="8439" xr:uid="{00000000-0005-0000-0000-0000E2200000}"/>
    <cellStyle name="Ênfase5 17" xfId="8440" xr:uid="{00000000-0005-0000-0000-0000E3200000}"/>
    <cellStyle name="Ênfase5 18" xfId="8441" xr:uid="{00000000-0005-0000-0000-0000E4200000}"/>
    <cellStyle name="Ênfase5 19" xfId="8442" xr:uid="{00000000-0005-0000-0000-0000E5200000}"/>
    <cellStyle name="Ênfase5 2" xfId="8443" xr:uid="{00000000-0005-0000-0000-0000E6200000}"/>
    <cellStyle name="Ênfase5 20" xfId="8444" xr:uid="{00000000-0005-0000-0000-0000E7200000}"/>
    <cellStyle name="Ênfase5 21" xfId="8445" xr:uid="{00000000-0005-0000-0000-0000E8200000}"/>
    <cellStyle name="Ênfase5 22" xfId="8446" xr:uid="{00000000-0005-0000-0000-0000E9200000}"/>
    <cellStyle name="Ênfase5 23" xfId="8447" xr:uid="{00000000-0005-0000-0000-0000EA200000}"/>
    <cellStyle name="Ênfase5 24" xfId="8448" xr:uid="{00000000-0005-0000-0000-0000EB200000}"/>
    <cellStyle name="Ênfase5 25" xfId="8449" xr:uid="{00000000-0005-0000-0000-0000EC200000}"/>
    <cellStyle name="Ênfase5 26" xfId="8450" xr:uid="{00000000-0005-0000-0000-0000ED200000}"/>
    <cellStyle name="Ênfase5 27" xfId="8451" xr:uid="{00000000-0005-0000-0000-0000EE200000}"/>
    <cellStyle name="Ênfase5 28" xfId="8452" xr:uid="{00000000-0005-0000-0000-0000EF200000}"/>
    <cellStyle name="Ênfase5 29" xfId="8453" xr:uid="{00000000-0005-0000-0000-0000F0200000}"/>
    <cellStyle name="Ênfase5 3" xfId="8454" xr:uid="{00000000-0005-0000-0000-0000F1200000}"/>
    <cellStyle name="Ênfase5 30" xfId="8455" xr:uid="{00000000-0005-0000-0000-0000F2200000}"/>
    <cellStyle name="Ênfase5 31" xfId="8456" xr:uid="{00000000-0005-0000-0000-0000F3200000}"/>
    <cellStyle name="Ênfase5 32" xfId="8457" xr:uid="{00000000-0005-0000-0000-0000F4200000}"/>
    <cellStyle name="Ênfase5 33" xfId="8458" xr:uid="{00000000-0005-0000-0000-0000F5200000}"/>
    <cellStyle name="Ênfase5 34" xfId="8459" xr:uid="{00000000-0005-0000-0000-0000F6200000}"/>
    <cellStyle name="Ênfase5 35" xfId="8460" xr:uid="{00000000-0005-0000-0000-0000F7200000}"/>
    <cellStyle name="Ênfase5 36" xfId="8461" xr:uid="{00000000-0005-0000-0000-0000F8200000}"/>
    <cellStyle name="Ênfase5 37" xfId="8462" xr:uid="{00000000-0005-0000-0000-0000F9200000}"/>
    <cellStyle name="Ênfase5 38" xfId="8463" xr:uid="{00000000-0005-0000-0000-0000FA200000}"/>
    <cellStyle name="Ênfase5 39" xfId="8464" xr:uid="{00000000-0005-0000-0000-0000FB200000}"/>
    <cellStyle name="Ênfase5 4" xfId="8465" xr:uid="{00000000-0005-0000-0000-0000FC200000}"/>
    <cellStyle name="Ênfase5 40" xfId="8466" xr:uid="{00000000-0005-0000-0000-0000FD200000}"/>
    <cellStyle name="Ênfase5 5" xfId="8467" xr:uid="{00000000-0005-0000-0000-0000FE200000}"/>
    <cellStyle name="Ênfase5 6" xfId="8468" xr:uid="{00000000-0005-0000-0000-0000FF200000}"/>
    <cellStyle name="Ênfase5 7" xfId="8469" xr:uid="{00000000-0005-0000-0000-000000210000}"/>
    <cellStyle name="Ênfase5 8" xfId="8470" xr:uid="{00000000-0005-0000-0000-000001210000}"/>
    <cellStyle name="Ênfase5 9" xfId="8471" xr:uid="{00000000-0005-0000-0000-000002210000}"/>
    <cellStyle name="Ênfase6" xfId="33" builtinId="49" customBuiltin="1"/>
    <cellStyle name="Ênfase6 10" xfId="8472" xr:uid="{00000000-0005-0000-0000-000004210000}"/>
    <cellStyle name="Ênfase6 11" xfId="8473" xr:uid="{00000000-0005-0000-0000-000005210000}"/>
    <cellStyle name="Ênfase6 12" xfId="8474" xr:uid="{00000000-0005-0000-0000-000006210000}"/>
    <cellStyle name="Ênfase6 13" xfId="8475" xr:uid="{00000000-0005-0000-0000-000007210000}"/>
    <cellStyle name="Ênfase6 14" xfId="8476" xr:uid="{00000000-0005-0000-0000-000008210000}"/>
    <cellStyle name="Ênfase6 15" xfId="8477" xr:uid="{00000000-0005-0000-0000-000009210000}"/>
    <cellStyle name="Ênfase6 16" xfId="8478" xr:uid="{00000000-0005-0000-0000-00000A210000}"/>
    <cellStyle name="Ênfase6 17" xfId="8479" xr:uid="{00000000-0005-0000-0000-00000B210000}"/>
    <cellStyle name="Ênfase6 18" xfId="8480" xr:uid="{00000000-0005-0000-0000-00000C210000}"/>
    <cellStyle name="Ênfase6 19" xfId="8481" xr:uid="{00000000-0005-0000-0000-00000D210000}"/>
    <cellStyle name="Ênfase6 2" xfId="8482" xr:uid="{00000000-0005-0000-0000-00000E210000}"/>
    <cellStyle name="Ênfase6 20" xfId="8483" xr:uid="{00000000-0005-0000-0000-00000F210000}"/>
    <cellStyle name="Ênfase6 21" xfId="8484" xr:uid="{00000000-0005-0000-0000-000010210000}"/>
    <cellStyle name="Ênfase6 22" xfId="8485" xr:uid="{00000000-0005-0000-0000-000011210000}"/>
    <cellStyle name="Ênfase6 23" xfId="8486" xr:uid="{00000000-0005-0000-0000-000012210000}"/>
    <cellStyle name="Ênfase6 24" xfId="8487" xr:uid="{00000000-0005-0000-0000-000013210000}"/>
    <cellStyle name="Ênfase6 25" xfId="8488" xr:uid="{00000000-0005-0000-0000-000014210000}"/>
    <cellStyle name="Ênfase6 26" xfId="8489" xr:uid="{00000000-0005-0000-0000-000015210000}"/>
    <cellStyle name="Ênfase6 27" xfId="8490" xr:uid="{00000000-0005-0000-0000-000016210000}"/>
    <cellStyle name="Ênfase6 28" xfId="8491" xr:uid="{00000000-0005-0000-0000-000017210000}"/>
    <cellStyle name="Ênfase6 29" xfId="8492" xr:uid="{00000000-0005-0000-0000-000018210000}"/>
    <cellStyle name="Ênfase6 3" xfId="8493" xr:uid="{00000000-0005-0000-0000-000019210000}"/>
    <cellStyle name="Ênfase6 30" xfId="8494" xr:uid="{00000000-0005-0000-0000-00001A210000}"/>
    <cellStyle name="Ênfase6 31" xfId="8495" xr:uid="{00000000-0005-0000-0000-00001B210000}"/>
    <cellStyle name="Ênfase6 32" xfId="8496" xr:uid="{00000000-0005-0000-0000-00001C210000}"/>
    <cellStyle name="Ênfase6 33" xfId="8497" xr:uid="{00000000-0005-0000-0000-00001D210000}"/>
    <cellStyle name="Ênfase6 34" xfId="8498" xr:uid="{00000000-0005-0000-0000-00001E210000}"/>
    <cellStyle name="Ênfase6 35" xfId="8499" xr:uid="{00000000-0005-0000-0000-00001F210000}"/>
    <cellStyle name="Ênfase6 36" xfId="8500" xr:uid="{00000000-0005-0000-0000-000020210000}"/>
    <cellStyle name="Ênfase6 37" xfId="8501" xr:uid="{00000000-0005-0000-0000-000021210000}"/>
    <cellStyle name="Ênfase6 38" xfId="8502" xr:uid="{00000000-0005-0000-0000-000022210000}"/>
    <cellStyle name="Ênfase6 39" xfId="8503" xr:uid="{00000000-0005-0000-0000-000023210000}"/>
    <cellStyle name="Ênfase6 4" xfId="8504" xr:uid="{00000000-0005-0000-0000-000024210000}"/>
    <cellStyle name="Ênfase6 40" xfId="8505" xr:uid="{00000000-0005-0000-0000-000025210000}"/>
    <cellStyle name="Ênfase6 5" xfId="8506" xr:uid="{00000000-0005-0000-0000-000026210000}"/>
    <cellStyle name="Ênfase6 6" xfId="8507" xr:uid="{00000000-0005-0000-0000-000027210000}"/>
    <cellStyle name="Ênfase6 7" xfId="8508" xr:uid="{00000000-0005-0000-0000-000028210000}"/>
    <cellStyle name="Ênfase6 8" xfId="8509" xr:uid="{00000000-0005-0000-0000-000029210000}"/>
    <cellStyle name="Ênfase6 9" xfId="8510" xr:uid="{00000000-0005-0000-0000-00002A210000}"/>
    <cellStyle name="Enter Currency (0)" xfId="8511" xr:uid="{00000000-0005-0000-0000-00002B210000}"/>
    <cellStyle name="Enter Currency (2)" xfId="8512" xr:uid="{00000000-0005-0000-0000-00002C210000}"/>
    <cellStyle name="Enter Units (0)" xfId="8513" xr:uid="{00000000-0005-0000-0000-00002D210000}"/>
    <cellStyle name="Enter Units (1)" xfId="8514" xr:uid="{00000000-0005-0000-0000-00002E210000}"/>
    <cellStyle name="Enter Units (2)" xfId="8515" xr:uid="{00000000-0005-0000-0000-00002F210000}"/>
    <cellStyle name="Entered" xfId="8516" xr:uid="{00000000-0005-0000-0000-000030210000}"/>
    <cellStyle name="En-tête 1" xfId="8517" xr:uid="{00000000-0005-0000-0000-000031210000}"/>
    <cellStyle name="En-tête 2" xfId="8518" xr:uid="{00000000-0005-0000-0000-000032210000}"/>
    <cellStyle name="Entrada" xfId="9" builtinId="20" customBuiltin="1"/>
    <cellStyle name="Entrada 10" xfId="8519" xr:uid="{00000000-0005-0000-0000-000034210000}"/>
    <cellStyle name="Entrada 11" xfId="8520" xr:uid="{00000000-0005-0000-0000-000035210000}"/>
    <cellStyle name="Entrada 12" xfId="8521" xr:uid="{00000000-0005-0000-0000-000036210000}"/>
    <cellStyle name="Entrada 13" xfId="8522" xr:uid="{00000000-0005-0000-0000-000037210000}"/>
    <cellStyle name="Entrada 14" xfId="8523" xr:uid="{00000000-0005-0000-0000-000038210000}"/>
    <cellStyle name="Entrada 15" xfId="8524" xr:uid="{00000000-0005-0000-0000-000039210000}"/>
    <cellStyle name="Entrada 16" xfId="8525" xr:uid="{00000000-0005-0000-0000-00003A210000}"/>
    <cellStyle name="Entrada 17" xfId="8526" xr:uid="{00000000-0005-0000-0000-00003B210000}"/>
    <cellStyle name="Entrada 18" xfId="8527" xr:uid="{00000000-0005-0000-0000-00003C210000}"/>
    <cellStyle name="Entrada 19" xfId="8528" xr:uid="{00000000-0005-0000-0000-00003D210000}"/>
    <cellStyle name="Entrada 2" xfId="8529" xr:uid="{00000000-0005-0000-0000-00003E210000}"/>
    <cellStyle name="Entrada 2 10" xfId="8530" xr:uid="{00000000-0005-0000-0000-00003F210000}"/>
    <cellStyle name="Entrada 2 2" xfId="8531" xr:uid="{00000000-0005-0000-0000-000040210000}"/>
    <cellStyle name="Entrada 2 2 2" xfId="8532" xr:uid="{00000000-0005-0000-0000-000041210000}"/>
    <cellStyle name="Entrada 2 2 2 2" xfId="8533" xr:uid="{00000000-0005-0000-0000-000042210000}"/>
    <cellStyle name="Entrada 2 2 2 2 2" xfId="8534" xr:uid="{00000000-0005-0000-0000-000043210000}"/>
    <cellStyle name="Entrada 2 2 2 2 2 2" xfId="8535" xr:uid="{00000000-0005-0000-0000-000044210000}"/>
    <cellStyle name="Entrada 2 2 2 2 3" xfId="8536" xr:uid="{00000000-0005-0000-0000-000045210000}"/>
    <cellStyle name="Entrada 2 2 2 3" xfId="8537" xr:uid="{00000000-0005-0000-0000-000046210000}"/>
    <cellStyle name="Entrada 2 2 2 3 2" xfId="8538" xr:uid="{00000000-0005-0000-0000-000047210000}"/>
    <cellStyle name="Entrada 2 2 2 4" xfId="8539" xr:uid="{00000000-0005-0000-0000-000048210000}"/>
    <cellStyle name="Entrada 2 2 3" xfId="8540" xr:uid="{00000000-0005-0000-0000-000049210000}"/>
    <cellStyle name="Entrada 2 2 3 2" xfId="8541" xr:uid="{00000000-0005-0000-0000-00004A210000}"/>
    <cellStyle name="Entrada 2 2 3 2 2" xfId="8542" xr:uid="{00000000-0005-0000-0000-00004B210000}"/>
    <cellStyle name="Entrada 2 2 3 3" xfId="8543" xr:uid="{00000000-0005-0000-0000-00004C210000}"/>
    <cellStyle name="Entrada 2 2 4" xfId="8544" xr:uid="{00000000-0005-0000-0000-00004D210000}"/>
    <cellStyle name="Entrada 2 2 4 2" xfId="8545" xr:uid="{00000000-0005-0000-0000-00004E210000}"/>
    <cellStyle name="Entrada 2 2 5" xfId="8546" xr:uid="{00000000-0005-0000-0000-00004F210000}"/>
    <cellStyle name="Entrada 2 3" xfId="8547" xr:uid="{00000000-0005-0000-0000-000050210000}"/>
    <cellStyle name="Entrada 2 3 2" xfId="8548" xr:uid="{00000000-0005-0000-0000-000051210000}"/>
    <cellStyle name="Entrada 2 3 2 2" xfId="8549" xr:uid="{00000000-0005-0000-0000-000052210000}"/>
    <cellStyle name="Entrada 2 3 2 2 2" xfId="8550" xr:uid="{00000000-0005-0000-0000-000053210000}"/>
    <cellStyle name="Entrada 2 3 2 2 2 2" xfId="8551" xr:uid="{00000000-0005-0000-0000-000054210000}"/>
    <cellStyle name="Entrada 2 3 2 2 3" xfId="8552" xr:uid="{00000000-0005-0000-0000-000055210000}"/>
    <cellStyle name="Entrada 2 3 2 3" xfId="8553" xr:uid="{00000000-0005-0000-0000-000056210000}"/>
    <cellStyle name="Entrada 2 3 2 3 2" xfId="8554" xr:uid="{00000000-0005-0000-0000-000057210000}"/>
    <cellStyle name="Entrada 2 3 2 4" xfId="8555" xr:uid="{00000000-0005-0000-0000-000058210000}"/>
    <cellStyle name="Entrada 2 3 3" xfId="8556" xr:uid="{00000000-0005-0000-0000-000059210000}"/>
    <cellStyle name="Entrada 2 3 3 2" xfId="8557" xr:uid="{00000000-0005-0000-0000-00005A210000}"/>
    <cellStyle name="Entrada 2 3 3 2 2" xfId="8558" xr:uid="{00000000-0005-0000-0000-00005B210000}"/>
    <cellStyle name="Entrada 2 3 3 3" xfId="8559" xr:uid="{00000000-0005-0000-0000-00005C210000}"/>
    <cellStyle name="Entrada 2 3 4" xfId="8560" xr:uid="{00000000-0005-0000-0000-00005D210000}"/>
    <cellStyle name="Entrada 2 3 4 2" xfId="8561" xr:uid="{00000000-0005-0000-0000-00005E210000}"/>
    <cellStyle name="Entrada 2 3 5" xfId="8562" xr:uid="{00000000-0005-0000-0000-00005F210000}"/>
    <cellStyle name="Entrada 2 4" xfId="8563" xr:uid="{00000000-0005-0000-0000-000060210000}"/>
    <cellStyle name="Entrada 2 4 2" xfId="8564" xr:uid="{00000000-0005-0000-0000-000061210000}"/>
    <cellStyle name="Entrada 2 4 2 2" xfId="8565" xr:uid="{00000000-0005-0000-0000-000062210000}"/>
    <cellStyle name="Entrada 2 4 2 2 2" xfId="8566" xr:uid="{00000000-0005-0000-0000-000063210000}"/>
    <cellStyle name="Entrada 2 4 2 2 2 2" xfId="8567" xr:uid="{00000000-0005-0000-0000-000064210000}"/>
    <cellStyle name="Entrada 2 4 2 2 3" xfId="8568" xr:uid="{00000000-0005-0000-0000-000065210000}"/>
    <cellStyle name="Entrada 2 4 2 3" xfId="8569" xr:uid="{00000000-0005-0000-0000-000066210000}"/>
    <cellStyle name="Entrada 2 4 2 3 2" xfId="8570" xr:uid="{00000000-0005-0000-0000-000067210000}"/>
    <cellStyle name="Entrada 2 4 2 4" xfId="8571" xr:uid="{00000000-0005-0000-0000-000068210000}"/>
    <cellStyle name="Entrada 2 4 3" xfId="8572" xr:uid="{00000000-0005-0000-0000-000069210000}"/>
    <cellStyle name="Entrada 2 4 3 2" xfId="8573" xr:uid="{00000000-0005-0000-0000-00006A210000}"/>
    <cellStyle name="Entrada 2 4 3 2 2" xfId="8574" xr:uid="{00000000-0005-0000-0000-00006B210000}"/>
    <cellStyle name="Entrada 2 4 3 3" xfId="8575" xr:uid="{00000000-0005-0000-0000-00006C210000}"/>
    <cellStyle name="Entrada 2 4 4" xfId="8576" xr:uid="{00000000-0005-0000-0000-00006D210000}"/>
    <cellStyle name="Entrada 2 4 4 2" xfId="8577" xr:uid="{00000000-0005-0000-0000-00006E210000}"/>
    <cellStyle name="Entrada 2 4 5" xfId="8578" xr:uid="{00000000-0005-0000-0000-00006F210000}"/>
    <cellStyle name="Entrada 2 5" xfId="8579" xr:uid="{00000000-0005-0000-0000-000070210000}"/>
    <cellStyle name="Entrada 2 5 2" xfId="8580" xr:uid="{00000000-0005-0000-0000-000071210000}"/>
    <cellStyle name="Entrada 2 5 2 2" xfId="8581" xr:uid="{00000000-0005-0000-0000-000072210000}"/>
    <cellStyle name="Entrada 2 5 2 2 2" xfId="8582" xr:uid="{00000000-0005-0000-0000-000073210000}"/>
    <cellStyle name="Entrada 2 5 2 2 2 2" xfId="8583" xr:uid="{00000000-0005-0000-0000-000074210000}"/>
    <cellStyle name="Entrada 2 5 2 2 3" xfId="8584" xr:uid="{00000000-0005-0000-0000-000075210000}"/>
    <cellStyle name="Entrada 2 5 2 3" xfId="8585" xr:uid="{00000000-0005-0000-0000-000076210000}"/>
    <cellStyle name="Entrada 2 5 2 3 2" xfId="8586" xr:uid="{00000000-0005-0000-0000-000077210000}"/>
    <cellStyle name="Entrada 2 5 2 4" xfId="8587" xr:uid="{00000000-0005-0000-0000-000078210000}"/>
    <cellStyle name="Entrada 2 5 3" xfId="8588" xr:uid="{00000000-0005-0000-0000-000079210000}"/>
    <cellStyle name="Entrada 2 5 3 2" xfId="8589" xr:uid="{00000000-0005-0000-0000-00007A210000}"/>
    <cellStyle name="Entrada 2 5 3 2 2" xfId="8590" xr:uid="{00000000-0005-0000-0000-00007B210000}"/>
    <cellStyle name="Entrada 2 5 3 3" xfId="8591" xr:uid="{00000000-0005-0000-0000-00007C210000}"/>
    <cellStyle name="Entrada 2 5 4" xfId="8592" xr:uid="{00000000-0005-0000-0000-00007D210000}"/>
    <cellStyle name="Entrada 2 5 4 2" xfId="8593" xr:uid="{00000000-0005-0000-0000-00007E210000}"/>
    <cellStyle name="Entrada 2 5 5" xfId="8594" xr:uid="{00000000-0005-0000-0000-00007F210000}"/>
    <cellStyle name="Entrada 2 6" xfId="8595" xr:uid="{00000000-0005-0000-0000-000080210000}"/>
    <cellStyle name="Entrada 2 6 2" xfId="8596" xr:uid="{00000000-0005-0000-0000-000081210000}"/>
    <cellStyle name="Entrada 2 6 2 2" xfId="8597" xr:uid="{00000000-0005-0000-0000-000082210000}"/>
    <cellStyle name="Entrada 2 6 2 2 2" xfId="8598" xr:uid="{00000000-0005-0000-0000-000083210000}"/>
    <cellStyle name="Entrada 2 6 2 2 2 2" xfId="8599" xr:uid="{00000000-0005-0000-0000-000084210000}"/>
    <cellStyle name="Entrada 2 6 2 2 3" xfId="8600" xr:uid="{00000000-0005-0000-0000-000085210000}"/>
    <cellStyle name="Entrada 2 6 2 3" xfId="8601" xr:uid="{00000000-0005-0000-0000-000086210000}"/>
    <cellStyle name="Entrada 2 6 2 3 2" xfId="8602" xr:uid="{00000000-0005-0000-0000-000087210000}"/>
    <cellStyle name="Entrada 2 6 2 4" xfId="8603" xr:uid="{00000000-0005-0000-0000-000088210000}"/>
    <cellStyle name="Entrada 2 6 3" xfId="8604" xr:uid="{00000000-0005-0000-0000-000089210000}"/>
    <cellStyle name="Entrada 2 6 3 2" xfId="8605" xr:uid="{00000000-0005-0000-0000-00008A210000}"/>
    <cellStyle name="Entrada 2 6 3 2 2" xfId="8606" xr:uid="{00000000-0005-0000-0000-00008B210000}"/>
    <cellStyle name="Entrada 2 6 3 3" xfId="8607" xr:uid="{00000000-0005-0000-0000-00008C210000}"/>
    <cellStyle name="Entrada 2 6 4" xfId="8608" xr:uid="{00000000-0005-0000-0000-00008D210000}"/>
    <cellStyle name="Entrada 2 6 4 2" xfId="8609" xr:uid="{00000000-0005-0000-0000-00008E210000}"/>
    <cellStyle name="Entrada 2 6 5" xfId="8610" xr:uid="{00000000-0005-0000-0000-00008F210000}"/>
    <cellStyle name="Entrada 2 7" xfId="8611" xr:uid="{00000000-0005-0000-0000-000090210000}"/>
    <cellStyle name="Entrada 2 7 2" xfId="8612" xr:uid="{00000000-0005-0000-0000-000091210000}"/>
    <cellStyle name="Entrada 2 7 2 2" xfId="8613" xr:uid="{00000000-0005-0000-0000-000092210000}"/>
    <cellStyle name="Entrada 2 7 2 2 2" xfId="8614" xr:uid="{00000000-0005-0000-0000-000093210000}"/>
    <cellStyle name="Entrada 2 7 2 3" xfId="8615" xr:uid="{00000000-0005-0000-0000-000094210000}"/>
    <cellStyle name="Entrada 2 7 3" xfId="8616" xr:uid="{00000000-0005-0000-0000-000095210000}"/>
    <cellStyle name="Entrada 2 7 3 2" xfId="8617" xr:uid="{00000000-0005-0000-0000-000096210000}"/>
    <cellStyle name="Entrada 2 7 4" xfId="8618" xr:uid="{00000000-0005-0000-0000-000097210000}"/>
    <cellStyle name="Entrada 2 8" xfId="8619" xr:uid="{00000000-0005-0000-0000-000098210000}"/>
    <cellStyle name="Entrada 2 8 2" xfId="8620" xr:uid="{00000000-0005-0000-0000-000099210000}"/>
    <cellStyle name="Entrada 2 8 2 2" xfId="8621" xr:uid="{00000000-0005-0000-0000-00009A210000}"/>
    <cellStyle name="Entrada 2 8 3" xfId="8622" xr:uid="{00000000-0005-0000-0000-00009B210000}"/>
    <cellStyle name="Entrada 2 9" xfId="8623" xr:uid="{00000000-0005-0000-0000-00009C210000}"/>
    <cellStyle name="Entrada 2 9 2" xfId="8624" xr:uid="{00000000-0005-0000-0000-00009D210000}"/>
    <cellStyle name="Entrada 20" xfId="8625" xr:uid="{00000000-0005-0000-0000-00009E210000}"/>
    <cellStyle name="Entrada 21" xfId="8626" xr:uid="{00000000-0005-0000-0000-00009F210000}"/>
    <cellStyle name="Entrada 22" xfId="8627" xr:uid="{00000000-0005-0000-0000-0000A0210000}"/>
    <cellStyle name="Entrada 23" xfId="8628" xr:uid="{00000000-0005-0000-0000-0000A1210000}"/>
    <cellStyle name="Entrada 24" xfId="8629" xr:uid="{00000000-0005-0000-0000-0000A2210000}"/>
    <cellStyle name="Entrada 25" xfId="8630" xr:uid="{00000000-0005-0000-0000-0000A3210000}"/>
    <cellStyle name="Entrada 26" xfId="8631" xr:uid="{00000000-0005-0000-0000-0000A4210000}"/>
    <cellStyle name="Entrada 27" xfId="8632" xr:uid="{00000000-0005-0000-0000-0000A5210000}"/>
    <cellStyle name="Entrada 28" xfId="8633" xr:uid="{00000000-0005-0000-0000-0000A6210000}"/>
    <cellStyle name="Entrada 29" xfId="8634" xr:uid="{00000000-0005-0000-0000-0000A7210000}"/>
    <cellStyle name="Entrada 3" xfId="8635" xr:uid="{00000000-0005-0000-0000-0000A8210000}"/>
    <cellStyle name="Entrada 30" xfId="8636" xr:uid="{00000000-0005-0000-0000-0000A9210000}"/>
    <cellStyle name="Entrada 31" xfId="8637" xr:uid="{00000000-0005-0000-0000-0000AA210000}"/>
    <cellStyle name="Entrada 32" xfId="8638" xr:uid="{00000000-0005-0000-0000-0000AB210000}"/>
    <cellStyle name="Entrada 33" xfId="8639" xr:uid="{00000000-0005-0000-0000-0000AC210000}"/>
    <cellStyle name="Entrada 34" xfId="8640" xr:uid="{00000000-0005-0000-0000-0000AD210000}"/>
    <cellStyle name="Entrada 35" xfId="8641" xr:uid="{00000000-0005-0000-0000-0000AE210000}"/>
    <cellStyle name="Entrada 36" xfId="8642" xr:uid="{00000000-0005-0000-0000-0000AF210000}"/>
    <cellStyle name="Entrada 37" xfId="8643" xr:uid="{00000000-0005-0000-0000-0000B0210000}"/>
    <cellStyle name="Entrada 38" xfId="8644" xr:uid="{00000000-0005-0000-0000-0000B1210000}"/>
    <cellStyle name="Entrada 39" xfId="8645" xr:uid="{00000000-0005-0000-0000-0000B2210000}"/>
    <cellStyle name="Entrada 4" xfId="8646" xr:uid="{00000000-0005-0000-0000-0000B3210000}"/>
    <cellStyle name="Entrada 40" xfId="8647" xr:uid="{00000000-0005-0000-0000-0000B4210000}"/>
    <cellStyle name="Entrada 5" xfId="8648" xr:uid="{00000000-0005-0000-0000-0000B5210000}"/>
    <cellStyle name="Entrada 6" xfId="8649" xr:uid="{00000000-0005-0000-0000-0000B6210000}"/>
    <cellStyle name="Entrada 7" xfId="8650" xr:uid="{00000000-0005-0000-0000-0000B7210000}"/>
    <cellStyle name="Entrada 8" xfId="8651" xr:uid="{00000000-0005-0000-0000-0000B8210000}"/>
    <cellStyle name="Entrada 9" xfId="8652" xr:uid="{00000000-0005-0000-0000-0000B9210000}"/>
    <cellStyle name="eps" xfId="8653" xr:uid="{00000000-0005-0000-0000-0000BA210000}"/>
    <cellStyle name="eps$" xfId="8654" xr:uid="{00000000-0005-0000-0000-0000BB210000}"/>
    <cellStyle name="eps$A" xfId="8655" xr:uid="{00000000-0005-0000-0000-0000BC210000}"/>
    <cellStyle name="eps$E" xfId="8656" xr:uid="{00000000-0005-0000-0000-0000BD210000}"/>
    <cellStyle name="eps_AVP" xfId="8657" xr:uid="{00000000-0005-0000-0000-0000BE210000}"/>
    <cellStyle name="epsA" xfId="8658" xr:uid="{00000000-0005-0000-0000-0000BF210000}"/>
    <cellStyle name="epsE" xfId="8659" xr:uid="{00000000-0005-0000-0000-0000C0210000}"/>
    <cellStyle name="Estilo 1" xfId="8660" xr:uid="{00000000-0005-0000-0000-0000C1210000}"/>
    <cellStyle name="Estilo 2" xfId="8661" xr:uid="{00000000-0005-0000-0000-0000C2210000}"/>
    <cellStyle name="Estilo 3" xfId="8662" xr:uid="{00000000-0005-0000-0000-0000C3210000}"/>
    <cellStyle name="Euro" xfId="8663" xr:uid="{00000000-0005-0000-0000-0000C4210000}"/>
    <cellStyle name="Euro 2" xfId="8664" xr:uid="{00000000-0005-0000-0000-0000C5210000}"/>
    <cellStyle name="Ex_MISTO" xfId="8665" xr:uid="{00000000-0005-0000-0000-0000C6210000}"/>
    <cellStyle name="ExchangeRatio" xfId="8666" xr:uid="{00000000-0005-0000-0000-0000C7210000}"/>
    <cellStyle name="ExchangeRatio 2" xfId="8667" xr:uid="{00000000-0005-0000-0000-0000C8210000}"/>
    <cellStyle name="ExchangeRatio 2 2" xfId="8668" xr:uid="{00000000-0005-0000-0000-0000C9210000}"/>
    <cellStyle name="ExchangeRatio 2 2 2" xfId="8669" xr:uid="{00000000-0005-0000-0000-0000CA210000}"/>
    <cellStyle name="ExchangeRatio 2 2 2 2" xfId="8670" xr:uid="{00000000-0005-0000-0000-0000CB210000}"/>
    <cellStyle name="ExchangeRatio 2 2 2 2 2" xfId="8671" xr:uid="{00000000-0005-0000-0000-0000CC210000}"/>
    <cellStyle name="ExchangeRatio 2 2 2 3" xfId="8672" xr:uid="{00000000-0005-0000-0000-0000CD210000}"/>
    <cellStyle name="ExchangeRatio 2 2 2 4" xfId="8673" xr:uid="{00000000-0005-0000-0000-0000CE210000}"/>
    <cellStyle name="ExchangeRatio 2 2 3" xfId="8674" xr:uid="{00000000-0005-0000-0000-0000CF210000}"/>
    <cellStyle name="ExchangeRatio 2 2 3 2" xfId="8675" xr:uid="{00000000-0005-0000-0000-0000D0210000}"/>
    <cellStyle name="ExchangeRatio 2 2 4" xfId="8676" xr:uid="{00000000-0005-0000-0000-0000D1210000}"/>
    <cellStyle name="ExchangeRatio 2 2 5" xfId="8677" xr:uid="{00000000-0005-0000-0000-0000D2210000}"/>
    <cellStyle name="ExchangeRatio 2 3" xfId="8678" xr:uid="{00000000-0005-0000-0000-0000D3210000}"/>
    <cellStyle name="ExchangeRatio 2 3 2" xfId="8679" xr:uid="{00000000-0005-0000-0000-0000D4210000}"/>
    <cellStyle name="ExchangeRatio 2 3 2 2" xfId="8680" xr:uid="{00000000-0005-0000-0000-0000D5210000}"/>
    <cellStyle name="ExchangeRatio 2 3 2 2 2" xfId="8681" xr:uid="{00000000-0005-0000-0000-0000D6210000}"/>
    <cellStyle name="ExchangeRatio 2 3 2 3" xfId="8682" xr:uid="{00000000-0005-0000-0000-0000D7210000}"/>
    <cellStyle name="ExchangeRatio 2 3 2 4" xfId="8683" xr:uid="{00000000-0005-0000-0000-0000D8210000}"/>
    <cellStyle name="ExchangeRatio 2 3 3" xfId="8684" xr:uid="{00000000-0005-0000-0000-0000D9210000}"/>
    <cellStyle name="ExchangeRatio 2 3 3 2" xfId="8685" xr:uid="{00000000-0005-0000-0000-0000DA210000}"/>
    <cellStyle name="ExchangeRatio 2 3 4" xfId="8686" xr:uid="{00000000-0005-0000-0000-0000DB210000}"/>
    <cellStyle name="ExchangeRatio 2 3 5" xfId="8687" xr:uid="{00000000-0005-0000-0000-0000DC210000}"/>
    <cellStyle name="ExchangeRatio 2 4" xfId="8688" xr:uid="{00000000-0005-0000-0000-0000DD210000}"/>
    <cellStyle name="ExchangeRatio 2 4 2" xfId="8689" xr:uid="{00000000-0005-0000-0000-0000DE210000}"/>
    <cellStyle name="ExchangeRatio 2 4 2 2" xfId="8690" xr:uid="{00000000-0005-0000-0000-0000DF210000}"/>
    <cellStyle name="ExchangeRatio 2 4 2 2 2" xfId="8691" xr:uid="{00000000-0005-0000-0000-0000E0210000}"/>
    <cellStyle name="ExchangeRatio 2 4 2 3" xfId="8692" xr:uid="{00000000-0005-0000-0000-0000E1210000}"/>
    <cellStyle name="ExchangeRatio 2 4 2 4" xfId="8693" xr:uid="{00000000-0005-0000-0000-0000E2210000}"/>
    <cellStyle name="ExchangeRatio 2 4 3" xfId="8694" xr:uid="{00000000-0005-0000-0000-0000E3210000}"/>
    <cellStyle name="ExchangeRatio 2 4 3 2" xfId="8695" xr:uid="{00000000-0005-0000-0000-0000E4210000}"/>
    <cellStyle name="ExchangeRatio 2 4 4" xfId="8696" xr:uid="{00000000-0005-0000-0000-0000E5210000}"/>
    <cellStyle name="ExchangeRatio 2 4 5" xfId="8697" xr:uid="{00000000-0005-0000-0000-0000E6210000}"/>
    <cellStyle name="ExchangeRatio 2 5" xfId="8698" xr:uid="{00000000-0005-0000-0000-0000E7210000}"/>
    <cellStyle name="ExchangeRatio 2 5 2" xfId="8699" xr:uid="{00000000-0005-0000-0000-0000E8210000}"/>
    <cellStyle name="ExchangeRatio 2 5 2 2" xfId="8700" xr:uid="{00000000-0005-0000-0000-0000E9210000}"/>
    <cellStyle name="ExchangeRatio 2 5 2 2 2" xfId="8701" xr:uid="{00000000-0005-0000-0000-0000EA210000}"/>
    <cellStyle name="ExchangeRatio 2 5 2 3" xfId="8702" xr:uid="{00000000-0005-0000-0000-0000EB210000}"/>
    <cellStyle name="ExchangeRatio 2 5 2 4" xfId="8703" xr:uid="{00000000-0005-0000-0000-0000EC210000}"/>
    <cellStyle name="ExchangeRatio 2 5 3" xfId="8704" xr:uid="{00000000-0005-0000-0000-0000ED210000}"/>
    <cellStyle name="ExchangeRatio 2 5 3 2" xfId="8705" xr:uid="{00000000-0005-0000-0000-0000EE210000}"/>
    <cellStyle name="ExchangeRatio 2 5 4" xfId="8706" xr:uid="{00000000-0005-0000-0000-0000EF210000}"/>
    <cellStyle name="ExchangeRatio 2 5 5" xfId="8707" xr:uid="{00000000-0005-0000-0000-0000F0210000}"/>
    <cellStyle name="ExchangeRatio 2 6" xfId="8708" xr:uid="{00000000-0005-0000-0000-0000F1210000}"/>
    <cellStyle name="ExchangeRatio 2 6 2" xfId="8709" xr:uid="{00000000-0005-0000-0000-0000F2210000}"/>
    <cellStyle name="ExchangeRatio 2 7" xfId="8710" xr:uid="{00000000-0005-0000-0000-0000F3210000}"/>
    <cellStyle name="ExchangeRatio 2 8" xfId="8711" xr:uid="{00000000-0005-0000-0000-0000F4210000}"/>
    <cellStyle name="ExchangeRatio 3" xfId="8712" xr:uid="{00000000-0005-0000-0000-0000F5210000}"/>
    <cellStyle name="ExchangeRatio 3 2" xfId="8713" xr:uid="{00000000-0005-0000-0000-0000F6210000}"/>
    <cellStyle name="ExchangeRatio 3 2 2" xfId="8714" xr:uid="{00000000-0005-0000-0000-0000F7210000}"/>
    <cellStyle name="ExchangeRatio 3 2 2 2" xfId="8715" xr:uid="{00000000-0005-0000-0000-0000F8210000}"/>
    <cellStyle name="ExchangeRatio 3 2 3" xfId="8716" xr:uid="{00000000-0005-0000-0000-0000F9210000}"/>
    <cellStyle name="ExchangeRatio 3 2 4" xfId="8717" xr:uid="{00000000-0005-0000-0000-0000FA210000}"/>
    <cellStyle name="ExchangeRatio 3 3" xfId="8718" xr:uid="{00000000-0005-0000-0000-0000FB210000}"/>
    <cellStyle name="ExchangeRatio 3 3 2" xfId="8719" xr:uid="{00000000-0005-0000-0000-0000FC210000}"/>
    <cellStyle name="ExchangeRatio 3 4" xfId="8720" xr:uid="{00000000-0005-0000-0000-0000FD210000}"/>
    <cellStyle name="ExchangeRatio 3 5" xfId="8721" xr:uid="{00000000-0005-0000-0000-0000FE210000}"/>
    <cellStyle name="ExchangeRatio 4" xfId="8722" xr:uid="{00000000-0005-0000-0000-0000FF210000}"/>
    <cellStyle name="ExchangeRatio 4 2" xfId="8723" xr:uid="{00000000-0005-0000-0000-000000220000}"/>
    <cellStyle name="ExchangeRatio 4 2 2" xfId="8724" xr:uid="{00000000-0005-0000-0000-000001220000}"/>
    <cellStyle name="ExchangeRatio 4 2 2 2" xfId="8725" xr:uid="{00000000-0005-0000-0000-000002220000}"/>
    <cellStyle name="ExchangeRatio 4 2 3" xfId="8726" xr:uid="{00000000-0005-0000-0000-000003220000}"/>
    <cellStyle name="ExchangeRatio 4 2 4" xfId="8727" xr:uid="{00000000-0005-0000-0000-000004220000}"/>
    <cellStyle name="ExchangeRatio 4 3" xfId="8728" xr:uid="{00000000-0005-0000-0000-000005220000}"/>
    <cellStyle name="ExchangeRatio 4 3 2" xfId="8729" xr:uid="{00000000-0005-0000-0000-000006220000}"/>
    <cellStyle name="ExchangeRatio 4 4" xfId="8730" xr:uid="{00000000-0005-0000-0000-000007220000}"/>
    <cellStyle name="ExchangeRatio 4 5" xfId="8731" xr:uid="{00000000-0005-0000-0000-000008220000}"/>
    <cellStyle name="ExchangeRatio 5" xfId="8732" xr:uid="{00000000-0005-0000-0000-000009220000}"/>
    <cellStyle name="ExchangeRatio 5 2" xfId="8733" xr:uid="{00000000-0005-0000-0000-00000A220000}"/>
    <cellStyle name="ExchangeRatio 5 2 2" xfId="8734" xr:uid="{00000000-0005-0000-0000-00000B220000}"/>
    <cellStyle name="ExchangeRatio 5 2 2 2" xfId="8735" xr:uid="{00000000-0005-0000-0000-00000C220000}"/>
    <cellStyle name="ExchangeRatio 5 2 3" xfId="8736" xr:uid="{00000000-0005-0000-0000-00000D220000}"/>
    <cellStyle name="ExchangeRatio 5 2 4" xfId="8737" xr:uid="{00000000-0005-0000-0000-00000E220000}"/>
    <cellStyle name="ExchangeRatio 5 3" xfId="8738" xr:uid="{00000000-0005-0000-0000-00000F220000}"/>
    <cellStyle name="ExchangeRatio 5 3 2" xfId="8739" xr:uid="{00000000-0005-0000-0000-000010220000}"/>
    <cellStyle name="ExchangeRatio 5 4" xfId="8740" xr:uid="{00000000-0005-0000-0000-000011220000}"/>
    <cellStyle name="ExchangeRatio 5 5" xfId="8741" xr:uid="{00000000-0005-0000-0000-000012220000}"/>
    <cellStyle name="ExchangeRatio 6" xfId="8742" xr:uid="{00000000-0005-0000-0000-000013220000}"/>
    <cellStyle name="ExchangeRatio 6 2" xfId="8743" xr:uid="{00000000-0005-0000-0000-000014220000}"/>
    <cellStyle name="ExchangeRatio 6 2 2" xfId="8744" xr:uid="{00000000-0005-0000-0000-000015220000}"/>
    <cellStyle name="ExchangeRatio 6 2 2 2" xfId="8745" xr:uid="{00000000-0005-0000-0000-000016220000}"/>
    <cellStyle name="ExchangeRatio 6 2 3" xfId="8746" xr:uid="{00000000-0005-0000-0000-000017220000}"/>
    <cellStyle name="ExchangeRatio 6 2 4" xfId="8747" xr:uid="{00000000-0005-0000-0000-000018220000}"/>
    <cellStyle name="ExchangeRatio 6 3" xfId="8748" xr:uid="{00000000-0005-0000-0000-000019220000}"/>
    <cellStyle name="ExchangeRatio 6 3 2" xfId="8749" xr:uid="{00000000-0005-0000-0000-00001A220000}"/>
    <cellStyle name="ExchangeRatio 6 4" xfId="8750" xr:uid="{00000000-0005-0000-0000-00001B220000}"/>
    <cellStyle name="ExchangeRatio 6 5" xfId="8751" xr:uid="{00000000-0005-0000-0000-00001C220000}"/>
    <cellStyle name="ExchangeRatio 7" xfId="8752" xr:uid="{00000000-0005-0000-0000-00001D220000}"/>
    <cellStyle name="ExchangeRatio 7 2" xfId="8753" xr:uid="{00000000-0005-0000-0000-00001E220000}"/>
    <cellStyle name="ExchangeRatio 8" xfId="8754" xr:uid="{00000000-0005-0000-0000-00001F220000}"/>
    <cellStyle name="ExchangeRatio 9" xfId="8755" xr:uid="{00000000-0005-0000-0000-000020220000}"/>
    <cellStyle name="Explanatory Text 2" xfId="8756" xr:uid="{00000000-0005-0000-0000-000021220000}"/>
    <cellStyle name="F2" xfId="8757" xr:uid="{00000000-0005-0000-0000-000022220000}"/>
    <cellStyle name="F3" xfId="8758" xr:uid="{00000000-0005-0000-0000-000023220000}"/>
    <cellStyle name="F4" xfId="8759" xr:uid="{00000000-0005-0000-0000-000024220000}"/>
    <cellStyle name="F5" xfId="8760" xr:uid="{00000000-0005-0000-0000-000025220000}"/>
    <cellStyle name="F6" xfId="8761" xr:uid="{00000000-0005-0000-0000-000026220000}"/>
    <cellStyle name="F7" xfId="8762" xr:uid="{00000000-0005-0000-0000-000027220000}"/>
    <cellStyle name="F8" xfId="8763" xr:uid="{00000000-0005-0000-0000-000028220000}"/>
    <cellStyle name="fa_column_header_bottom" xfId="43" xr:uid="{00000000-0005-0000-0000-000029220000}"/>
    <cellStyle name="fa_column_header_empty" xfId="16863" xr:uid="{877F75D8-33A9-4C6A-8EBC-396D5CA22697}"/>
    <cellStyle name="Fecha" xfId="8764" xr:uid="{00000000-0005-0000-0000-00002C220000}"/>
    <cellStyle name="Fig" xfId="8765" xr:uid="{00000000-0005-0000-0000-00002D220000}"/>
    <cellStyle name="Fijo" xfId="8766" xr:uid="{00000000-0005-0000-0000-00002E220000}"/>
    <cellStyle name="Financial" xfId="8767" xr:uid="{00000000-0005-0000-0000-00002F220000}"/>
    <cellStyle name="Financier0" xfId="8768" xr:uid="{00000000-0005-0000-0000-000030220000}"/>
    <cellStyle name="Financiero" xfId="8769" xr:uid="{00000000-0005-0000-0000-000031220000}"/>
    <cellStyle name="Finanční0" xfId="8770" xr:uid="{00000000-0005-0000-0000-000032220000}"/>
    <cellStyle name="Fixed" xfId="8771" xr:uid="{00000000-0005-0000-0000-000033220000}"/>
    <cellStyle name="Fixed [0]" xfId="8772" xr:uid="{00000000-0005-0000-0000-000034220000}"/>
    <cellStyle name="Fixed_Bioenergia_Model_259" xfId="8773" xr:uid="{00000000-0005-0000-0000-000035220000}"/>
    <cellStyle name="Fixlong" xfId="8774" xr:uid="{00000000-0005-0000-0000-000036220000}"/>
    <cellStyle name="Footnote" xfId="8775" xr:uid="{00000000-0005-0000-0000-000037220000}"/>
    <cellStyle name="footnote2" xfId="8776" xr:uid="{00000000-0005-0000-0000-000038220000}"/>
    <cellStyle name="Footnotes" xfId="8777" xr:uid="{00000000-0005-0000-0000-000039220000}"/>
    <cellStyle name="Formula" xfId="8778" xr:uid="{00000000-0005-0000-0000-00003A220000}"/>
    <cellStyle name="Formula 2" xfId="8779" xr:uid="{00000000-0005-0000-0000-00003B220000}"/>
    <cellStyle name="Formula 2 2" xfId="8780" xr:uid="{00000000-0005-0000-0000-00003C220000}"/>
    <cellStyle name="Formula 2 2 2" xfId="8781" xr:uid="{00000000-0005-0000-0000-00003D220000}"/>
    <cellStyle name="Formula 2 2 2 2" xfId="8782" xr:uid="{00000000-0005-0000-0000-00003E220000}"/>
    <cellStyle name="Formula 2 2 2 2 2" xfId="8783" xr:uid="{00000000-0005-0000-0000-00003F220000}"/>
    <cellStyle name="Formula 2 2 2 3" xfId="8784" xr:uid="{00000000-0005-0000-0000-000040220000}"/>
    <cellStyle name="Formula 2 2 2 4" xfId="8785" xr:uid="{00000000-0005-0000-0000-000041220000}"/>
    <cellStyle name="Formula 2 2 3" xfId="8786" xr:uid="{00000000-0005-0000-0000-000042220000}"/>
    <cellStyle name="Formula 2 2 3 2" xfId="8787" xr:uid="{00000000-0005-0000-0000-000043220000}"/>
    <cellStyle name="Formula 2 2 4" xfId="8788" xr:uid="{00000000-0005-0000-0000-000044220000}"/>
    <cellStyle name="Formula 2 2 5" xfId="8789" xr:uid="{00000000-0005-0000-0000-000045220000}"/>
    <cellStyle name="Formula 2 3" xfId="8790" xr:uid="{00000000-0005-0000-0000-000046220000}"/>
    <cellStyle name="Formula 2 3 2" xfId="8791" xr:uid="{00000000-0005-0000-0000-000047220000}"/>
    <cellStyle name="Formula 2 3 2 2" xfId="8792" xr:uid="{00000000-0005-0000-0000-000048220000}"/>
    <cellStyle name="Formula 2 3 2 2 2" xfId="8793" xr:uid="{00000000-0005-0000-0000-000049220000}"/>
    <cellStyle name="Formula 2 3 2 3" xfId="8794" xr:uid="{00000000-0005-0000-0000-00004A220000}"/>
    <cellStyle name="Formula 2 3 2 4" xfId="8795" xr:uid="{00000000-0005-0000-0000-00004B220000}"/>
    <cellStyle name="Formula 2 3 3" xfId="8796" xr:uid="{00000000-0005-0000-0000-00004C220000}"/>
    <cellStyle name="Formula 2 3 3 2" xfId="8797" xr:uid="{00000000-0005-0000-0000-00004D220000}"/>
    <cellStyle name="Formula 2 3 4" xfId="8798" xr:uid="{00000000-0005-0000-0000-00004E220000}"/>
    <cellStyle name="Formula 2 3 5" xfId="8799" xr:uid="{00000000-0005-0000-0000-00004F220000}"/>
    <cellStyle name="Formula 2 4" xfId="8800" xr:uid="{00000000-0005-0000-0000-000050220000}"/>
    <cellStyle name="Formula 2 4 2" xfId="8801" xr:uid="{00000000-0005-0000-0000-000051220000}"/>
    <cellStyle name="Formula 2 4 2 2" xfId="8802" xr:uid="{00000000-0005-0000-0000-000052220000}"/>
    <cellStyle name="Formula 2 4 2 2 2" xfId="8803" xr:uid="{00000000-0005-0000-0000-000053220000}"/>
    <cellStyle name="Formula 2 4 2 3" xfId="8804" xr:uid="{00000000-0005-0000-0000-000054220000}"/>
    <cellStyle name="Formula 2 4 2 4" xfId="8805" xr:uid="{00000000-0005-0000-0000-000055220000}"/>
    <cellStyle name="Formula 2 4 3" xfId="8806" xr:uid="{00000000-0005-0000-0000-000056220000}"/>
    <cellStyle name="Formula 2 4 3 2" xfId="8807" xr:uid="{00000000-0005-0000-0000-000057220000}"/>
    <cellStyle name="Formula 2 4 4" xfId="8808" xr:uid="{00000000-0005-0000-0000-000058220000}"/>
    <cellStyle name="Formula 2 4 5" xfId="8809" xr:uid="{00000000-0005-0000-0000-000059220000}"/>
    <cellStyle name="Formula 2 5" xfId="8810" xr:uid="{00000000-0005-0000-0000-00005A220000}"/>
    <cellStyle name="Formula 2 5 2" xfId="8811" xr:uid="{00000000-0005-0000-0000-00005B220000}"/>
    <cellStyle name="Formula 2 5 2 2" xfId="8812" xr:uid="{00000000-0005-0000-0000-00005C220000}"/>
    <cellStyle name="Formula 2 5 2 2 2" xfId="8813" xr:uid="{00000000-0005-0000-0000-00005D220000}"/>
    <cellStyle name="Formula 2 5 2 3" xfId="8814" xr:uid="{00000000-0005-0000-0000-00005E220000}"/>
    <cellStyle name="Formula 2 5 2 4" xfId="8815" xr:uid="{00000000-0005-0000-0000-00005F220000}"/>
    <cellStyle name="Formula 2 5 3" xfId="8816" xr:uid="{00000000-0005-0000-0000-000060220000}"/>
    <cellStyle name="Formula 2 5 3 2" xfId="8817" xr:uid="{00000000-0005-0000-0000-000061220000}"/>
    <cellStyle name="Formula 2 5 4" xfId="8818" xr:uid="{00000000-0005-0000-0000-000062220000}"/>
    <cellStyle name="Formula 2 5 5" xfId="8819" xr:uid="{00000000-0005-0000-0000-000063220000}"/>
    <cellStyle name="Formula 2 6" xfId="8820" xr:uid="{00000000-0005-0000-0000-000064220000}"/>
    <cellStyle name="Formula 2 6 2" xfId="8821" xr:uid="{00000000-0005-0000-0000-000065220000}"/>
    <cellStyle name="Formula 2 7" xfId="8822" xr:uid="{00000000-0005-0000-0000-000066220000}"/>
    <cellStyle name="Formula 2 8" xfId="8823" xr:uid="{00000000-0005-0000-0000-000067220000}"/>
    <cellStyle name="Formula 3" xfId="8824" xr:uid="{00000000-0005-0000-0000-000068220000}"/>
    <cellStyle name="Formula 3 2" xfId="8825" xr:uid="{00000000-0005-0000-0000-000069220000}"/>
    <cellStyle name="Formula 3 2 2" xfId="8826" xr:uid="{00000000-0005-0000-0000-00006A220000}"/>
    <cellStyle name="Formula 3 2 2 2" xfId="8827" xr:uid="{00000000-0005-0000-0000-00006B220000}"/>
    <cellStyle name="Formula 3 2 3" xfId="8828" xr:uid="{00000000-0005-0000-0000-00006C220000}"/>
    <cellStyle name="Formula 3 2 4" xfId="8829" xr:uid="{00000000-0005-0000-0000-00006D220000}"/>
    <cellStyle name="Formula 3 3" xfId="8830" xr:uid="{00000000-0005-0000-0000-00006E220000}"/>
    <cellStyle name="Formula 3 3 2" xfId="8831" xr:uid="{00000000-0005-0000-0000-00006F220000}"/>
    <cellStyle name="Formula 3 4" xfId="8832" xr:uid="{00000000-0005-0000-0000-000070220000}"/>
    <cellStyle name="Formula 3 5" xfId="8833" xr:uid="{00000000-0005-0000-0000-000071220000}"/>
    <cellStyle name="Formula 4" xfId="8834" xr:uid="{00000000-0005-0000-0000-000072220000}"/>
    <cellStyle name="Formula 4 2" xfId="8835" xr:uid="{00000000-0005-0000-0000-000073220000}"/>
    <cellStyle name="Formula 4 2 2" xfId="8836" xr:uid="{00000000-0005-0000-0000-000074220000}"/>
    <cellStyle name="Formula 4 2 2 2" xfId="8837" xr:uid="{00000000-0005-0000-0000-000075220000}"/>
    <cellStyle name="Formula 4 2 3" xfId="8838" xr:uid="{00000000-0005-0000-0000-000076220000}"/>
    <cellStyle name="Formula 4 2 4" xfId="8839" xr:uid="{00000000-0005-0000-0000-000077220000}"/>
    <cellStyle name="Formula 4 3" xfId="8840" xr:uid="{00000000-0005-0000-0000-000078220000}"/>
    <cellStyle name="Formula 4 3 2" xfId="8841" xr:uid="{00000000-0005-0000-0000-000079220000}"/>
    <cellStyle name="Formula 4 4" xfId="8842" xr:uid="{00000000-0005-0000-0000-00007A220000}"/>
    <cellStyle name="Formula 4 5" xfId="8843" xr:uid="{00000000-0005-0000-0000-00007B220000}"/>
    <cellStyle name="Formula 5" xfId="8844" xr:uid="{00000000-0005-0000-0000-00007C220000}"/>
    <cellStyle name="Formula 5 2" xfId="8845" xr:uid="{00000000-0005-0000-0000-00007D220000}"/>
    <cellStyle name="Formula 5 2 2" xfId="8846" xr:uid="{00000000-0005-0000-0000-00007E220000}"/>
    <cellStyle name="Formula 5 2 2 2" xfId="8847" xr:uid="{00000000-0005-0000-0000-00007F220000}"/>
    <cellStyle name="Formula 5 2 3" xfId="8848" xr:uid="{00000000-0005-0000-0000-000080220000}"/>
    <cellStyle name="Formula 5 2 4" xfId="8849" xr:uid="{00000000-0005-0000-0000-000081220000}"/>
    <cellStyle name="Formula 5 3" xfId="8850" xr:uid="{00000000-0005-0000-0000-000082220000}"/>
    <cellStyle name="Formula 5 3 2" xfId="8851" xr:uid="{00000000-0005-0000-0000-000083220000}"/>
    <cellStyle name="Formula 5 4" xfId="8852" xr:uid="{00000000-0005-0000-0000-000084220000}"/>
    <cellStyle name="Formula 5 5" xfId="8853" xr:uid="{00000000-0005-0000-0000-000085220000}"/>
    <cellStyle name="Formula 6" xfId="8854" xr:uid="{00000000-0005-0000-0000-000086220000}"/>
    <cellStyle name="Formula 6 2" xfId="8855" xr:uid="{00000000-0005-0000-0000-000087220000}"/>
    <cellStyle name="Formula 6 2 2" xfId="8856" xr:uid="{00000000-0005-0000-0000-000088220000}"/>
    <cellStyle name="Formula 6 2 2 2" xfId="8857" xr:uid="{00000000-0005-0000-0000-000089220000}"/>
    <cellStyle name="Formula 6 2 3" xfId="8858" xr:uid="{00000000-0005-0000-0000-00008A220000}"/>
    <cellStyle name="Formula 6 2 4" xfId="8859" xr:uid="{00000000-0005-0000-0000-00008B220000}"/>
    <cellStyle name="Formula 6 3" xfId="8860" xr:uid="{00000000-0005-0000-0000-00008C220000}"/>
    <cellStyle name="Formula 6 3 2" xfId="8861" xr:uid="{00000000-0005-0000-0000-00008D220000}"/>
    <cellStyle name="Formula 6 4" xfId="8862" xr:uid="{00000000-0005-0000-0000-00008E220000}"/>
    <cellStyle name="Formula 6 5" xfId="8863" xr:uid="{00000000-0005-0000-0000-00008F220000}"/>
    <cellStyle name="Formula 7" xfId="8864" xr:uid="{00000000-0005-0000-0000-000090220000}"/>
    <cellStyle name="Formula 7 2" xfId="8865" xr:uid="{00000000-0005-0000-0000-000091220000}"/>
    <cellStyle name="Formula 8" xfId="8866" xr:uid="{00000000-0005-0000-0000-000092220000}"/>
    <cellStyle name="Formula 9" xfId="8867" xr:uid="{00000000-0005-0000-0000-000093220000}"/>
    <cellStyle name="Formula10_azul" xfId="8868" xr:uid="{00000000-0005-0000-0000-000094220000}"/>
    <cellStyle name="fraction" xfId="8869" xr:uid="{00000000-0005-0000-0000-000095220000}"/>
    <cellStyle name="fy_eps$" xfId="8870" xr:uid="{00000000-0005-0000-0000-000096220000}"/>
    <cellStyle name="g_rate" xfId="8871" xr:uid="{00000000-0005-0000-0000-000097220000}"/>
    <cellStyle name="g_rate 2" xfId="8872" xr:uid="{00000000-0005-0000-0000-000098220000}"/>
    <cellStyle name="g_rate 2 2" xfId="8873" xr:uid="{00000000-0005-0000-0000-000099220000}"/>
    <cellStyle name="g_rate 2 2 2" xfId="8874" xr:uid="{00000000-0005-0000-0000-00009A220000}"/>
    <cellStyle name="g_rate 2 3" xfId="8875" xr:uid="{00000000-0005-0000-0000-00009B220000}"/>
    <cellStyle name="g_rate 3" xfId="8876" xr:uid="{00000000-0005-0000-0000-00009C220000}"/>
    <cellStyle name="g_rate 3 2" xfId="8877" xr:uid="{00000000-0005-0000-0000-00009D220000}"/>
    <cellStyle name="g_rate 4" xfId="8878" xr:uid="{00000000-0005-0000-0000-00009E220000}"/>
    <cellStyle name="g_rate_AVP" xfId="8879" xr:uid="{00000000-0005-0000-0000-00009F220000}"/>
    <cellStyle name="g_rate_AVP 2" xfId="8880" xr:uid="{00000000-0005-0000-0000-0000A0220000}"/>
    <cellStyle name="g_rate_AVP 2 2" xfId="8881" xr:uid="{00000000-0005-0000-0000-0000A1220000}"/>
    <cellStyle name="g_rate_AVP 2 2 2" xfId="8882" xr:uid="{00000000-0005-0000-0000-0000A2220000}"/>
    <cellStyle name="g_rate_AVP 2 3" xfId="8883" xr:uid="{00000000-0005-0000-0000-0000A3220000}"/>
    <cellStyle name="g_rate_AVP 3" xfId="8884" xr:uid="{00000000-0005-0000-0000-0000A4220000}"/>
    <cellStyle name="g_rate_AVP 3 2" xfId="8885" xr:uid="{00000000-0005-0000-0000-0000A5220000}"/>
    <cellStyle name="g_rate_AVP 4" xfId="8886" xr:uid="{00000000-0005-0000-0000-0000A6220000}"/>
    <cellStyle name="g_rate_AVP_Graphic Depiction - NO DEV" xfId="8887" xr:uid="{00000000-0005-0000-0000-0000A7220000}"/>
    <cellStyle name="g_rate_AVP_Graphic Depiction - NO DEV 2" xfId="8888" xr:uid="{00000000-0005-0000-0000-0000A8220000}"/>
    <cellStyle name="g_rate_AVP_Graphic Depiction - NO DEV 2 2" xfId="8889" xr:uid="{00000000-0005-0000-0000-0000A9220000}"/>
    <cellStyle name="g_rate_AVP_Graphic Depiction - NO DEV 2 2 2" xfId="8890" xr:uid="{00000000-0005-0000-0000-0000AA220000}"/>
    <cellStyle name="g_rate_AVP_Graphic Depiction - NO DEV 2 3" xfId="8891" xr:uid="{00000000-0005-0000-0000-0000AB220000}"/>
    <cellStyle name="g_rate_AVP_Graphic Depiction - NO DEV 3" xfId="8892" xr:uid="{00000000-0005-0000-0000-0000AC220000}"/>
    <cellStyle name="g_rate_AVP_Graphic Depiction - NO DEV 3 2" xfId="8893" xr:uid="{00000000-0005-0000-0000-0000AD220000}"/>
    <cellStyle name="g_rate_AVP_Graphic Depiction - NO DEV 4" xfId="8894" xr:uid="{00000000-0005-0000-0000-0000AE220000}"/>
    <cellStyle name="g_rate_AVP_Graphic Depiction - NO DEV_HRT O&amp;G" xfId="8895" xr:uid="{00000000-0005-0000-0000-0000AF220000}"/>
    <cellStyle name="g_rate_AVP_Graphic Depiction - NO DEV_HRT O&amp;G 2" xfId="8896" xr:uid="{00000000-0005-0000-0000-0000B0220000}"/>
    <cellStyle name="g_rate_AVP_Graphic Depiction - NO DEV_HRT O&amp;G 2 2" xfId="8897" xr:uid="{00000000-0005-0000-0000-0000B1220000}"/>
    <cellStyle name="g_rate_AVP_Graphic Depiction - NO DEV_HRT O&amp;G 3" xfId="8898" xr:uid="{00000000-0005-0000-0000-0000B2220000}"/>
    <cellStyle name="g_rate_AVP_HRT O&amp;G" xfId="8899" xr:uid="{00000000-0005-0000-0000-0000B3220000}"/>
    <cellStyle name="g_rate_AVP_HRT O&amp;G 2" xfId="8900" xr:uid="{00000000-0005-0000-0000-0000B4220000}"/>
    <cellStyle name="g_rate_AVP_HRT O&amp;G 2 2" xfId="8901" xr:uid="{00000000-0005-0000-0000-0000B5220000}"/>
    <cellStyle name="g_rate_AVP_HRT O&amp;G 3" xfId="8902" xr:uid="{00000000-0005-0000-0000-0000B6220000}"/>
    <cellStyle name="g_rate_AVP_THEsumPage (2)" xfId="8903" xr:uid="{00000000-0005-0000-0000-0000B7220000}"/>
    <cellStyle name="g_rate_AVP_THEsumPage (2) 2" xfId="8904" xr:uid="{00000000-0005-0000-0000-0000B8220000}"/>
    <cellStyle name="g_rate_AVP_THEsumPage (2) 2 2" xfId="8905" xr:uid="{00000000-0005-0000-0000-0000B9220000}"/>
    <cellStyle name="g_rate_AVP_THEsumPage (2) 2 2 2" xfId="8906" xr:uid="{00000000-0005-0000-0000-0000BA220000}"/>
    <cellStyle name="g_rate_AVP_THEsumPage (2) 2 3" xfId="8907" xr:uid="{00000000-0005-0000-0000-0000BB220000}"/>
    <cellStyle name="g_rate_AVP_THEsumPage (2) 3" xfId="8908" xr:uid="{00000000-0005-0000-0000-0000BC220000}"/>
    <cellStyle name="g_rate_AVP_THEsumPage (2) 3 2" xfId="8909" xr:uid="{00000000-0005-0000-0000-0000BD220000}"/>
    <cellStyle name="g_rate_AVP_THEsumPage (2) 4" xfId="8910" xr:uid="{00000000-0005-0000-0000-0000BE220000}"/>
    <cellStyle name="g_rate_AVP_THEsumPage (2)_HRT O&amp;G" xfId="8911" xr:uid="{00000000-0005-0000-0000-0000BF220000}"/>
    <cellStyle name="g_rate_AVP_THEsumPage (2)_HRT O&amp;G 2" xfId="8912" xr:uid="{00000000-0005-0000-0000-0000C0220000}"/>
    <cellStyle name="g_rate_AVP_THEsumPage (2)_HRT O&amp;G 2 2" xfId="8913" xr:uid="{00000000-0005-0000-0000-0000C1220000}"/>
    <cellStyle name="g_rate_AVP_THEsumPage (2)_HRT O&amp;G 3" xfId="8914" xr:uid="{00000000-0005-0000-0000-0000C2220000}"/>
    <cellStyle name="g_rate_CompSheet" xfId="8915" xr:uid="{00000000-0005-0000-0000-0000C3220000}"/>
    <cellStyle name="g_rate_CompSheet 2" xfId="8916" xr:uid="{00000000-0005-0000-0000-0000C4220000}"/>
    <cellStyle name="g_rate_CompSheet 2 2" xfId="8917" xr:uid="{00000000-0005-0000-0000-0000C5220000}"/>
    <cellStyle name="g_rate_CompSheet 2 2 2" xfId="8918" xr:uid="{00000000-0005-0000-0000-0000C6220000}"/>
    <cellStyle name="g_rate_CompSheet 2 3" xfId="8919" xr:uid="{00000000-0005-0000-0000-0000C7220000}"/>
    <cellStyle name="g_rate_CompSheet 3" xfId="8920" xr:uid="{00000000-0005-0000-0000-0000C8220000}"/>
    <cellStyle name="g_rate_CompSheet 3 2" xfId="8921" xr:uid="{00000000-0005-0000-0000-0000C9220000}"/>
    <cellStyle name="g_rate_CompSheet 4" xfId="8922" xr:uid="{00000000-0005-0000-0000-0000CA220000}"/>
    <cellStyle name="g_rate_CompSheet_HRT O&amp;G" xfId="8923" xr:uid="{00000000-0005-0000-0000-0000CB220000}"/>
    <cellStyle name="g_rate_CompSheet_HRT O&amp;G 2" xfId="8924" xr:uid="{00000000-0005-0000-0000-0000CC220000}"/>
    <cellStyle name="g_rate_CompSheet_HRT O&amp;G 2 2" xfId="8925" xr:uid="{00000000-0005-0000-0000-0000CD220000}"/>
    <cellStyle name="g_rate_CompSheet_HRT O&amp;G 3" xfId="8926" xr:uid="{00000000-0005-0000-0000-0000CE220000}"/>
    <cellStyle name="g_rate_Disc Analysis" xfId="8927" xr:uid="{00000000-0005-0000-0000-0000CF220000}"/>
    <cellStyle name="g_rate_Disc Analysis 2" xfId="8928" xr:uid="{00000000-0005-0000-0000-0000D0220000}"/>
    <cellStyle name="g_rate_Disc Analysis 2 2" xfId="8929" xr:uid="{00000000-0005-0000-0000-0000D1220000}"/>
    <cellStyle name="g_rate_Disc Analysis 2 2 2" xfId="8930" xr:uid="{00000000-0005-0000-0000-0000D2220000}"/>
    <cellStyle name="g_rate_Disc Analysis 2 3" xfId="8931" xr:uid="{00000000-0005-0000-0000-0000D3220000}"/>
    <cellStyle name="g_rate_Disc Analysis 3" xfId="8932" xr:uid="{00000000-0005-0000-0000-0000D4220000}"/>
    <cellStyle name="g_rate_Disc Analysis 3 2" xfId="8933" xr:uid="{00000000-0005-0000-0000-0000D5220000}"/>
    <cellStyle name="g_rate_Disc Analysis 4" xfId="8934" xr:uid="{00000000-0005-0000-0000-0000D6220000}"/>
    <cellStyle name="g_rate_Disc Analysis_CompSheet" xfId="8935" xr:uid="{00000000-0005-0000-0000-0000D7220000}"/>
    <cellStyle name="g_rate_Disc Analysis_CompSheet 2" xfId="8936" xr:uid="{00000000-0005-0000-0000-0000D8220000}"/>
    <cellStyle name="g_rate_Disc Analysis_CompSheet 2 2" xfId="8937" xr:uid="{00000000-0005-0000-0000-0000D9220000}"/>
    <cellStyle name="g_rate_Disc Analysis_CompSheet 2 2 2" xfId="8938" xr:uid="{00000000-0005-0000-0000-0000DA220000}"/>
    <cellStyle name="g_rate_Disc Analysis_CompSheet 2 3" xfId="8939" xr:uid="{00000000-0005-0000-0000-0000DB220000}"/>
    <cellStyle name="g_rate_Disc Analysis_CompSheet 3" xfId="8940" xr:uid="{00000000-0005-0000-0000-0000DC220000}"/>
    <cellStyle name="g_rate_Disc Analysis_CompSheet 3 2" xfId="8941" xr:uid="{00000000-0005-0000-0000-0000DD220000}"/>
    <cellStyle name="g_rate_Disc Analysis_CompSheet 4" xfId="8942" xr:uid="{00000000-0005-0000-0000-0000DE220000}"/>
    <cellStyle name="g_rate_Disc Analysis_CompSheet_HRT O&amp;G" xfId="8943" xr:uid="{00000000-0005-0000-0000-0000DF220000}"/>
    <cellStyle name="g_rate_Disc Analysis_CompSheet_HRT O&amp;G 2" xfId="8944" xr:uid="{00000000-0005-0000-0000-0000E0220000}"/>
    <cellStyle name="g_rate_Disc Analysis_CompSheet_HRT O&amp;G 2 2" xfId="8945" xr:uid="{00000000-0005-0000-0000-0000E1220000}"/>
    <cellStyle name="g_rate_Disc Analysis_CompSheet_HRT O&amp;G 3" xfId="8946" xr:uid="{00000000-0005-0000-0000-0000E2220000}"/>
    <cellStyle name="g_rate_Disc Analysis_HRT O&amp;G" xfId="8947" xr:uid="{00000000-0005-0000-0000-0000E3220000}"/>
    <cellStyle name="g_rate_Disc Analysis_HRT O&amp;G 2" xfId="8948" xr:uid="{00000000-0005-0000-0000-0000E4220000}"/>
    <cellStyle name="g_rate_Disc Analysis_HRT O&amp;G 2 2" xfId="8949" xr:uid="{00000000-0005-0000-0000-0000E5220000}"/>
    <cellStyle name="g_rate_Disc Analysis_HRT O&amp;G 3" xfId="8950" xr:uid="{00000000-0005-0000-0000-0000E6220000}"/>
    <cellStyle name="g_rate_Disc Analysis_THEsumPage (2)" xfId="8951" xr:uid="{00000000-0005-0000-0000-0000E7220000}"/>
    <cellStyle name="g_rate_Disc Analysis_THEsumPage (2) 2" xfId="8952" xr:uid="{00000000-0005-0000-0000-0000E8220000}"/>
    <cellStyle name="g_rate_Disc Analysis_THEsumPage (2) 2 2" xfId="8953" xr:uid="{00000000-0005-0000-0000-0000E9220000}"/>
    <cellStyle name="g_rate_Disc Analysis_THEsumPage (2) 2 2 2" xfId="8954" xr:uid="{00000000-0005-0000-0000-0000EA220000}"/>
    <cellStyle name="g_rate_Disc Analysis_THEsumPage (2) 2 3" xfId="8955" xr:uid="{00000000-0005-0000-0000-0000EB220000}"/>
    <cellStyle name="g_rate_Disc Analysis_THEsumPage (2) 3" xfId="8956" xr:uid="{00000000-0005-0000-0000-0000EC220000}"/>
    <cellStyle name="g_rate_Disc Analysis_THEsumPage (2) 3 2" xfId="8957" xr:uid="{00000000-0005-0000-0000-0000ED220000}"/>
    <cellStyle name="g_rate_Disc Analysis_THEsumPage (2) 4" xfId="8958" xr:uid="{00000000-0005-0000-0000-0000EE220000}"/>
    <cellStyle name="g_rate_Disc Analysis_THEsumPage (2)_HRT O&amp;G" xfId="8959" xr:uid="{00000000-0005-0000-0000-0000EF220000}"/>
    <cellStyle name="g_rate_Disc Analysis_THEsumPage (2)_HRT O&amp;G 2" xfId="8960" xr:uid="{00000000-0005-0000-0000-0000F0220000}"/>
    <cellStyle name="g_rate_Disc Analysis_THEsumPage (2)_HRT O&amp;G 2 2" xfId="8961" xr:uid="{00000000-0005-0000-0000-0000F1220000}"/>
    <cellStyle name="g_rate_Disc Analysis_THEsumPage (2)_HRT O&amp;G 3" xfId="8962" xr:uid="{00000000-0005-0000-0000-0000F2220000}"/>
    <cellStyle name="g_rate_Fairness Opinion Valuation 4-23a.xls Chart 1" xfId="8963" xr:uid="{00000000-0005-0000-0000-0000F3220000}"/>
    <cellStyle name="g_rate_Fairness Opinion Valuation 4-23a.xls Chart 1 2" xfId="8964" xr:uid="{00000000-0005-0000-0000-0000F4220000}"/>
    <cellStyle name="g_rate_Fairness Opinion Valuation 4-23a.xls Chart 1 2 2" xfId="8965" xr:uid="{00000000-0005-0000-0000-0000F5220000}"/>
    <cellStyle name="g_rate_Fairness Opinion Valuation 4-23a.xls Chart 1 2 2 2" xfId="8966" xr:uid="{00000000-0005-0000-0000-0000F6220000}"/>
    <cellStyle name="g_rate_Fairness Opinion Valuation 4-23a.xls Chart 1 2 3" xfId="8967" xr:uid="{00000000-0005-0000-0000-0000F7220000}"/>
    <cellStyle name="g_rate_Fairness Opinion Valuation 4-23a.xls Chart 1 3" xfId="8968" xr:uid="{00000000-0005-0000-0000-0000F8220000}"/>
    <cellStyle name="g_rate_Fairness Opinion Valuation 4-23a.xls Chart 1 3 2" xfId="8969" xr:uid="{00000000-0005-0000-0000-0000F9220000}"/>
    <cellStyle name="g_rate_Fairness Opinion Valuation 4-23a.xls Chart 1 4" xfId="8970" xr:uid="{00000000-0005-0000-0000-0000FA220000}"/>
    <cellStyle name="g_rate_Fairness Opinion Valuation 4-23a.xls Chart 1_HRT O&amp;G" xfId="8971" xr:uid="{00000000-0005-0000-0000-0000FB220000}"/>
    <cellStyle name="g_rate_Fairness Opinion Valuation 4-23a.xls Chart 1_HRT O&amp;G 2" xfId="8972" xr:uid="{00000000-0005-0000-0000-0000FC220000}"/>
    <cellStyle name="g_rate_Fairness Opinion Valuation 4-23a.xls Chart 1_HRT O&amp;G 2 2" xfId="8973" xr:uid="{00000000-0005-0000-0000-0000FD220000}"/>
    <cellStyle name="g_rate_Fairness Opinion Valuation 4-23a.xls Chart 1_HRT O&amp;G 3" xfId="8974" xr:uid="{00000000-0005-0000-0000-0000FE220000}"/>
    <cellStyle name="g_rate_HRT O&amp;G" xfId="8975" xr:uid="{00000000-0005-0000-0000-0000FF220000}"/>
    <cellStyle name="g_rate_HRT O&amp;G 2" xfId="8976" xr:uid="{00000000-0005-0000-0000-000000230000}"/>
    <cellStyle name="g_rate_HRT O&amp;G 2 2" xfId="8977" xr:uid="{00000000-0005-0000-0000-000001230000}"/>
    <cellStyle name="g_rate_HRT O&amp;G 3" xfId="8978" xr:uid="{00000000-0005-0000-0000-000002230000}"/>
    <cellStyle name="g_rate_LP Chart" xfId="8979" xr:uid="{00000000-0005-0000-0000-000003230000}"/>
    <cellStyle name="g_rate_LP Chart 2" xfId="8980" xr:uid="{00000000-0005-0000-0000-000004230000}"/>
    <cellStyle name="g_rate_LP Chart 2 2" xfId="8981" xr:uid="{00000000-0005-0000-0000-000005230000}"/>
    <cellStyle name="g_rate_LP Chart 2 2 2" xfId="8982" xr:uid="{00000000-0005-0000-0000-000006230000}"/>
    <cellStyle name="g_rate_LP Chart 2 3" xfId="8983" xr:uid="{00000000-0005-0000-0000-000007230000}"/>
    <cellStyle name="g_rate_LP Chart 3" xfId="8984" xr:uid="{00000000-0005-0000-0000-000008230000}"/>
    <cellStyle name="g_rate_LP Chart 3 2" xfId="8985" xr:uid="{00000000-0005-0000-0000-000009230000}"/>
    <cellStyle name="g_rate_LP Chart 4" xfId="8986" xr:uid="{00000000-0005-0000-0000-00000A230000}"/>
    <cellStyle name="g_rate_LP Chart_HRT O&amp;G" xfId="8987" xr:uid="{00000000-0005-0000-0000-00000B230000}"/>
    <cellStyle name="g_rate_LP Chart_HRT O&amp;G 2" xfId="8988" xr:uid="{00000000-0005-0000-0000-00000C230000}"/>
    <cellStyle name="g_rate_LP Chart_HRT O&amp;G 2 2" xfId="8989" xr:uid="{00000000-0005-0000-0000-00000D230000}"/>
    <cellStyle name="g_rate_LP Chart_HRT O&amp;G 3" xfId="8990" xr:uid="{00000000-0005-0000-0000-00000E230000}"/>
    <cellStyle name="g_rate_LP Chart_THEsumPage (2)" xfId="8991" xr:uid="{00000000-0005-0000-0000-00000F230000}"/>
    <cellStyle name="g_rate_LP Chart_THEsumPage (2) 2" xfId="8992" xr:uid="{00000000-0005-0000-0000-000010230000}"/>
    <cellStyle name="g_rate_LP Chart_THEsumPage (2) 2 2" xfId="8993" xr:uid="{00000000-0005-0000-0000-000011230000}"/>
    <cellStyle name="g_rate_LP Chart_THEsumPage (2) 2 2 2" xfId="8994" xr:uid="{00000000-0005-0000-0000-000012230000}"/>
    <cellStyle name="g_rate_LP Chart_THEsumPage (2) 2 3" xfId="8995" xr:uid="{00000000-0005-0000-0000-000013230000}"/>
    <cellStyle name="g_rate_LP Chart_THEsumPage (2) 3" xfId="8996" xr:uid="{00000000-0005-0000-0000-000014230000}"/>
    <cellStyle name="g_rate_LP Chart_THEsumPage (2) 3 2" xfId="8997" xr:uid="{00000000-0005-0000-0000-000015230000}"/>
    <cellStyle name="g_rate_LP Chart_THEsumPage (2) 4" xfId="8998" xr:uid="{00000000-0005-0000-0000-000016230000}"/>
    <cellStyle name="g_rate_LP Chart_THEsumPage (2)_HRT O&amp;G" xfId="8999" xr:uid="{00000000-0005-0000-0000-000017230000}"/>
    <cellStyle name="g_rate_LP Chart_THEsumPage (2)_HRT O&amp;G 2" xfId="9000" xr:uid="{00000000-0005-0000-0000-000018230000}"/>
    <cellStyle name="g_rate_LP Chart_THEsumPage (2)_HRT O&amp;G 2 2" xfId="9001" xr:uid="{00000000-0005-0000-0000-000019230000}"/>
    <cellStyle name="g_rate_LP Chart_THEsumPage (2)_HRT O&amp;G 3" xfId="9002" xr:uid="{00000000-0005-0000-0000-00001A230000}"/>
    <cellStyle name="g_rate_Merg Cons" xfId="9003" xr:uid="{00000000-0005-0000-0000-00001B230000}"/>
    <cellStyle name="g_rate_Merg Cons 2" xfId="9004" xr:uid="{00000000-0005-0000-0000-00001C230000}"/>
    <cellStyle name="g_rate_Merg Cons 2 2" xfId="9005" xr:uid="{00000000-0005-0000-0000-00001D230000}"/>
    <cellStyle name="g_rate_Merg Cons 2 2 2" xfId="9006" xr:uid="{00000000-0005-0000-0000-00001E230000}"/>
    <cellStyle name="g_rate_Merg Cons 2 3" xfId="9007" xr:uid="{00000000-0005-0000-0000-00001F230000}"/>
    <cellStyle name="g_rate_Merg Cons 3" xfId="9008" xr:uid="{00000000-0005-0000-0000-000020230000}"/>
    <cellStyle name="g_rate_Merg Cons 3 2" xfId="9009" xr:uid="{00000000-0005-0000-0000-000021230000}"/>
    <cellStyle name="g_rate_Merg Cons 4" xfId="9010" xr:uid="{00000000-0005-0000-0000-000022230000}"/>
    <cellStyle name="g_rate_Merg Cons_CompSheet" xfId="9011" xr:uid="{00000000-0005-0000-0000-000023230000}"/>
    <cellStyle name="g_rate_Merg Cons_CompSheet 2" xfId="9012" xr:uid="{00000000-0005-0000-0000-000024230000}"/>
    <cellStyle name="g_rate_Merg Cons_CompSheet 2 2" xfId="9013" xr:uid="{00000000-0005-0000-0000-000025230000}"/>
    <cellStyle name="g_rate_Merg Cons_CompSheet 2 2 2" xfId="9014" xr:uid="{00000000-0005-0000-0000-000026230000}"/>
    <cellStyle name="g_rate_Merg Cons_CompSheet 2 3" xfId="9015" xr:uid="{00000000-0005-0000-0000-000027230000}"/>
    <cellStyle name="g_rate_Merg Cons_CompSheet 3" xfId="9016" xr:uid="{00000000-0005-0000-0000-000028230000}"/>
    <cellStyle name="g_rate_Merg Cons_CompSheet 3 2" xfId="9017" xr:uid="{00000000-0005-0000-0000-000029230000}"/>
    <cellStyle name="g_rate_Merg Cons_CompSheet 4" xfId="9018" xr:uid="{00000000-0005-0000-0000-00002A230000}"/>
    <cellStyle name="g_rate_Merg Cons_CompSheet_HRT O&amp;G" xfId="9019" xr:uid="{00000000-0005-0000-0000-00002B230000}"/>
    <cellStyle name="g_rate_Merg Cons_CompSheet_HRT O&amp;G 2" xfId="9020" xr:uid="{00000000-0005-0000-0000-00002C230000}"/>
    <cellStyle name="g_rate_Merg Cons_CompSheet_HRT O&amp;G 2 2" xfId="9021" xr:uid="{00000000-0005-0000-0000-00002D230000}"/>
    <cellStyle name="g_rate_Merg Cons_CompSheet_HRT O&amp;G 3" xfId="9022" xr:uid="{00000000-0005-0000-0000-00002E230000}"/>
    <cellStyle name="g_rate_Merg Cons_HRT O&amp;G" xfId="9023" xr:uid="{00000000-0005-0000-0000-00002F230000}"/>
    <cellStyle name="g_rate_Merg Cons_HRT O&amp;G 2" xfId="9024" xr:uid="{00000000-0005-0000-0000-000030230000}"/>
    <cellStyle name="g_rate_Merg Cons_HRT O&amp;G 2 2" xfId="9025" xr:uid="{00000000-0005-0000-0000-000031230000}"/>
    <cellStyle name="g_rate_Merg Cons_HRT O&amp;G 3" xfId="9026" xr:uid="{00000000-0005-0000-0000-000032230000}"/>
    <cellStyle name="g_rate_Merg Cons_THEsumPage (2)" xfId="9027" xr:uid="{00000000-0005-0000-0000-000033230000}"/>
    <cellStyle name="g_rate_Merg Cons_THEsumPage (2) 2" xfId="9028" xr:uid="{00000000-0005-0000-0000-000034230000}"/>
    <cellStyle name="g_rate_Merg Cons_THEsumPage (2) 2 2" xfId="9029" xr:uid="{00000000-0005-0000-0000-000035230000}"/>
    <cellStyle name="g_rate_Merg Cons_THEsumPage (2) 2 2 2" xfId="9030" xr:uid="{00000000-0005-0000-0000-000036230000}"/>
    <cellStyle name="g_rate_Merg Cons_THEsumPage (2) 2 3" xfId="9031" xr:uid="{00000000-0005-0000-0000-000037230000}"/>
    <cellStyle name="g_rate_Merg Cons_THEsumPage (2) 3" xfId="9032" xr:uid="{00000000-0005-0000-0000-000038230000}"/>
    <cellStyle name="g_rate_Merg Cons_THEsumPage (2) 3 2" xfId="9033" xr:uid="{00000000-0005-0000-0000-000039230000}"/>
    <cellStyle name="g_rate_Merg Cons_THEsumPage (2) 4" xfId="9034" xr:uid="{00000000-0005-0000-0000-00003A230000}"/>
    <cellStyle name="g_rate_Merg Cons_THEsumPage (2)_HRT O&amp;G" xfId="9035" xr:uid="{00000000-0005-0000-0000-00003B230000}"/>
    <cellStyle name="g_rate_Merg Cons_THEsumPage (2)_HRT O&amp;G 2" xfId="9036" xr:uid="{00000000-0005-0000-0000-00003C230000}"/>
    <cellStyle name="g_rate_Merg Cons_THEsumPage (2)_HRT O&amp;G 2 2" xfId="9037" xr:uid="{00000000-0005-0000-0000-00003D230000}"/>
    <cellStyle name="g_rate_Merg Cons_THEsumPage (2)_HRT O&amp;G 3" xfId="9038" xr:uid="{00000000-0005-0000-0000-00003E230000}"/>
    <cellStyle name="g_rate_PowerValuation.xls Chart 21" xfId="9039" xr:uid="{00000000-0005-0000-0000-00003F230000}"/>
    <cellStyle name="g_rate_PowerValuation.xls Chart 21 2" xfId="9040" xr:uid="{00000000-0005-0000-0000-000040230000}"/>
    <cellStyle name="g_rate_PowerValuation.xls Chart 21 2 2" xfId="9041" xr:uid="{00000000-0005-0000-0000-000041230000}"/>
    <cellStyle name="g_rate_PowerValuation.xls Chart 21 2 2 2" xfId="9042" xr:uid="{00000000-0005-0000-0000-000042230000}"/>
    <cellStyle name="g_rate_PowerValuation.xls Chart 21 2 3" xfId="9043" xr:uid="{00000000-0005-0000-0000-000043230000}"/>
    <cellStyle name="g_rate_PowerValuation.xls Chart 21 3" xfId="9044" xr:uid="{00000000-0005-0000-0000-000044230000}"/>
    <cellStyle name="g_rate_PowerValuation.xls Chart 21 3 2" xfId="9045" xr:uid="{00000000-0005-0000-0000-000045230000}"/>
    <cellStyle name="g_rate_PowerValuation.xls Chart 21 4" xfId="9046" xr:uid="{00000000-0005-0000-0000-000046230000}"/>
    <cellStyle name="g_rate_PowerValuation.xls Chart 21_HRT O&amp;G" xfId="9047" xr:uid="{00000000-0005-0000-0000-000047230000}"/>
    <cellStyle name="g_rate_PowerValuation.xls Chart 21_HRT O&amp;G 2" xfId="9048" xr:uid="{00000000-0005-0000-0000-000048230000}"/>
    <cellStyle name="g_rate_PowerValuation.xls Chart 21_HRT O&amp;G 2 2" xfId="9049" xr:uid="{00000000-0005-0000-0000-000049230000}"/>
    <cellStyle name="g_rate_PowerValuation.xls Chart 21_HRT O&amp;G 3" xfId="9050" xr:uid="{00000000-0005-0000-0000-00004A230000}"/>
    <cellStyle name="g_rate_PowerValuation.xls Chart 28" xfId="9051" xr:uid="{00000000-0005-0000-0000-00004B230000}"/>
    <cellStyle name="g_rate_PowerValuation.xls Chart 28 2" xfId="9052" xr:uid="{00000000-0005-0000-0000-00004C230000}"/>
    <cellStyle name="g_rate_PowerValuation.xls Chart 28 2 2" xfId="9053" xr:uid="{00000000-0005-0000-0000-00004D230000}"/>
    <cellStyle name="g_rate_PowerValuation.xls Chart 28 2 2 2" xfId="9054" xr:uid="{00000000-0005-0000-0000-00004E230000}"/>
    <cellStyle name="g_rate_PowerValuation.xls Chart 28 2 3" xfId="9055" xr:uid="{00000000-0005-0000-0000-00004F230000}"/>
    <cellStyle name="g_rate_PowerValuation.xls Chart 28 3" xfId="9056" xr:uid="{00000000-0005-0000-0000-000050230000}"/>
    <cellStyle name="g_rate_PowerValuation.xls Chart 28 3 2" xfId="9057" xr:uid="{00000000-0005-0000-0000-000051230000}"/>
    <cellStyle name="g_rate_PowerValuation.xls Chart 28 4" xfId="9058" xr:uid="{00000000-0005-0000-0000-000052230000}"/>
    <cellStyle name="g_rate_PowerValuation.xls Chart 28_HRT O&amp;G" xfId="9059" xr:uid="{00000000-0005-0000-0000-000053230000}"/>
    <cellStyle name="g_rate_PowerValuation.xls Chart 28_HRT O&amp;G 2" xfId="9060" xr:uid="{00000000-0005-0000-0000-000054230000}"/>
    <cellStyle name="g_rate_PowerValuation.xls Chart 28_HRT O&amp;G 2 2" xfId="9061" xr:uid="{00000000-0005-0000-0000-000055230000}"/>
    <cellStyle name="g_rate_PowerValuation.xls Chart 28_HRT O&amp;G 3" xfId="9062" xr:uid="{00000000-0005-0000-0000-000056230000}"/>
    <cellStyle name="g_rate_Proj10" xfId="9063" xr:uid="{00000000-0005-0000-0000-000057230000}"/>
    <cellStyle name="g_rate_Proj10 2" xfId="9064" xr:uid="{00000000-0005-0000-0000-000058230000}"/>
    <cellStyle name="g_rate_Proj10 2 2" xfId="9065" xr:uid="{00000000-0005-0000-0000-000059230000}"/>
    <cellStyle name="g_rate_Proj10 2 2 2" xfId="9066" xr:uid="{00000000-0005-0000-0000-00005A230000}"/>
    <cellStyle name="g_rate_Proj10 2 3" xfId="9067" xr:uid="{00000000-0005-0000-0000-00005B230000}"/>
    <cellStyle name="g_rate_Proj10 3" xfId="9068" xr:uid="{00000000-0005-0000-0000-00005C230000}"/>
    <cellStyle name="g_rate_Proj10 3 2" xfId="9069" xr:uid="{00000000-0005-0000-0000-00005D230000}"/>
    <cellStyle name="g_rate_Proj10 4" xfId="9070" xr:uid="{00000000-0005-0000-0000-00005E230000}"/>
    <cellStyle name="g_rate_Proj10_AVP" xfId="9071" xr:uid="{00000000-0005-0000-0000-00005F230000}"/>
    <cellStyle name="g_rate_Proj10_AVP 2" xfId="9072" xr:uid="{00000000-0005-0000-0000-000060230000}"/>
    <cellStyle name="g_rate_Proj10_AVP 2 2" xfId="9073" xr:uid="{00000000-0005-0000-0000-000061230000}"/>
    <cellStyle name="g_rate_Proj10_AVP 2 2 2" xfId="9074" xr:uid="{00000000-0005-0000-0000-000062230000}"/>
    <cellStyle name="g_rate_Proj10_AVP 2 3" xfId="9075" xr:uid="{00000000-0005-0000-0000-000063230000}"/>
    <cellStyle name="g_rate_Proj10_AVP 3" xfId="9076" xr:uid="{00000000-0005-0000-0000-000064230000}"/>
    <cellStyle name="g_rate_Proj10_AVP 3 2" xfId="9077" xr:uid="{00000000-0005-0000-0000-000065230000}"/>
    <cellStyle name="g_rate_Proj10_AVP 4" xfId="9078" xr:uid="{00000000-0005-0000-0000-000066230000}"/>
    <cellStyle name="g_rate_Proj10_AVP_Graphic Depiction - NO DEV" xfId="9079" xr:uid="{00000000-0005-0000-0000-000067230000}"/>
    <cellStyle name="g_rate_Proj10_AVP_Graphic Depiction - NO DEV 2" xfId="9080" xr:uid="{00000000-0005-0000-0000-000068230000}"/>
    <cellStyle name="g_rate_Proj10_AVP_Graphic Depiction - NO DEV 2 2" xfId="9081" xr:uid="{00000000-0005-0000-0000-000069230000}"/>
    <cellStyle name="g_rate_Proj10_AVP_Graphic Depiction - NO DEV 2 2 2" xfId="9082" xr:uid="{00000000-0005-0000-0000-00006A230000}"/>
    <cellStyle name="g_rate_Proj10_AVP_Graphic Depiction - NO DEV 2 3" xfId="9083" xr:uid="{00000000-0005-0000-0000-00006B230000}"/>
    <cellStyle name="g_rate_Proj10_AVP_Graphic Depiction - NO DEV 3" xfId="9084" xr:uid="{00000000-0005-0000-0000-00006C230000}"/>
    <cellStyle name="g_rate_Proj10_AVP_Graphic Depiction - NO DEV 3 2" xfId="9085" xr:uid="{00000000-0005-0000-0000-00006D230000}"/>
    <cellStyle name="g_rate_Proj10_AVP_Graphic Depiction - NO DEV 4" xfId="9086" xr:uid="{00000000-0005-0000-0000-00006E230000}"/>
    <cellStyle name="g_rate_Proj10_AVP_Graphic Depiction - NO DEV_HRT O&amp;G" xfId="9087" xr:uid="{00000000-0005-0000-0000-00006F230000}"/>
    <cellStyle name="g_rate_Proj10_AVP_Graphic Depiction - NO DEV_HRT O&amp;G 2" xfId="9088" xr:uid="{00000000-0005-0000-0000-000070230000}"/>
    <cellStyle name="g_rate_Proj10_AVP_Graphic Depiction - NO DEV_HRT O&amp;G 2 2" xfId="9089" xr:uid="{00000000-0005-0000-0000-000071230000}"/>
    <cellStyle name="g_rate_Proj10_AVP_Graphic Depiction - NO DEV_HRT O&amp;G 3" xfId="9090" xr:uid="{00000000-0005-0000-0000-000072230000}"/>
    <cellStyle name="g_rate_Proj10_AVP_HRT O&amp;G" xfId="9091" xr:uid="{00000000-0005-0000-0000-000073230000}"/>
    <cellStyle name="g_rate_Proj10_AVP_HRT O&amp;G 2" xfId="9092" xr:uid="{00000000-0005-0000-0000-000074230000}"/>
    <cellStyle name="g_rate_Proj10_AVP_HRT O&amp;G 2 2" xfId="9093" xr:uid="{00000000-0005-0000-0000-000075230000}"/>
    <cellStyle name="g_rate_Proj10_AVP_HRT O&amp;G 3" xfId="9094" xr:uid="{00000000-0005-0000-0000-000076230000}"/>
    <cellStyle name="g_rate_Proj10_AVP_THEsumPage (2)" xfId="9095" xr:uid="{00000000-0005-0000-0000-000077230000}"/>
    <cellStyle name="g_rate_Proj10_AVP_THEsumPage (2) 2" xfId="9096" xr:uid="{00000000-0005-0000-0000-000078230000}"/>
    <cellStyle name="g_rate_Proj10_AVP_THEsumPage (2) 2 2" xfId="9097" xr:uid="{00000000-0005-0000-0000-000079230000}"/>
    <cellStyle name="g_rate_Proj10_AVP_THEsumPage (2) 2 2 2" xfId="9098" xr:uid="{00000000-0005-0000-0000-00007A230000}"/>
    <cellStyle name="g_rate_Proj10_AVP_THEsumPage (2) 2 3" xfId="9099" xr:uid="{00000000-0005-0000-0000-00007B230000}"/>
    <cellStyle name="g_rate_Proj10_AVP_THEsumPage (2) 3" xfId="9100" xr:uid="{00000000-0005-0000-0000-00007C230000}"/>
    <cellStyle name="g_rate_Proj10_AVP_THEsumPage (2) 3 2" xfId="9101" xr:uid="{00000000-0005-0000-0000-00007D230000}"/>
    <cellStyle name="g_rate_Proj10_AVP_THEsumPage (2) 4" xfId="9102" xr:uid="{00000000-0005-0000-0000-00007E230000}"/>
    <cellStyle name="g_rate_Proj10_AVP_THEsumPage (2)_HRT O&amp;G" xfId="9103" xr:uid="{00000000-0005-0000-0000-00007F230000}"/>
    <cellStyle name="g_rate_Proj10_AVP_THEsumPage (2)_HRT O&amp;G 2" xfId="9104" xr:uid="{00000000-0005-0000-0000-000080230000}"/>
    <cellStyle name="g_rate_Proj10_AVP_THEsumPage (2)_HRT O&amp;G 2 2" xfId="9105" xr:uid="{00000000-0005-0000-0000-000081230000}"/>
    <cellStyle name="g_rate_Proj10_AVP_THEsumPage (2)_HRT O&amp;G 3" xfId="9106" xr:uid="{00000000-0005-0000-0000-000082230000}"/>
    <cellStyle name="g_rate_Proj10_CompSheet" xfId="9107" xr:uid="{00000000-0005-0000-0000-000083230000}"/>
    <cellStyle name="g_rate_Proj10_CompSheet 2" xfId="9108" xr:uid="{00000000-0005-0000-0000-000084230000}"/>
    <cellStyle name="g_rate_Proj10_CompSheet 2 2" xfId="9109" xr:uid="{00000000-0005-0000-0000-000085230000}"/>
    <cellStyle name="g_rate_Proj10_CompSheet 2 2 2" xfId="9110" xr:uid="{00000000-0005-0000-0000-000086230000}"/>
    <cellStyle name="g_rate_Proj10_CompSheet 2 3" xfId="9111" xr:uid="{00000000-0005-0000-0000-000087230000}"/>
    <cellStyle name="g_rate_Proj10_CompSheet 3" xfId="9112" xr:uid="{00000000-0005-0000-0000-000088230000}"/>
    <cellStyle name="g_rate_Proj10_CompSheet 3 2" xfId="9113" xr:uid="{00000000-0005-0000-0000-000089230000}"/>
    <cellStyle name="g_rate_Proj10_CompSheet 4" xfId="9114" xr:uid="{00000000-0005-0000-0000-00008A230000}"/>
    <cellStyle name="g_rate_Proj10_CompSheet_HRT O&amp;G" xfId="9115" xr:uid="{00000000-0005-0000-0000-00008B230000}"/>
    <cellStyle name="g_rate_Proj10_CompSheet_HRT O&amp;G 2" xfId="9116" xr:uid="{00000000-0005-0000-0000-00008C230000}"/>
    <cellStyle name="g_rate_Proj10_CompSheet_HRT O&amp;G 2 2" xfId="9117" xr:uid="{00000000-0005-0000-0000-00008D230000}"/>
    <cellStyle name="g_rate_Proj10_CompSheet_HRT O&amp;G 3" xfId="9118" xr:uid="{00000000-0005-0000-0000-00008E230000}"/>
    <cellStyle name="g_rate_Proj10_Disc Analysis" xfId="9119" xr:uid="{00000000-0005-0000-0000-00008F230000}"/>
    <cellStyle name="g_rate_Proj10_Disc Analysis 2" xfId="9120" xr:uid="{00000000-0005-0000-0000-000090230000}"/>
    <cellStyle name="g_rate_Proj10_Disc Analysis 2 2" xfId="9121" xr:uid="{00000000-0005-0000-0000-000091230000}"/>
    <cellStyle name="g_rate_Proj10_Disc Analysis 2 2 2" xfId="9122" xr:uid="{00000000-0005-0000-0000-000092230000}"/>
    <cellStyle name="g_rate_Proj10_Disc Analysis 2 3" xfId="9123" xr:uid="{00000000-0005-0000-0000-000093230000}"/>
    <cellStyle name="g_rate_Proj10_Disc Analysis 3" xfId="9124" xr:uid="{00000000-0005-0000-0000-000094230000}"/>
    <cellStyle name="g_rate_Proj10_Disc Analysis 3 2" xfId="9125" xr:uid="{00000000-0005-0000-0000-000095230000}"/>
    <cellStyle name="g_rate_Proj10_Disc Analysis 4" xfId="9126" xr:uid="{00000000-0005-0000-0000-000096230000}"/>
    <cellStyle name="g_rate_Proj10_Disc Analysis_CompSheet" xfId="9127" xr:uid="{00000000-0005-0000-0000-000097230000}"/>
    <cellStyle name="g_rate_Proj10_Disc Analysis_CompSheet 2" xfId="9128" xr:uid="{00000000-0005-0000-0000-000098230000}"/>
    <cellStyle name="g_rate_Proj10_Disc Analysis_CompSheet 2 2" xfId="9129" xr:uid="{00000000-0005-0000-0000-000099230000}"/>
    <cellStyle name="g_rate_Proj10_Disc Analysis_CompSheet 2 2 2" xfId="9130" xr:uid="{00000000-0005-0000-0000-00009A230000}"/>
    <cellStyle name="g_rate_Proj10_Disc Analysis_CompSheet 2 3" xfId="9131" xr:uid="{00000000-0005-0000-0000-00009B230000}"/>
    <cellStyle name="g_rate_Proj10_Disc Analysis_CompSheet 3" xfId="9132" xr:uid="{00000000-0005-0000-0000-00009C230000}"/>
    <cellStyle name="g_rate_Proj10_Disc Analysis_CompSheet 3 2" xfId="9133" xr:uid="{00000000-0005-0000-0000-00009D230000}"/>
    <cellStyle name="g_rate_Proj10_Disc Analysis_CompSheet 4" xfId="9134" xr:uid="{00000000-0005-0000-0000-00009E230000}"/>
    <cellStyle name="g_rate_Proj10_Disc Analysis_CompSheet_HRT O&amp;G" xfId="9135" xr:uid="{00000000-0005-0000-0000-00009F230000}"/>
    <cellStyle name="g_rate_Proj10_Disc Analysis_CompSheet_HRT O&amp;G 2" xfId="9136" xr:uid="{00000000-0005-0000-0000-0000A0230000}"/>
    <cellStyle name="g_rate_Proj10_Disc Analysis_CompSheet_HRT O&amp;G 2 2" xfId="9137" xr:uid="{00000000-0005-0000-0000-0000A1230000}"/>
    <cellStyle name="g_rate_Proj10_Disc Analysis_CompSheet_HRT O&amp;G 3" xfId="9138" xr:uid="{00000000-0005-0000-0000-0000A2230000}"/>
    <cellStyle name="g_rate_Proj10_Disc Analysis_HRT O&amp;G" xfId="9139" xr:uid="{00000000-0005-0000-0000-0000A3230000}"/>
    <cellStyle name="g_rate_Proj10_Disc Analysis_HRT O&amp;G 2" xfId="9140" xr:uid="{00000000-0005-0000-0000-0000A4230000}"/>
    <cellStyle name="g_rate_Proj10_Disc Analysis_HRT O&amp;G 2 2" xfId="9141" xr:uid="{00000000-0005-0000-0000-0000A5230000}"/>
    <cellStyle name="g_rate_Proj10_Disc Analysis_HRT O&amp;G 3" xfId="9142" xr:uid="{00000000-0005-0000-0000-0000A6230000}"/>
    <cellStyle name="g_rate_Proj10_Disc Analysis_THEsumPage (2)" xfId="9143" xr:uid="{00000000-0005-0000-0000-0000A7230000}"/>
    <cellStyle name="g_rate_Proj10_Disc Analysis_THEsumPage (2) 2" xfId="9144" xr:uid="{00000000-0005-0000-0000-0000A8230000}"/>
    <cellStyle name="g_rate_Proj10_Disc Analysis_THEsumPage (2) 2 2" xfId="9145" xr:uid="{00000000-0005-0000-0000-0000A9230000}"/>
    <cellStyle name="g_rate_Proj10_Disc Analysis_THEsumPage (2) 2 2 2" xfId="9146" xr:uid="{00000000-0005-0000-0000-0000AA230000}"/>
    <cellStyle name="g_rate_Proj10_Disc Analysis_THEsumPage (2) 2 3" xfId="9147" xr:uid="{00000000-0005-0000-0000-0000AB230000}"/>
    <cellStyle name="g_rate_Proj10_Disc Analysis_THEsumPage (2) 3" xfId="9148" xr:uid="{00000000-0005-0000-0000-0000AC230000}"/>
    <cellStyle name="g_rate_Proj10_Disc Analysis_THEsumPage (2) 3 2" xfId="9149" xr:uid="{00000000-0005-0000-0000-0000AD230000}"/>
    <cellStyle name="g_rate_Proj10_Disc Analysis_THEsumPage (2) 4" xfId="9150" xr:uid="{00000000-0005-0000-0000-0000AE230000}"/>
    <cellStyle name="g_rate_Proj10_Disc Analysis_THEsumPage (2)_HRT O&amp;G" xfId="9151" xr:uid="{00000000-0005-0000-0000-0000AF230000}"/>
    <cellStyle name="g_rate_Proj10_Disc Analysis_THEsumPage (2)_HRT O&amp;G 2" xfId="9152" xr:uid="{00000000-0005-0000-0000-0000B0230000}"/>
    <cellStyle name="g_rate_Proj10_Disc Analysis_THEsumPage (2)_HRT O&amp;G 2 2" xfId="9153" xr:uid="{00000000-0005-0000-0000-0000B1230000}"/>
    <cellStyle name="g_rate_Proj10_Disc Analysis_THEsumPage (2)_HRT O&amp;G 3" xfId="9154" xr:uid="{00000000-0005-0000-0000-0000B2230000}"/>
    <cellStyle name="g_rate_Proj10_Fairness Opinion Valuation 4-23a.xls Chart 1" xfId="9155" xr:uid="{00000000-0005-0000-0000-0000B3230000}"/>
    <cellStyle name="g_rate_Proj10_Fairness Opinion Valuation 4-23a.xls Chart 1 2" xfId="9156" xr:uid="{00000000-0005-0000-0000-0000B4230000}"/>
    <cellStyle name="g_rate_Proj10_Fairness Opinion Valuation 4-23a.xls Chart 1 2 2" xfId="9157" xr:uid="{00000000-0005-0000-0000-0000B5230000}"/>
    <cellStyle name="g_rate_Proj10_Fairness Opinion Valuation 4-23a.xls Chart 1 2 2 2" xfId="9158" xr:uid="{00000000-0005-0000-0000-0000B6230000}"/>
    <cellStyle name="g_rate_Proj10_Fairness Opinion Valuation 4-23a.xls Chart 1 2 3" xfId="9159" xr:uid="{00000000-0005-0000-0000-0000B7230000}"/>
    <cellStyle name="g_rate_Proj10_Fairness Opinion Valuation 4-23a.xls Chart 1 3" xfId="9160" xr:uid="{00000000-0005-0000-0000-0000B8230000}"/>
    <cellStyle name="g_rate_Proj10_Fairness Opinion Valuation 4-23a.xls Chart 1 3 2" xfId="9161" xr:uid="{00000000-0005-0000-0000-0000B9230000}"/>
    <cellStyle name="g_rate_Proj10_Fairness Opinion Valuation 4-23a.xls Chart 1 4" xfId="9162" xr:uid="{00000000-0005-0000-0000-0000BA230000}"/>
    <cellStyle name="g_rate_Proj10_Fairness Opinion Valuation 4-23a.xls Chart 1_HRT O&amp;G" xfId="9163" xr:uid="{00000000-0005-0000-0000-0000BB230000}"/>
    <cellStyle name="g_rate_Proj10_Fairness Opinion Valuation 4-23a.xls Chart 1_HRT O&amp;G 2" xfId="9164" xr:uid="{00000000-0005-0000-0000-0000BC230000}"/>
    <cellStyle name="g_rate_Proj10_Fairness Opinion Valuation 4-23a.xls Chart 1_HRT O&amp;G 2 2" xfId="9165" xr:uid="{00000000-0005-0000-0000-0000BD230000}"/>
    <cellStyle name="g_rate_Proj10_Fairness Opinion Valuation 4-23a.xls Chart 1_HRT O&amp;G 3" xfId="9166" xr:uid="{00000000-0005-0000-0000-0000BE230000}"/>
    <cellStyle name="g_rate_Proj10_HRT O&amp;G" xfId="9167" xr:uid="{00000000-0005-0000-0000-0000BF230000}"/>
    <cellStyle name="g_rate_Proj10_HRT O&amp;G 2" xfId="9168" xr:uid="{00000000-0005-0000-0000-0000C0230000}"/>
    <cellStyle name="g_rate_Proj10_HRT O&amp;G 2 2" xfId="9169" xr:uid="{00000000-0005-0000-0000-0000C1230000}"/>
    <cellStyle name="g_rate_Proj10_HRT O&amp;G 3" xfId="9170" xr:uid="{00000000-0005-0000-0000-0000C2230000}"/>
    <cellStyle name="g_rate_Proj10_LP Chart" xfId="9171" xr:uid="{00000000-0005-0000-0000-0000C3230000}"/>
    <cellStyle name="g_rate_Proj10_LP Chart 2" xfId="9172" xr:uid="{00000000-0005-0000-0000-0000C4230000}"/>
    <cellStyle name="g_rate_Proj10_LP Chart 2 2" xfId="9173" xr:uid="{00000000-0005-0000-0000-0000C5230000}"/>
    <cellStyle name="g_rate_Proj10_LP Chart 2 2 2" xfId="9174" xr:uid="{00000000-0005-0000-0000-0000C6230000}"/>
    <cellStyle name="g_rate_Proj10_LP Chart 2 3" xfId="9175" xr:uid="{00000000-0005-0000-0000-0000C7230000}"/>
    <cellStyle name="g_rate_Proj10_LP Chart 3" xfId="9176" xr:uid="{00000000-0005-0000-0000-0000C8230000}"/>
    <cellStyle name="g_rate_Proj10_LP Chart 3 2" xfId="9177" xr:uid="{00000000-0005-0000-0000-0000C9230000}"/>
    <cellStyle name="g_rate_Proj10_LP Chart 4" xfId="9178" xr:uid="{00000000-0005-0000-0000-0000CA230000}"/>
    <cellStyle name="g_rate_Proj10_LP Chart_HRT O&amp;G" xfId="9179" xr:uid="{00000000-0005-0000-0000-0000CB230000}"/>
    <cellStyle name="g_rate_Proj10_LP Chart_HRT O&amp;G 2" xfId="9180" xr:uid="{00000000-0005-0000-0000-0000CC230000}"/>
    <cellStyle name="g_rate_Proj10_LP Chart_HRT O&amp;G 2 2" xfId="9181" xr:uid="{00000000-0005-0000-0000-0000CD230000}"/>
    <cellStyle name="g_rate_Proj10_LP Chart_HRT O&amp;G 3" xfId="9182" xr:uid="{00000000-0005-0000-0000-0000CE230000}"/>
    <cellStyle name="g_rate_Proj10_LP Chart_THEsumPage (2)" xfId="9183" xr:uid="{00000000-0005-0000-0000-0000CF230000}"/>
    <cellStyle name="g_rate_Proj10_LP Chart_THEsumPage (2) 2" xfId="9184" xr:uid="{00000000-0005-0000-0000-0000D0230000}"/>
    <cellStyle name="g_rate_Proj10_LP Chart_THEsumPage (2) 2 2" xfId="9185" xr:uid="{00000000-0005-0000-0000-0000D1230000}"/>
    <cellStyle name="g_rate_Proj10_LP Chart_THEsumPage (2) 2 2 2" xfId="9186" xr:uid="{00000000-0005-0000-0000-0000D2230000}"/>
    <cellStyle name="g_rate_Proj10_LP Chart_THEsumPage (2) 2 3" xfId="9187" xr:uid="{00000000-0005-0000-0000-0000D3230000}"/>
    <cellStyle name="g_rate_Proj10_LP Chart_THEsumPage (2) 3" xfId="9188" xr:uid="{00000000-0005-0000-0000-0000D4230000}"/>
    <cellStyle name="g_rate_Proj10_LP Chart_THEsumPage (2) 3 2" xfId="9189" xr:uid="{00000000-0005-0000-0000-0000D5230000}"/>
    <cellStyle name="g_rate_Proj10_LP Chart_THEsumPage (2) 4" xfId="9190" xr:uid="{00000000-0005-0000-0000-0000D6230000}"/>
    <cellStyle name="g_rate_Proj10_LP Chart_THEsumPage (2)_HRT O&amp;G" xfId="9191" xr:uid="{00000000-0005-0000-0000-0000D7230000}"/>
    <cellStyle name="g_rate_Proj10_LP Chart_THEsumPage (2)_HRT O&amp;G 2" xfId="9192" xr:uid="{00000000-0005-0000-0000-0000D8230000}"/>
    <cellStyle name="g_rate_Proj10_LP Chart_THEsumPage (2)_HRT O&amp;G 2 2" xfId="9193" xr:uid="{00000000-0005-0000-0000-0000D9230000}"/>
    <cellStyle name="g_rate_Proj10_LP Chart_THEsumPage (2)_HRT O&amp;G 3" xfId="9194" xr:uid="{00000000-0005-0000-0000-0000DA230000}"/>
    <cellStyle name="g_rate_Proj10_Merg Cons" xfId="9195" xr:uid="{00000000-0005-0000-0000-0000DB230000}"/>
    <cellStyle name="g_rate_Proj10_Merg Cons 2" xfId="9196" xr:uid="{00000000-0005-0000-0000-0000DC230000}"/>
    <cellStyle name="g_rate_Proj10_Merg Cons 2 2" xfId="9197" xr:uid="{00000000-0005-0000-0000-0000DD230000}"/>
    <cellStyle name="g_rate_Proj10_Merg Cons 2 2 2" xfId="9198" xr:uid="{00000000-0005-0000-0000-0000DE230000}"/>
    <cellStyle name="g_rate_Proj10_Merg Cons 2 3" xfId="9199" xr:uid="{00000000-0005-0000-0000-0000DF230000}"/>
    <cellStyle name="g_rate_Proj10_Merg Cons 3" xfId="9200" xr:uid="{00000000-0005-0000-0000-0000E0230000}"/>
    <cellStyle name="g_rate_Proj10_Merg Cons 3 2" xfId="9201" xr:uid="{00000000-0005-0000-0000-0000E1230000}"/>
    <cellStyle name="g_rate_Proj10_Merg Cons 4" xfId="9202" xr:uid="{00000000-0005-0000-0000-0000E2230000}"/>
    <cellStyle name="g_rate_Proj10_Merg Cons_CompSheet" xfId="9203" xr:uid="{00000000-0005-0000-0000-0000E3230000}"/>
    <cellStyle name="g_rate_Proj10_Merg Cons_CompSheet 2" xfId="9204" xr:uid="{00000000-0005-0000-0000-0000E4230000}"/>
    <cellStyle name="g_rate_Proj10_Merg Cons_CompSheet 2 2" xfId="9205" xr:uid="{00000000-0005-0000-0000-0000E5230000}"/>
    <cellStyle name="g_rate_Proj10_Merg Cons_CompSheet 2 2 2" xfId="9206" xr:uid="{00000000-0005-0000-0000-0000E6230000}"/>
    <cellStyle name="g_rate_Proj10_Merg Cons_CompSheet 2 3" xfId="9207" xr:uid="{00000000-0005-0000-0000-0000E7230000}"/>
    <cellStyle name="g_rate_Proj10_Merg Cons_CompSheet 3" xfId="9208" xr:uid="{00000000-0005-0000-0000-0000E8230000}"/>
    <cellStyle name="g_rate_Proj10_Merg Cons_CompSheet 3 2" xfId="9209" xr:uid="{00000000-0005-0000-0000-0000E9230000}"/>
    <cellStyle name="g_rate_Proj10_Merg Cons_CompSheet 4" xfId="9210" xr:uid="{00000000-0005-0000-0000-0000EA230000}"/>
    <cellStyle name="g_rate_Proj10_Merg Cons_CompSheet_HRT O&amp;G" xfId="9211" xr:uid="{00000000-0005-0000-0000-0000EB230000}"/>
    <cellStyle name="g_rate_Proj10_Merg Cons_CompSheet_HRT O&amp;G 2" xfId="9212" xr:uid="{00000000-0005-0000-0000-0000EC230000}"/>
    <cellStyle name="g_rate_Proj10_Merg Cons_CompSheet_HRT O&amp;G 2 2" xfId="9213" xr:uid="{00000000-0005-0000-0000-0000ED230000}"/>
    <cellStyle name="g_rate_Proj10_Merg Cons_CompSheet_HRT O&amp;G 3" xfId="9214" xr:uid="{00000000-0005-0000-0000-0000EE230000}"/>
    <cellStyle name="g_rate_Proj10_Merg Cons_HRT O&amp;G" xfId="9215" xr:uid="{00000000-0005-0000-0000-0000EF230000}"/>
    <cellStyle name="g_rate_Proj10_Merg Cons_HRT O&amp;G 2" xfId="9216" xr:uid="{00000000-0005-0000-0000-0000F0230000}"/>
    <cellStyle name="g_rate_Proj10_Merg Cons_HRT O&amp;G 2 2" xfId="9217" xr:uid="{00000000-0005-0000-0000-0000F1230000}"/>
    <cellStyle name="g_rate_Proj10_Merg Cons_HRT O&amp;G 3" xfId="9218" xr:uid="{00000000-0005-0000-0000-0000F2230000}"/>
    <cellStyle name="g_rate_Proj10_Merg Cons_THEsumPage (2)" xfId="9219" xr:uid="{00000000-0005-0000-0000-0000F3230000}"/>
    <cellStyle name="g_rate_Proj10_Merg Cons_THEsumPage (2) 2" xfId="9220" xr:uid="{00000000-0005-0000-0000-0000F4230000}"/>
    <cellStyle name="g_rate_Proj10_Merg Cons_THEsumPage (2) 2 2" xfId="9221" xr:uid="{00000000-0005-0000-0000-0000F5230000}"/>
    <cellStyle name="g_rate_Proj10_Merg Cons_THEsumPage (2) 2 2 2" xfId="9222" xr:uid="{00000000-0005-0000-0000-0000F6230000}"/>
    <cellStyle name="g_rate_Proj10_Merg Cons_THEsumPage (2) 2 3" xfId="9223" xr:uid="{00000000-0005-0000-0000-0000F7230000}"/>
    <cellStyle name="g_rate_Proj10_Merg Cons_THEsumPage (2) 3" xfId="9224" xr:uid="{00000000-0005-0000-0000-0000F8230000}"/>
    <cellStyle name="g_rate_Proj10_Merg Cons_THEsumPage (2) 3 2" xfId="9225" xr:uid="{00000000-0005-0000-0000-0000F9230000}"/>
    <cellStyle name="g_rate_Proj10_Merg Cons_THEsumPage (2) 4" xfId="9226" xr:uid="{00000000-0005-0000-0000-0000FA230000}"/>
    <cellStyle name="g_rate_Proj10_Merg Cons_THEsumPage (2)_HRT O&amp;G" xfId="9227" xr:uid="{00000000-0005-0000-0000-0000FB230000}"/>
    <cellStyle name="g_rate_Proj10_Merg Cons_THEsumPage (2)_HRT O&amp;G 2" xfId="9228" xr:uid="{00000000-0005-0000-0000-0000FC230000}"/>
    <cellStyle name="g_rate_Proj10_Merg Cons_THEsumPage (2)_HRT O&amp;G 2 2" xfId="9229" xr:uid="{00000000-0005-0000-0000-0000FD230000}"/>
    <cellStyle name="g_rate_Proj10_Merg Cons_THEsumPage (2)_HRT O&amp;G 3" xfId="9230" xr:uid="{00000000-0005-0000-0000-0000FE230000}"/>
    <cellStyle name="g_rate_Proj10_PowerValuation.xls Chart 21" xfId="9231" xr:uid="{00000000-0005-0000-0000-0000FF230000}"/>
    <cellStyle name="g_rate_Proj10_PowerValuation.xls Chart 21 2" xfId="9232" xr:uid="{00000000-0005-0000-0000-000000240000}"/>
    <cellStyle name="g_rate_Proj10_PowerValuation.xls Chart 21 2 2" xfId="9233" xr:uid="{00000000-0005-0000-0000-000001240000}"/>
    <cellStyle name="g_rate_Proj10_PowerValuation.xls Chart 21 2 2 2" xfId="9234" xr:uid="{00000000-0005-0000-0000-000002240000}"/>
    <cellStyle name="g_rate_Proj10_PowerValuation.xls Chart 21 2 3" xfId="9235" xr:uid="{00000000-0005-0000-0000-000003240000}"/>
    <cellStyle name="g_rate_Proj10_PowerValuation.xls Chart 21 3" xfId="9236" xr:uid="{00000000-0005-0000-0000-000004240000}"/>
    <cellStyle name="g_rate_Proj10_PowerValuation.xls Chart 21 3 2" xfId="9237" xr:uid="{00000000-0005-0000-0000-000005240000}"/>
    <cellStyle name="g_rate_Proj10_PowerValuation.xls Chart 21 4" xfId="9238" xr:uid="{00000000-0005-0000-0000-000006240000}"/>
    <cellStyle name="g_rate_Proj10_PowerValuation.xls Chart 21_HRT O&amp;G" xfId="9239" xr:uid="{00000000-0005-0000-0000-000007240000}"/>
    <cellStyle name="g_rate_Proj10_PowerValuation.xls Chart 21_HRT O&amp;G 2" xfId="9240" xr:uid="{00000000-0005-0000-0000-000008240000}"/>
    <cellStyle name="g_rate_Proj10_PowerValuation.xls Chart 21_HRT O&amp;G 2 2" xfId="9241" xr:uid="{00000000-0005-0000-0000-000009240000}"/>
    <cellStyle name="g_rate_Proj10_PowerValuation.xls Chart 21_HRT O&amp;G 3" xfId="9242" xr:uid="{00000000-0005-0000-0000-00000A240000}"/>
    <cellStyle name="g_rate_Proj10_PowerValuation.xls Chart 28" xfId="9243" xr:uid="{00000000-0005-0000-0000-00000B240000}"/>
    <cellStyle name="g_rate_Proj10_PowerValuation.xls Chart 28 2" xfId="9244" xr:uid="{00000000-0005-0000-0000-00000C240000}"/>
    <cellStyle name="g_rate_Proj10_PowerValuation.xls Chart 28 2 2" xfId="9245" xr:uid="{00000000-0005-0000-0000-00000D240000}"/>
    <cellStyle name="g_rate_Proj10_PowerValuation.xls Chart 28 2 2 2" xfId="9246" xr:uid="{00000000-0005-0000-0000-00000E240000}"/>
    <cellStyle name="g_rate_Proj10_PowerValuation.xls Chart 28 2 3" xfId="9247" xr:uid="{00000000-0005-0000-0000-00000F240000}"/>
    <cellStyle name="g_rate_Proj10_PowerValuation.xls Chart 28 3" xfId="9248" xr:uid="{00000000-0005-0000-0000-000010240000}"/>
    <cellStyle name="g_rate_Proj10_PowerValuation.xls Chart 28 3 2" xfId="9249" xr:uid="{00000000-0005-0000-0000-000011240000}"/>
    <cellStyle name="g_rate_Proj10_PowerValuation.xls Chart 28 4" xfId="9250" xr:uid="{00000000-0005-0000-0000-000012240000}"/>
    <cellStyle name="g_rate_Proj10_PowerValuation.xls Chart 28_HRT O&amp;G" xfId="9251" xr:uid="{00000000-0005-0000-0000-000013240000}"/>
    <cellStyle name="g_rate_Proj10_PowerValuation.xls Chart 28_HRT O&amp;G 2" xfId="9252" xr:uid="{00000000-0005-0000-0000-000014240000}"/>
    <cellStyle name="g_rate_Proj10_PowerValuation.xls Chart 28_HRT O&amp;G 2 2" xfId="9253" xr:uid="{00000000-0005-0000-0000-000015240000}"/>
    <cellStyle name="g_rate_Proj10_PowerValuation.xls Chart 28_HRT O&amp;G 3" xfId="9254" xr:uid="{00000000-0005-0000-0000-000016240000}"/>
    <cellStyle name="g_rate_Proj10_Sensitivity" xfId="9255" xr:uid="{00000000-0005-0000-0000-000017240000}"/>
    <cellStyle name="g_rate_Proj10_Sensitivity 2" xfId="9256" xr:uid="{00000000-0005-0000-0000-000018240000}"/>
    <cellStyle name="g_rate_Proj10_Sensitivity 2 2" xfId="9257" xr:uid="{00000000-0005-0000-0000-000019240000}"/>
    <cellStyle name="g_rate_Proj10_Sensitivity 2 2 2" xfId="9258" xr:uid="{00000000-0005-0000-0000-00001A240000}"/>
    <cellStyle name="g_rate_Proj10_Sensitivity 2 3" xfId="9259" xr:uid="{00000000-0005-0000-0000-00001B240000}"/>
    <cellStyle name="g_rate_Proj10_Sensitivity 3" xfId="9260" xr:uid="{00000000-0005-0000-0000-00001C240000}"/>
    <cellStyle name="g_rate_Proj10_Sensitivity 3 2" xfId="9261" xr:uid="{00000000-0005-0000-0000-00001D240000}"/>
    <cellStyle name="g_rate_Proj10_Sensitivity 4" xfId="9262" xr:uid="{00000000-0005-0000-0000-00001E240000}"/>
    <cellStyle name="g_rate_Proj10_Sensitivity_CompSheet" xfId="9263" xr:uid="{00000000-0005-0000-0000-00001F240000}"/>
    <cellStyle name="g_rate_Proj10_Sensitivity_CompSheet 2" xfId="9264" xr:uid="{00000000-0005-0000-0000-000020240000}"/>
    <cellStyle name="g_rate_Proj10_Sensitivity_CompSheet 2 2" xfId="9265" xr:uid="{00000000-0005-0000-0000-000021240000}"/>
    <cellStyle name="g_rate_Proj10_Sensitivity_CompSheet 2 2 2" xfId="9266" xr:uid="{00000000-0005-0000-0000-000022240000}"/>
    <cellStyle name="g_rate_Proj10_Sensitivity_CompSheet 2 3" xfId="9267" xr:uid="{00000000-0005-0000-0000-000023240000}"/>
    <cellStyle name="g_rate_Proj10_Sensitivity_CompSheet 3" xfId="9268" xr:uid="{00000000-0005-0000-0000-000024240000}"/>
    <cellStyle name="g_rate_Proj10_Sensitivity_CompSheet 3 2" xfId="9269" xr:uid="{00000000-0005-0000-0000-000025240000}"/>
    <cellStyle name="g_rate_Proj10_Sensitivity_CompSheet 4" xfId="9270" xr:uid="{00000000-0005-0000-0000-000026240000}"/>
    <cellStyle name="g_rate_Proj10_Sensitivity_CompSheet_HRT O&amp;G" xfId="9271" xr:uid="{00000000-0005-0000-0000-000027240000}"/>
    <cellStyle name="g_rate_Proj10_Sensitivity_CompSheet_HRT O&amp;G 2" xfId="9272" xr:uid="{00000000-0005-0000-0000-000028240000}"/>
    <cellStyle name="g_rate_Proj10_Sensitivity_CompSheet_HRT O&amp;G 2 2" xfId="9273" xr:uid="{00000000-0005-0000-0000-000029240000}"/>
    <cellStyle name="g_rate_Proj10_Sensitivity_CompSheet_HRT O&amp;G 3" xfId="9274" xr:uid="{00000000-0005-0000-0000-00002A240000}"/>
    <cellStyle name="g_rate_Proj10_Sensitivity_HRT O&amp;G" xfId="9275" xr:uid="{00000000-0005-0000-0000-00002B240000}"/>
    <cellStyle name="g_rate_Proj10_Sensitivity_HRT O&amp;G 2" xfId="9276" xr:uid="{00000000-0005-0000-0000-00002C240000}"/>
    <cellStyle name="g_rate_Proj10_Sensitivity_HRT O&amp;G 2 2" xfId="9277" xr:uid="{00000000-0005-0000-0000-00002D240000}"/>
    <cellStyle name="g_rate_Proj10_Sensitivity_HRT O&amp;G 3" xfId="9278" xr:uid="{00000000-0005-0000-0000-00002E240000}"/>
    <cellStyle name="g_rate_Proj10_Sensitivity_THEsumPage (2)" xfId="9279" xr:uid="{00000000-0005-0000-0000-00002F240000}"/>
    <cellStyle name="g_rate_Proj10_Sensitivity_THEsumPage (2) 2" xfId="9280" xr:uid="{00000000-0005-0000-0000-000030240000}"/>
    <cellStyle name="g_rate_Proj10_Sensitivity_THEsumPage (2) 2 2" xfId="9281" xr:uid="{00000000-0005-0000-0000-000031240000}"/>
    <cellStyle name="g_rate_Proj10_Sensitivity_THEsumPage (2) 2 2 2" xfId="9282" xr:uid="{00000000-0005-0000-0000-000032240000}"/>
    <cellStyle name="g_rate_Proj10_Sensitivity_THEsumPage (2) 2 3" xfId="9283" xr:uid="{00000000-0005-0000-0000-000033240000}"/>
    <cellStyle name="g_rate_Proj10_Sensitivity_THEsumPage (2) 3" xfId="9284" xr:uid="{00000000-0005-0000-0000-000034240000}"/>
    <cellStyle name="g_rate_Proj10_Sensitivity_THEsumPage (2) 3 2" xfId="9285" xr:uid="{00000000-0005-0000-0000-000035240000}"/>
    <cellStyle name="g_rate_Proj10_Sensitivity_THEsumPage (2) 4" xfId="9286" xr:uid="{00000000-0005-0000-0000-000036240000}"/>
    <cellStyle name="g_rate_Proj10_Sensitivity_THEsumPage (2)_HRT O&amp;G" xfId="9287" xr:uid="{00000000-0005-0000-0000-000037240000}"/>
    <cellStyle name="g_rate_Proj10_Sensitivity_THEsumPage (2)_HRT O&amp;G 2" xfId="9288" xr:uid="{00000000-0005-0000-0000-000038240000}"/>
    <cellStyle name="g_rate_Proj10_Sensitivity_THEsumPage (2)_HRT O&amp;G 2 2" xfId="9289" xr:uid="{00000000-0005-0000-0000-000039240000}"/>
    <cellStyle name="g_rate_Proj10_Sensitivity_THEsumPage (2)_HRT O&amp;G 3" xfId="9290" xr:uid="{00000000-0005-0000-0000-00003A240000}"/>
    <cellStyle name="g_rate_Proj10_show-hold" xfId="9291" xr:uid="{00000000-0005-0000-0000-00003B240000}"/>
    <cellStyle name="g_rate_Proj10_show-hold 2" xfId="9292" xr:uid="{00000000-0005-0000-0000-00003C240000}"/>
    <cellStyle name="g_rate_Proj10_show-hold 2 2" xfId="9293" xr:uid="{00000000-0005-0000-0000-00003D240000}"/>
    <cellStyle name="g_rate_Proj10_show-hold 2 2 2" xfId="9294" xr:uid="{00000000-0005-0000-0000-00003E240000}"/>
    <cellStyle name="g_rate_Proj10_show-hold 2 3" xfId="9295" xr:uid="{00000000-0005-0000-0000-00003F240000}"/>
    <cellStyle name="g_rate_Proj10_show-hold 3" xfId="9296" xr:uid="{00000000-0005-0000-0000-000040240000}"/>
    <cellStyle name="g_rate_Proj10_show-hold 3 2" xfId="9297" xr:uid="{00000000-0005-0000-0000-000041240000}"/>
    <cellStyle name="g_rate_Proj10_show-hold 4" xfId="9298" xr:uid="{00000000-0005-0000-0000-000042240000}"/>
    <cellStyle name="g_rate_Proj10_show-hold_Graphic Depiction - NO DEV" xfId="9299" xr:uid="{00000000-0005-0000-0000-000043240000}"/>
    <cellStyle name="g_rate_Proj10_show-hold_Graphic Depiction - NO DEV 2" xfId="9300" xr:uid="{00000000-0005-0000-0000-000044240000}"/>
    <cellStyle name="g_rate_Proj10_show-hold_Graphic Depiction - NO DEV 2 2" xfId="9301" xr:uid="{00000000-0005-0000-0000-000045240000}"/>
    <cellStyle name="g_rate_Proj10_show-hold_Graphic Depiction - NO DEV 2 2 2" xfId="9302" xr:uid="{00000000-0005-0000-0000-000046240000}"/>
    <cellStyle name="g_rate_Proj10_show-hold_Graphic Depiction - NO DEV 2 3" xfId="9303" xr:uid="{00000000-0005-0000-0000-000047240000}"/>
    <cellStyle name="g_rate_Proj10_show-hold_Graphic Depiction - NO DEV 3" xfId="9304" xr:uid="{00000000-0005-0000-0000-000048240000}"/>
    <cellStyle name="g_rate_Proj10_show-hold_Graphic Depiction - NO DEV 3 2" xfId="9305" xr:uid="{00000000-0005-0000-0000-000049240000}"/>
    <cellStyle name="g_rate_Proj10_show-hold_Graphic Depiction - NO DEV 4" xfId="9306" xr:uid="{00000000-0005-0000-0000-00004A240000}"/>
    <cellStyle name="g_rate_Proj10_show-hold_Graphic Depiction - NO DEV_HRT O&amp;G" xfId="9307" xr:uid="{00000000-0005-0000-0000-00004B240000}"/>
    <cellStyle name="g_rate_Proj10_show-hold_Graphic Depiction - NO DEV_HRT O&amp;G 2" xfId="9308" xr:uid="{00000000-0005-0000-0000-00004C240000}"/>
    <cellStyle name="g_rate_Proj10_show-hold_Graphic Depiction - NO DEV_HRT O&amp;G 2 2" xfId="9309" xr:uid="{00000000-0005-0000-0000-00004D240000}"/>
    <cellStyle name="g_rate_Proj10_show-hold_Graphic Depiction - NO DEV_HRT O&amp;G 3" xfId="9310" xr:uid="{00000000-0005-0000-0000-00004E240000}"/>
    <cellStyle name="g_rate_Proj10_show-hold_HRT O&amp;G" xfId="9311" xr:uid="{00000000-0005-0000-0000-00004F240000}"/>
    <cellStyle name="g_rate_Proj10_show-hold_HRT O&amp;G 2" xfId="9312" xr:uid="{00000000-0005-0000-0000-000050240000}"/>
    <cellStyle name="g_rate_Proj10_show-hold_HRT O&amp;G 2 2" xfId="9313" xr:uid="{00000000-0005-0000-0000-000051240000}"/>
    <cellStyle name="g_rate_Proj10_show-hold_HRT O&amp;G 3" xfId="9314" xr:uid="{00000000-0005-0000-0000-000052240000}"/>
    <cellStyle name="g_rate_Proj10_show-hold_THEsumPage (2)" xfId="9315" xr:uid="{00000000-0005-0000-0000-000053240000}"/>
    <cellStyle name="g_rate_Proj10_show-hold_THEsumPage (2) 2" xfId="9316" xr:uid="{00000000-0005-0000-0000-000054240000}"/>
    <cellStyle name="g_rate_Proj10_show-hold_THEsumPage (2) 2 2" xfId="9317" xr:uid="{00000000-0005-0000-0000-000055240000}"/>
    <cellStyle name="g_rate_Proj10_show-hold_THEsumPage (2) 2 2 2" xfId="9318" xr:uid="{00000000-0005-0000-0000-000056240000}"/>
    <cellStyle name="g_rate_Proj10_show-hold_THEsumPage (2) 2 3" xfId="9319" xr:uid="{00000000-0005-0000-0000-000057240000}"/>
    <cellStyle name="g_rate_Proj10_show-hold_THEsumPage (2) 3" xfId="9320" xr:uid="{00000000-0005-0000-0000-000058240000}"/>
    <cellStyle name="g_rate_Proj10_show-hold_THEsumPage (2) 3 2" xfId="9321" xr:uid="{00000000-0005-0000-0000-000059240000}"/>
    <cellStyle name="g_rate_Proj10_show-hold_THEsumPage (2) 4" xfId="9322" xr:uid="{00000000-0005-0000-0000-00005A240000}"/>
    <cellStyle name="g_rate_Proj10_show-hold_THEsumPage (2)_HRT O&amp;G" xfId="9323" xr:uid="{00000000-0005-0000-0000-00005B240000}"/>
    <cellStyle name="g_rate_Proj10_show-hold_THEsumPage (2)_HRT O&amp;G 2" xfId="9324" xr:uid="{00000000-0005-0000-0000-00005C240000}"/>
    <cellStyle name="g_rate_Proj10_show-hold_THEsumPage (2)_HRT O&amp;G 2 2" xfId="9325" xr:uid="{00000000-0005-0000-0000-00005D240000}"/>
    <cellStyle name="g_rate_Proj10_show-hold_THEsumPage (2)_HRT O&amp;G 3" xfId="9326" xr:uid="{00000000-0005-0000-0000-00005E240000}"/>
    <cellStyle name="g_rate_Proj10_THEsumPage (2)" xfId="9327" xr:uid="{00000000-0005-0000-0000-00005F240000}"/>
    <cellStyle name="g_rate_Proj10_THEsumPage (2) 2" xfId="9328" xr:uid="{00000000-0005-0000-0000-000060240000}"/>
    <cellStyle name="g_rate_Proj10_THEsumPage (2) 2 2" xfId="9329" xr:uid="{00000000-0005-0000-0000-000061240000}"/>
    <cellStyle name="g_rate_Proj10_THEsumPage (2) 2 2 2" xfId="9330" xr:uid="{00000000-0005-0000-0000-000062240000}"/>
    <cellStyle name="g_rate_Proj10_THEsumPage (2) 2 3" xfId="9331" xr:uid="{00000000-0005-0000-0000-000063240000}"/>
    <cellStyle name="g_rate_Proj10_THEsumPage (2) 3" xfId="9332" xr:uid="{00000000-0005-0000-0000-000064240000}"/>
    <cellStyle name="g_rate_Proj10_THEsumPage (2) 3 2" xfId="9333" xr:uid="{00000000-0005-0000-0000-000065240000}"/>
    <cellStyle name="g_rate_Proj10_THEsumPage (2) 4" xfId="9334" xr:uid="{00000000-0005-0000-0000-000066240000}"/>
    <cellStyle name="g_rate_Proj10_THEsumPage (2)_HRT O&amp;G" xfId="9335" xr:uid="{00000000-0005-0000-0000-000067240000}"/>
    <cellStyle name="g_rate_Proj10_Valuation summaries" xfId="9336" xr:uid="{00000000-0005-0000-0000-000068240000}"/>
    <cellStyle name="g_rate_Proj10_Valuation summaries 2" xfId="9337" xr:uid="{00000000-0005-0000-0000-000069240000}"/>
    <cellStyle name="g_rate_Proj10_Valuation summaries 2 2" xfId="9338" xr:uid="{00000000-0005-0000-0000-00006A240000}"/>
    <cellStyle name="g_rate_Proj10_Valuation summaries 2 2 2" xfId="9339" xr:uid="{00000000-0005-0000-0000-00006B240000}"/>
    <cellStyle name="g_rate_Proj10_Valuation summaries 2 3" xfId="9340" xr:uid="{00000000-0005-0000-0000-00006C240000}"/>
    <cellStyle name="g_rate_Proj10_Valuation summaries 3" xfId="9341" xr:uid="{00000000-0005-0000-0000-00006D240000}"/>
    <cellStyle name="g_rate_Proj10_Valuation summaries 3 2" xfId="9342" xr:uid="{00000000-0005-0000-0000-00006E240000}"/>
    <cellStyle name="g_rate_Proj10_Valuation summaries 4" xfId="9343" xr:uid="{00000000-0005-0000-0000-00006F240000}"/>
    <cellStyle name="g_rate_Proj10_Valuation summaries_HRT O&amp;G" xfId="9344" xr:uid="{00000000-0005-0000-0000-000070240000}"/>
    <cellStyle name="g_rate_Proj10_WACC-CableCar" xfId="9345" xr:uid="{00000000-0005-0000-0000-000071240000}"/>
    <cellStyle name="g_rate_Proj10_WACC-CableCar 2" xfId="9346" xr:uid="{00000000-0005-0000-0000-000072240000}"/>
    <cellStyle name="g_rate_Proj10_WACC-CableCar 2 2" xfId="9347" xr:uid="{00000000-0005-0000-0000-000073240000}"/>
    <cellStyle name="g_rate_Proj10_WACC-CableCar 2 2 2" xfId="9348" xr:uid="{00000000-0005-0000-0000-000074240000}"/>
    <cellStyle name="g_rate_Proj10_WACC-CableCar 2 3" xfId="9349" xr:uid="{00000000-0005-0000-0000-000075240000}"/>
    <cellStyle name="g_rate_Proj10_WACC-CableCar 3" xfId="9350" xr:uid="{00000000-0005-0000-0000-000076240000}"/>
    <cellStyle name="g_rate_Proj10_WACC-CableCar 3 2" xfId="9351" xr:uid="{00000000-0005-0000-0000-000077240000}"/>
    <cellStyle name="g_rate_Proj10_WACC-CableCar 4" xfId="9352" xr:uid="{00000000-0005-0000-0000-000078240000}"/>
    <cellStyle name="g_rate_Proj10_WACC-CableCar_HRT O&amp;G" xfId="9353" xr:uid="{00000000-0005-0000-0000-000079240000}"/>
    <cellStyle name="g_rate_Proj10_WACC-CableCar_THEsumPage (2)" xfId="9354" xr:uid="{00000000-0005-0000-0000-00007A240000}"/>
    <cellStyle name="g_rate_Proj10_WACC-CableCar_THEsumPage (2) 2" xfId="9355" xr:uid="{00000000-0005-0000-0000-00007B240000}"/>
    <cellStyle name="g_rate_Proj10_WACC-CableCar_THEsumPage (2) 2 2" xfId="9356" xr:uid="{00000000-0005-0000-0000-00007C240000}"/>
    <cellStyle name="g_rate_Proj10_WACC-CableCar_THEsumPage (2) 2 2 2" xfId="9357" xr:uid="{00000000-0005-0000-0000-00007D240000}"/>
    <cellStyle name="g_rate_Proj10_WACC-CableCar_THEsumPage (2) 2 3" xfId="9358" xr:uid="{00000000-0005-0000-0000-00007E240000}"/>
    <cellStyle name="g_rate_Proj10_WACC-CableCar_THEsumPage (2) 3" xfId="9359" xr:uid="{00000000-0005-0000-0000-00007F240000}"/>
    <cellStyle name="g_rate_Proj10_WACC-CableCar_THEsumPage (2) 3 2" xfId="9360" xr:uid="{00000000-0005-0000-0000-000080240000}"/>
    <cellStyle name="g_rate_Proj10_WACC-CableCar_THEsumPage (2) 4" xfId="9361" xr:uid="{00000000-0005-0000-0000-000081240000}"/>
    <cellStyle name="g_rate_Proj10_WACC-CableCar_THEsumPage (2)_HRT O&amp;G" xfId="9362" xr:uid="{00000000-0005-0000-0000-000082240000}"/>
    <cellStyle name="g_rate_Proj10_WACC-RAD (2)" xfId="9363" xr:uid="{00000000-0005-0000-0000-000083240000}"/>
    <cellStyle name="g_rate_Proj10_WACC-RAD (2) 2" xfId="9364" xr:uid="{00000000-0005-0000-0000-000084240000}"/>
    <cellStyle name="g_rate_Proj10_WACC-RAD (2) 2 2" xfId="9365" xr:uid="{00000000-0005-0000-0000-000085240000}"/>
    <cellStyle name="g_rate_Proj10_WACC-RAD (2) 2 2 2" xfId="9366" xr:uid="{00000000-0005-0000-0000-000086240000}"/>
    <cellStyle name="g_rate_Proj10_WACC-RAD (2) 2 3" xfId="9367" xr:uid="{00000000-0005-0000-0000-000087240000}"/>
    <cellStyle name="g_rate_Proj10_WACC-RAD (2) 3" xfId="9368" xr:uid="{00000000-0005-0000-0000-000088240000}"/>
    <cellStyle name="g_rate_Proj10_WACC-RAD (2) 3 2" xfId="9369" xr:uid="{00000000-0005-0000-0000-000089240000}"/>
    <cellStyle name="g_rate_Proj10_WACC-RAD (2) 4" xfId="9370" xr:uid="{00000000-0005-0000-0000-00008A240000}"/>
    <cellStyle name="g_rate_Proj10_WACC-RAD (2)_HRT O&amp;G" xfId="9371" xr:uid="{00000000-0005-0000-0000-00008B240000}"/>
    <cellStyle name="g_rate_Proj10_WACC-RAD (2)_THEsumPage (2)" xfId="9372" xr:uid="{00000000-0005-0000-0000-00008C240000}"/>
    <cellStyle name="g_rate_Proj10_WACC-RAD (2)_THEsumPage (2) 2" xfId="9373" xr:uid="{00000000-0005-0000-0000-00008D240000}"/>
    <cellStyle name="g_rate_Proj10_WACC-RAD (2)_THEsumPage (2) 2 2" xfId="9374" xr:uid="{00000000-0005-0000-0000-00008E240000}"/>
    <cellStyle name="g_rate_Proj10_WACC-RAD (2)_THEsumPage (2) 2 2 2" xfId="9375" xr:uid="{00000000-0005-0000-0000-00008F240000}"/>
    <cellStyle name="g_rate_Proj10_WACC-RAD (2)_THEsumPage (2) 2 3" xfId="9376" xr:uid="{00000000-0005-0000-0000-000090240000}"/>
    <cellStyle name="g_rate_Proj10_WACC-RAD (2)_THEsumPage (2) 3" xfId="9377" xr:uid="{00000000-0005-0000-0000-000091240000}"/>
    <cellStyle name="g_rate_Proj10_WACC-RAD (2)_THEsumPage (2) 3 2" xfId="9378" xr:uid="{00000000-0005-0000-0000-000092240000}"/>
    <cellStyle name="g_rate_Proj10_WACC-RAD (2)_THEsumPage (2) 4" xfId="9379" xr:uid="{00000000-0005-0000-0000-000093240000}"/>
    <cellStyle name="g_rate_Proj10_WACC-RAD (2)_THEsumPage (2)_HRT O&amp;G" xfId="9380" xr:uid="{00000000-0005-0000-0000-000094240000}"/>
    <cellStyle name="g_rate_Sensitivity" xfId="9381" xr:uid="{00000000-0005-0000-0000-000095240000}"/>
    <cellStyle name="g_rate_Sensitivity 2" xfId="9382" xr:uid="{00000000-0005-0000-0000-000096240000}"/>
    <cellStyle name="g_rate_Sensitivity 2 2" xfId="9383" xr:uid="{00000000-0005-0000-0000-000097240000}"/>
    <cellStyle name="g_rate_Sensitivity 2 2 2" xfId="9384" xr:uid="{00000000-0005-0000-0000-000098240000}"/>
    <cellStyle name="g_rate_Sensitivity 2 3" xfId="9385" xr:uid="{00000000-0005-0000-0000-000099240000}"/>
    <cellStyle name="g_rate_Sensitivity 3" xfId="9386" xr:uid="{00000000-0005-0000-0000-00009A240000}"/>
    <cellStyle name="g_rate_Sensitivity 3 2" xfId="9387" xr:uid="{00000000-0005-0000-0000-00009B240000}"/>
    <cellStyle name="g_rate_Sensitivity 4" xfId="9388" xr:uid="{00000000-0005-0000-0000-00009C240000}"/>
    <cellStyle name="g_rate_Sensitivity_CompSheet" xfId="9389" xr:uid="{00000000-0005-0000-0000-00009D240000}"/>
    <cellStyle name="g_rate_Sensitivity_CompSheet 2" xfId="9390" xr:uid="{00000000-0005-0000-0000-00009E240000}"/>
    <cellStyle name="g_rate_Sensitivity_CompSheet 2 2" xfId="9391" xr:uid="{00000000-0005-0000-0000-00009F240000}"/>
    <cellStyle name="g_rate_Sensitivity_CompSheet 2 2 2" xfId="9392" xr:uid="{00000000-0005-0000-0000-0000A0240000}"/>
    <cellStyle name="g_rate_Sensitivity_CompSheet 2 3" xfId="9393" xr:uid="{00000000-0005-0000-0000-0000A1240000}"/>
    <cellStyle name="g_rate_Sensitivity_CompSheet 3" xfId="9394" xr:uid="{00000000-0005-0000-0000-0000A2240000}"/>
    <cellStyle name="g_rate_Sensitivity_CompSheet 3 2" xfId="9395" xr:uid="{00000000-0005-0000-0000-0000A3240000}"/>
    <cellStyle name="g_rate_Sensitivity_CompSheet 4" xfId="9396" xr:uid="{00000000-0005-0000-0000-0000A4240000}"/>
    <cellStyle name="g_rate_Sensitivity_CompSheet_HRT O&amp;G" xfId="9397" xr:uid="{00000000-0005-0000-0000-0000A5240000}"/>
    <cellStyle name="g_rate_Sensitivity_HRT O&amp;G" xfId="9398" xr:uid="{00000000-0005-0000-0000-0000A6240000}"/>
    <cellStyle name="g_rate_Sensitivity_THEsumPage (2)" xfId="9399" xr:uid="{00000000-0005-0000-0000-0000A7240000}"/>
    <cellStyle name="g_rate_Sensitivity_THEsumPage (2) 2" xfId="9400" xr:uid="{00000000-0005-0000-0000-0000A8240000}"/>
    <cellStyle name="g_rate_Sensitivity_THEsumPage (2) 2 2" xfId="9401" xr:uid="{00000000-0005-0000-0000-0000A9240000}"/>
    <cellStyle name="g_rate_Sensitivity_THEsumPage (2) 2 2 2" xfId="9402" xr:uid="{00000000-0005-0000-0000-0000AA240000}"/>
    <cellStyle name="g_rate_Sensitivity_THEsumPage (2) 2 3" xfId="9403" xr:uid="{00000000-0005-0000-0000-0000AB240000}"/>
    <cellStyle name="g_rate_Sensitivity_THEsumPage (2) 3" xfId="9404" xr:uid="{00000000-0005-0000-0000-0000AC240000}"/>
    <cellStyle name="g_rate_Sensitivity_THEsumPage (2) 3 2" xfId="9405" xr:uid="{00000000-0005-0000-0000-0000AD240000}"/>
    <cellStyle name="g_rate_Sensitivity_THEsumPage (2) 4" xfId="9406" xr:uid="{00000000-0005-0000-0000-0000AE240000}"/>
    <cellStyle name="g_rate_Sensitivity_THEsumPage (2)_HRT O&amp;G" xfId="9407" xr:uid="{00000000-0005-0000-0000-0000AF240000}"/>
    <cellStyle name="g_rate_show-hold" xfId="9408" xr:uid="{00000000-0005-0000-0000-0000B0240000}"/>
    <cellStyle name="g_rate_show-hold 2" xfId="9409" xr:uid="{00000000-0005-0000-0000-0000B1240000}"/>
    <cellStyle name="g_rate_show-hold 2 2" xfId="9410" xr:uid="{00000000-0005-0000-0000-0000B2240000}"/>
    <cellStyle name="g_rate_show-hold 2 2 2" xfId="9411" xr:uid="{00000000-0005-0000-0000-0000B3240000}"/>
    <cellStyle name="g_rate_show-hold 2 3" xfId="9412" xr:uid="{00000000-0005-0000-0000-0000B4240000}"/>
    <cellStyle name="g_rate_show-hold 3" xfId="9413" xr:uid="{00000000-0005-0000-0000-0000B5240000}"/>
    <cellStyle name="g_rate_show-hold 3 2" xfId="9414" xr:uid="{00000000-0005-0000-0000-0000B6240000}"/>
    <cellStyle name="g_rate_show-hold 4" xfId="9415" xr:uid="{00000000-0005-0000-0000-0000B7240000}"/>
    <cellStyle name="g_rate_show-hold_CompSheet" xfId="9416" xr:uid="{00000000-0005-0000-0000-0000B8240000}"/>
    <cellStyle name="g_rate_show-hold_CompSheet 2" xfId="9417" xr:uid="{00000000-0005-0000-0000-0000B9240000}"/>
    <cellStyle name="g_rate_show-hold_CompSheet 2 2" xfId="9418" xr:uid="{00000000-0005-0000-0000-0000BA240000}"/>
    <cellStyle name="g_rate_show-hold_CompSheet 2 2 2" xfId="9419" xr:uid="{00000000-0005-0000-0000-0000BB240000}"/>
    <cellStyle name="g_rate_show-hold_CompSheet 2 3" xfId="9420" xr:uid="{00000000-0005-0000-0000-0000BC240000}"/>
    <cellStyle name="g_rate_show-hold_CompSheet 3" xfId="9421" xr:uid="{00000000-0005-0000-0000-0000BD240000}"/>
    <cellStyle name="g_rate_show-hold_CompSheet 3 2" xfId="9422" xr:uid="{00000000-0005-0000-0000-0000BE240000}"/>
    <cellStyle name="g_rate_show-hold_CompSheet 4" xfId="9423" xr:uid="{00000000-0005-0000-0000-0000BF240000}"/>
    <cellStyle name="g_rate_show-hold_CompSheet_HRT O&amp;G" xfId="9424" xr:uid="{00000000-0005-0000-0000-0000C0240000}"/>
    <cellStyle name="g_rate_show-hold_HRT O&amp;G" xfId="9425" xr:uid="{00000000-0005-0000-0000-0000C1240000}"/>
    <cellStyle name="g_rate_show-hold_THEsumPage (2)" xfId="9426" xr:uid="{00000000-0005-0000-0000-0000C2240000}"/>
    <cellStyle name="g_rate_show-hold_THEsumPage (2) 2" xfId="9427" xr:uid="{00000000-0005-0000-0000-0000C3240000}"/>
    <cellStyle name="g_rate_show-hold_THEsumPage (2) 2 2" xfId="9428" xr:uid="{00000000-0005-0000-0000-0000C4240000}"/>
    <cellStyle name="g_rate_show-hold_THEsumPage (2) 2 2 2" xfId="9429" xr:uid="{00000000-0005-0000-0000-0000C5240000}"/>
    <cellStyle name="g_rate_show-hold_THEsumPage (2) 2 3" xfId="9430" xr:uid="{00000000-0005-0000-0000-0000C6240000}"/>
    <cellStyle name="g_rate_show-hold_THEsumPage (2) 3" xfId="9431" xr:uid="{00000000-0005-0000-0000-0000C7240000}"/>
    <cellStyle name="g_rate_show-hold_THEsumPage (2) 3 2" xfId="9432" xr:uid="{00000000-0005-0000-0000-0000C8240000}"/>
    <cellStyle name="g_rate_show-hold_THEsumPage (2) 4" xfId="9433" xr:uid="{00000000-0005-0000-0000-0000C9240000}"/>
    <cellStyle name="g_rate_show-hold_THEsumPage (2)_HRT O&amp;G" xfId="9434" xr:uid="{00000000-0005-0000-0000-0000CA240000}"/>
    <cellStyle name="g_rate_THEsumPage (2)" xfId="9435" xr:uid="{00000000-0005-0000-0000-0000CB240000}"/>
    <cellStyle name="g_rate_THEsumPage (2) 2" xfId="9436" xr:uid="{00000000-0005-0000-0000-0000CC240000}"/>
    <cellStyle name="g_rate_THEsumPage (2) 2 2" xfId="9437" xr:uid="{00000000-0005-0000-0000-0000CD240000}"/>
    <cellStyle name="g_rate_THEsumPage (2) 2 2 2" xfId="9438" xr:uid="{00000000-0005-0000-0000-0000CE240000}"/>
    <cellStyle name="g_rate_THEsumPage (2) 2 3" xfId="9439" xr:uid="{00000000-0005-0000-0000-0000CF240000}"/>
    <cellStyle name="g_rate_THEsumPage (2) 3" xfId="9440" xr:uid="{00000000-0005-0000-0000-0000D0240000}"/>
    <cellStyle name="g_rate_THEsumPage (2) 3 2" xfId="9441" xr:uid="{00000000-0005-0000-0000-0000D1240000}"/>
    <cellStyle name="g_rate_THEsumPage (2) 4" xfId="9442" xr:uid="{00000000-0005-0000-0000-0000D2240000}"/>
    <cellStyle name="g_rate_THEsumPage (2)_HRT O&amp;G" xfId="9443" xr:uid="{00000000-0005-0000-0000-0000D3240000}"/>
    <cellStyle name="g_rate_Valuation summaries" xfId="9444" xr:uid="{00000000-0005-0000-0000-0000D4240000}"/>
    <cellStyle name="g_rate_Valuation summaries 2" xfId="9445" xr:uid="{00000000-0005-0000-0000-0000D5240000}"/>
    <cellStyle name="g_rate_Valuation summaries 2 2" xfId="9446" xr:uid="{00000000-0005-0000-0000-0000D6240000}"/>
    <cellStyle name="g_rate_Valuation summaries 2 2 2" xfId="9447" xr:uid="{00000000-0005-0000-0000-0000D7240000}"/>
    <cellStyle name="g_rate_Valuation summaries 2 3" xfId="9448" xr:uid="{00000000-0005-0000-0000-0000D8240000}"/>
    <cellStyle name="g_rate_Valuation summaries 3" xfId="9449" xr:uid="{00000000-0005-0000-0000-0000D9240000}"/>
    <cellStyle name="g_rate_Valuation summaries 3 2" xfId="9450" xr:uid="{00000000-0005-0000-0000-0000DA240000}"/>
    <cellStyle name="g_rate_Valuation summaries 4" xfId="9451" xr:uid="{00000000-0005-0000-0000-0000DB240000}"/>
    <cellStyle name="g_rate_Valuation summaries_HRT O&amp;G" xfId="9452" xr:uid="{00000000-0005-0000-0000-0000DC240000}"/>
    <cellStyle name="g_rate_WACC-CableCar" xfId="9453" xr:uid="{00000000-0005-0000-0000-0000DD240000}"/>
    <cellStyle name="g_rate_WACC-CableCar 2" xfId="9454" xr:uid="{00000000-0005-0000-0000-0000DE240000}"/>
    <cellStyle name="g_rate_WACC-CableCar 2 2" xfId="9455" xr:uid="{00000000-0005-0000-0000-0000DF240000}"/>
    <cellStyle name="g_rate_WACC-CableCar 2 2 2" xfId="9456" xr:uid="{00000000-0005-0000-0000-0000E0240000}"/>
    <cellStyle name="g_rate_WACC-CableCar 2 3" xfId="9457" xr:uid="{00000000-0005-0000-0000-0000E1240000}"/>
    <cellStyle name="g_rate_WACC-CableCar 3" xfId="9458" xr:uid="{00000000-0005-0000-0000-0000E2240000}"/>
    <cellStyle name="g_rate_WACC-CableCar 3 2" xfId="9459" xr:uid="{00000000-0005-0000-0000-0000E3240000}"/>
    <cellStyle name="g_rate_WACC-CableCar 4" xfId="9460" xr:uid="{00000000-0005-0000-0000-0000E4240000}"/>
    <cellStyle name="g_rate_WACC-CableCar_HRT O&amp;G" xfId="9461" xr:uid="{00000000-0005-0000-0000-0000E5240000}"/>
    <cellStyle name="g_rate_WACC-CableCar_THEsumPage (2)" xfId="9462" xr:uid="{00000000-0005-0000-0000-0000E6240000}"/>
    <cellStyle name="g_rate_WACC-CableCar_THEsumPage (2) 2" xfId="9463" xr:uid="{00000000-0005-0000-0000-0000E7240000}"/>
    <cellStyle name="g_rate_WACC-CableCar_THEsumPage (2) 2 2" xfId="9464" xr:uid="{00000000-0005-0000-0000-0000E8240000}"/>
    <cellStyle name="g_rate_WACC-CableCar_THEsumPage (2) 2 2 2" xfId="9465" xr:uid="{00000000-0005-0000-0000-0000E9240000}"/>
    <cellStyle name="g_rate_WACC-CableCar_THEsumPage (2) 2 3" xfId="9466" xr:uid="{00000000-0005-0000-0000-0000EA240000}"/>
    <cellStyle name="g_rate_WACC-CableCar_THEsumPage (2) 3" xfId="9467" xr:uid="{00000000-0005-0000-0000-0000EB240000}"/>
    <cellStyle name="g_rate_WACC-CableCar_THEsumPage (2) 3 2" xfId="9468" xr:uid="{00000000-0005-0000-0000-0000EC240000}"/>
    <cellStyle name="g_rate_WACC-CableCar_THEsumPage (2) 4" xfId="9469" xr:uid="{00000000-0005-0000-0000-0000ED240000}"/>
    <cellStyle name="g_rate_WACC-CableCar_THEsumPage (2)_HRT O&amp;G" xfId="9470" xr:uid="{00000000-0005-0000-0000-0000EE240000}"/>
    <cellStyle name="g_rate_WACC-RAD (2)" xfId="9471" xr:uid="{00000000-0005-0000-0000-0000EF240000}"/>
    <cellStyle name="g_rate_WACC-RAD (2) 2" xfId="9472" xr:uid="{00000000-0005-0000-0000-0000F0240000}"/>
    <cellStyle name="g_rate_WACC-RAD (2) 2 2" xfId="9473" xr:uid="{00000000-0005-0000-0000-0000F1240000}"/>
    <cellStyle name="g_rate_WACC-RAD (2) 2 2 2" xfId="9474" xr:uid="{00000000-0005-0000-0000-0000F2240000}"/>
    <cellStyle name="g_rate_WACC-RAD (2) 2 3" xfId="9475" xr:uid="{00000000-0005-0000-0000-0000F3240000}"/>
    <cellStyle name="g_rate_WACC-RAD (2) 3" xfId="9476" xr:uid="{00000000-0005-0000-0000-0000F4240000}"/>
    <cellStyle name="g_rate_WACC-RAD (2) 3 2" xfId="9477" xr:uid="{00000000-0005-0000-0000-0000F5240000}"/>
    <cellStyle name="g_rate_WACC-RAD (2) 4" xfId="9478" xr:uid="{00000000-0005-0000-0000-0000F6240000}"/>
    <cellStyle name="g_rate_WACC-RAD (2)_HRT O&amp;G" xfId="9479" xr:uid="{00000000-0005-0000-0000-0000F7240000}"/>
    <cellStyle name="g_rate_WACC-RAD (2)_THEsumPage (2)" xfId="9480" xr:uid="{00000000-0005-0000-0000-0000F8240000}"/>
    <cellStyle name="g_rate_WACC-RAD (2)_THEsumPage (2) 2" xfId="9481" xr:uid="{00000000-0005-0000-0000-0000F9240000}"/>
    <cellStyle name="g_rate_WACC-RAD (2)_THEsumPage (2) 2 2" xfId="9482" xr:uid="{00000000-0005-0000-0000-0000FA240000}"/>
    <cellStyle name="g_rate_WACC-RAD (2)_THEsumPage (2) 2 2 2" xfId="9483" xr:uid="{00000000-0005-0000-0000-0000FB240000}"/>
    <cellStyle name="g_rate_WACC-RAD (2)_THEsumPage (2) 2 3" xfId="9484" xr:uid="{00000000-0005-0000-0000-0000FC240000}"/>
    <cellStyle name="g_rate_WACC-RAD (2)_THEsumPage (2) 3" xfId="9485" xr:uid="{00000000-0005-0000-0000-0000FD240000}"/>
    <cellStyle name="g_rate_WACC-RAD (2)_THEsumPage (2) 3 2" xfId="9486" xr:uid="{00000000-0005-0000-0000-0000FE240000}"/>
    <cellStyle name="g_rate_WACC-RAD (2)_THEsumPage (2) 4" xfId="9487" xr:uid="{00000000-0005-0000-0000-0000FF240000}"/>
    <cellStyle name="g_rate_WACC-RAD (2)_THEsumPage (2)_HRT O&amp;G" xfId="9488" xr:uid="{00000000-0005-0000-0000-000000250000}"/>
    <cellStyle name="General" xfId="9489" xr:uid="{00000000-0005-0000-0000-000001250000}"/>
    <cellStyle name="Good 2" xfId="9490" xr:uid="{00000000-0005-0000-0000-000002250000}"/>
    <cellStyle name="green" xfId="9491" xr:uid="{00000000-0005-0000-0000-000003250000}"/>
    <cellStyle name="Grey" xfId="9492" xr:uid="{00000000-0005-0000-0000-000004250000}"/>
    <cellStyle name="Grey Heading" xfId="9493" xr:uid="{00000000-0005-0000-0000-000005250000}"/>
    <cellStyle name="Grey Heading 2" xfId="9494" xr:uid="{00000000-0005-0000-0000-000006250000}"/>
    <cellStyle name="Grey_HRT O&amp;G" xfId="9495" xr:uid="{00000000-0005-0000-0000-000007250000}"/>
    <cellStyle name="hard no." xfId="9496" xr:uid="{00000000-0005-0000-0000-000008250000}"/>
    <cellStyle name="hard no. 2" xfId="9497" xr:uid="{00000000-0005-0000-0000-000009250000}"/>
    <cellStyle name="hard no. 2 2" xfId="9498" xr:uid="{00000000-0005-0000-0000-00000A250000}"/>
    <cellStyle name="hard no. 2 2 2" xfId="9499" xr:uid="{00000000-0005-0000-0000-00000B250000}"/>
    <cellStyle name="hard no. 2 2 2 2" xfId="9500" xr:uid="{00000000-0005-0000-0000-00000C250000}"/>
    <cellStyle name="hard no. 2 2 2 2 2" xfId="9501" xr:uid="{00000000-0005-0000-0000-00000D250000}"/>
    <cellStyle name="hard no. 2 2 2 3" xfId="9502" xr:uid="{00000000-0005-0000-0000-00000E250000}"/>
    <cellStyle name="hard no. 2 2 2 4" xfId="9503" xr:uid="{00000000-0005-0000-0000-00000F250000}"/>
    <cellStyle name="hard no. 2 2 3" xfId="9504" xr:uid="{00000000-0005-0000-0000-000010250000}"/>
    <cellStyle name="hard no. 2 2 3 2" xfId="9505" xr:uid="{00000000-0005-0000-0000-000011250000}"/>
    <cellStyle name="hard no. 2 2 4" xfId="9506" xr:uid="{00000000-0005-0000-0000-000012250000}"/>
    <cellStyle name="hard no. 2 2 5" xfId="9507" xr:uid="{00000000-0005-0000-0000-000013250000}"/>
    <cellStyle name="hard no. 2 3" xfId="9508" xr:uid="{00000000-0005-0000-0000-000014250000}"/>
    <cellStyle name="hard no. 2 3 2" xfId="9509" xr:uid="{00000000-0005-0000-0000-000015250000}"/>
    <cellStyle name="hard no. 2 3 2 2" xfId="9510" xr:uid="{00000000-0005-0000-0000-000016250000}"/>
    <cellStyle name="hard no. 2 3 2 2 2" xfId="9511" xr:uid="{00000000-0005-0000-0000-000017250000}"/>
    <cellStyle name="hard no. 2 3 2 3" xfId="9512" xr:uid="{00000000-0005-0000-0000-000018250000}"/>
    <cellStyle name="hard no. 2 3 2 4" xfId="9513" xr:uid="{00000000-0005-0000-0000-000019250000}"/>
    <cellStyle name="hard no. 2 3 3" xfId="9514" xr:uid="{00000000-0005-0000-0000-00001A250000}"/>
    <cellStyle name="hard no. 2 3 3 2" xfId="9515" xr:uid="{00000000-0005-0000-0000-00001B250000}"/>
    <cellStyle name="hard no. 2 3 4" xfId="9516" xr:uid="{00000000-0005-0000-0000-00001C250000}"/>
    <cellStyle name="hard no. 2 3 5" xfId="9517" xr:uid="{00000000-0005-0000-0000-00001D250000}"/>
    <cellStyle name="hard no. 2 4" xfId="9518" xr:uid="{00000000-0005-0000-0000-00001E250000}"/>
    <cellStyle name="hard no. 2 4 2" xfId="9519" xr:uid="{00000000-0005-0000-0000-00001F250000}"/>
    <cellStyle name="hard no. 2 4 2 2" xfId="9520" xr:uid="{00000000-0005-0000-0000-000020250000}"/>
    <cellStyle name="hard no. 2 4 2 2 2" xfId="9521" xr:uid="{00000000-0005-0000-0000-000021250000}"/>
    <cellStyle name="hard no. 2 4 2 3" xfId="9522" xr:uid="{00000000-0005-0000-0000-000022250000}"/>
    <cellStyle name="hard no. 2 4 2 4" xfId="9523" xr:uid="{00000000-0005-0000-0000-000023250000}"/>
    <cellStyle name="hard no. 2 4 3" xfId="9524" xr:uid="{00000000-0005-0000-0000-000024250000}"/>
    <cellStyle name="hard no. 2 4 3 2" xfId="9525" xr:uid="{00000000-0005-0000-0000-000025250000}"/>
    <cellStyle name="hard no. 2 4 4" xfId="9526" xr:uid="{00000000-0005-0000-0000-000026250000}"/>
    <cellStyle name="hard no. 2 4 5" xfId="9527" xr:uid="{00000000-0005-0000-0000-000027250000}"/>
    <cellStyle name="hard no. 2 5" xfId="9528" xr:uid="{00000000-0005-0000-0000-000028250000}"/>
    <cellStyle name="hard no. 2 5 2" xfId="9529" xr:uid="{00000000-0005-0000-0000-000029250000}"/>
    <cellStyle name="hard no. 2 5 2 2" xfId="9530" xr:uid="{00000000-0005-0000-0000-00002A250000}"/>
    <cellStyle name="hard no. 2 5 2 2 2" xfId="9531" xr:uid="{00000000-0005-0000-0000-00002B250000}"/>
    <cellStyle name="hard no. 2 5 2 3" xfId="9532" xr:uid="{00000000-0005-0000-0000-00002C250000}"/>
    <cellStyle name="hard no. 2 5 2 4" xfId="9533" xr:uid="{00000000-0005-0000-0000-00002D250000}"/>
    <cellStyle name="hard no. 2 5 3" xfId="9534" xr:uid="{00000000-0005-0000-0000-00002E250000}"/>
    <cellStyle name="hard no. 2 5 3 2" xfId="9535" xr:uid="{00000000-0005-0000-0000-00002F250000}"/>
    <cellStyle name="hard no. 2 5 4" xfId="9536" xr:uid="{00000000-0005-0000-0000-000030250000}"/>
    <cellStyle name="hard no. 2 5 5" xfId="9537" xr:uid="{00000000-0005-0000-0000-000031250000}"/>
    <cellStyle name="hard no. 2 6" xfId="9538" xr:uid="{00000000-0005-0000-0000-000032250000}"/>
    <cellStyle name="hard no. 2 6 2" xfId="9539" xr:uid="{00000000-0005-0000-0000-000033250000}"/>
    <cellStyle name="hard no. 2 7" xfId="9540" xr:uid="{00000000-0005-0000-0000-000034250000}"/>
    <cellStyle name="hard no. 2 8" xfId="9541" xr:uid="{00000000-0005-0000-0000-000035250000}"/>
    <cellStyle name="hard no. 3" xfId="9542" xr:uid="{00000000-0005-0000-0000-000036250000}"/>
    <cellStyle name="hard no. 3 2" xfId="9543" xr:uid="{00000000-0005-0000-0000-000037250000}"/>
    <cellStyle name="hard no. 3 2 2" xfId="9544" xr:uid="{00000000-0005-0000-0000-000038250000}"/>
    <cellStyle name="hard no. 3 2 2 2" xfId="9545" xr:uid="{00000000-0005-0000-0000-000039250000}"/>
    <cellStyle name="hard no. 3 2 3" xfId="9546" xr:uid="{00000000-0005-0000-0000-00003A250000}"/>
    <cellStyle name="hard no. 3 2 4" xfId="9547" xr:uid="{00000000-0005-0000-0000-00003B250000}"/>
    <cellStyle name="hard no. 3 3" xfId="9548" xr:uid="{00000000-0005-0000-0000-00003C250000}"/>
    <cellStyle name="hard no. 3 3 2" xfId="9549" xr:uid="{00000000-0005-0000-0000-00003D250000}"/>
    <cellStyle name="hard no. 3 4" xfId="9550" xr:uid="{00000000-0005-0000-0000-00003E250000}"/>
    <cellStyle name="hard no. 3 5" xfId="9551" xr:uid="{00000000-0005-0000-0000-00003F250000}"/>
    <cellStyle name="hard no. 4" xfId="9552" xr:uid="{00000000-0005-0000-0000-000040250000}"/>
    <cellStyle name="hard no. 4 2" xfId="9553" xr:uid="{00000000-0005-0000-0000-000041250000}"/>
    <cellStyle name="hard no. 4 2 2" xfId="9554" xr:uid="{00000000-0005-0000-0000-000042250000}"/>
    <cellStyle name="hard no. 4 2 2 2" xfId="9555" xr:uid="{00000000-0005-0000-0000-000043250000}"/>
    <cellStyle name="hard no. 4 2 3" xfId="9556" xr:uid="{00000000-0005-0000-0000-000044250000}"/>
    <cellStyle name="hard no. 4 2 4" xfId="9557" xr:uid="{00000000-0005-0000-0000-000045250000}"/>
    <cellStyle name="hard no. 4 3" xfId="9558" xr:uid="{00000000-0005-0000-0000-000046250000}"/>
    <cellStyle name="hard no. 4 3 2" xfId="9559" xr:uid="{00000000-0005-0000-0000-000047250000}"/>
    <cellStyle name="hard no. 4 4" xfId="9560" xr:uid="{00000000-0005-0000-0000-000048250000}"/>
    <cellStyle name="hard no. 4 5" xfId="9561" xr:uid="{00000000-0005-0000-0000-000049250000}"/>
    <cellStyle name="hard no. 5" xfId="9562" xr:uid="{00000000-0005-0000-0000-00004A250000}"/>
    <cellStyle name="hard no. 5 2" xfId="9563" xr:uid="{00000000-0005-0000-0000-00004B250000}"/>
    <cellStyle name="hard no. 5 2 2" xfId="9564" xr:uid="{00000000-0005-0000-0000-00004C250000}"/>
    <cellStyle name="hard no. 5 2 2 2" xfId="9565" xr:uid="{00000000-0005-0000-0000-00004D250000}"/>
    <cellStyle name="hard no. 5 2 3" xfId="9566" xr:uid="{00000000-0005-0000-0000-00004E250000}"/>
    <cellStyle name="hard no. 5 2 4" xfId="9567" xr:uid="{00000000-0005-0000-0000-00004F250000}"/>
    <cellStyle name="hard no. 5 3" xfId="9568" xr:uid="{00000000-0005-0000-0000-000050250000}"/>
    <cellStyle name="hard no. 5 3 2" xfId="9569" xr:uid="{00000000-0005-0000-0000-000051250000}"/>
    <cellStyle name="hard no. 5 4" xfId="9570" xr:uid="{00000000-0005-0000-0000-000052250000}"/>
    <cellStyle name="hard no. 5 5" xfId="9571" xr:uid="{00000000-0005-0000-0000-000053250000}"/>
    <cellStyle name="hard no. 6" xfId="9572" xr:uid="{00000000-0005-0000-0000-000054250000}"/>
    <cellStyle name="hard no. 6 2" xfId="9573" xr:uid="{00000000-0005-0000-0000-000055250000}"/>
    <cellStyle name="hard no. 6 2 2" xfId="9574" xr:uid="{00000000-0005-0000-0000-000056250000}"/>
    <cellStyle name="hard no. 6 2 2 2" xfId="9575" xr:uid="{00000000-0005-0000-0000-000057250000}"/>
    <cellStyle name="hard no. 6 2 3" xfId="9576" xr:uid="{00000000-0005-0000-0000-000058250000}"/>
    <cellStyle name="hard no. 6 2 4" xfId="9577" xr:uid="{00000000-0005-0000-0000-000059250000}"/>
    <cellStyle name="hard no. 6 3" xfId="9578" xr:uid="{00000000-0005-0000-0000-00005A250000}"/>
    <cellStyle name="hard no. 6 3 2" xfId="9579" xr:uid="{00000000-0005-0000-0000-00005B250000}"/>
    <cellStyle name="hard no. 6 4" xfId="9580" xr:uid="{00000000-0005-0000-0000-00005C250000}"/>
    <cellStyle name="hard no. 6 5" xfId="9581" xr:uid="{00000000-0005-0000-0000-00005D250000}"/>
    <cellStyle name="hard no. 7" xfId="9582" xr:uid="{00000000-0005-0000-0000-00005E250000}"/>
    <cellStyle name="hard no. 7 2" xfId="9583" xr:uid="{00000000-0005-0000-0000-00005F250000}"/>
    <cellStyle name="hard no. 8" xfId="9584" xr:uid="{00000000-0005-0000-0000-000060250000}"/>
    <cellStyle name="hard no. 9" xfId="9585" xr:uid="{00000000-0005-0000-0000-000061250000}"/>
    <cellStyle name="Hard Percent" xfId="9586" xr:uid="{00000000-0005-0000-0000-000062250000}"/>
    <cellStyle name="Header" xfId="9587" xr:uid="{00000000-0005-0000-0000-000063250000}"/>
    <cellStyle name="Header1" xfId="9588" xr:uid="{00000000-0005-0000-0000-000064250000}"/>
    <cellStyle name="Header1 2" xfId="9589" xr:uid="{00000000-0005-0000-0000-000065250000}"/>
    <cellStyle name="Header1 2 2" xfId="9590" xr:uid="{00000000-0005-0000-0000-000066250000}"/>
    <cellStyle name="Header2" xfId="9591" xr:uid="{00000000-0005-0000-0000-000067250000}"/>
    <cellStyle name="Header2 10" xfId="9592" xr:uid="{00000000-0005-0000-0000-000068250000}"/>
    <cellStyle name="Header2 10 2" xfId="9593" xr:uid="{00000000-0005-0000-0000-000069250000}"/>
    <cellStyle name="Header2 10 2 2" xfId="9594" xr:uid="{00000000-0005-0000-0000-00006A250000}"/>
    <cellStyle name="Header2 10 3" xfId="9595" xr:uid="{00000000-0005-0000-0000-00006B250000}"/>
    <cellStyle name="Header2 11" xfId="9596" xr:uid="{00000000-0005-0000-0000-00006C250000}"/>
    <cellStyle name="Header2 11 2" xfId="9597" xr:uid="{00000000-0005-0000-0000-00006D250000}"/>
    <cellStyle name="Header2 12" xfId="9598" xr:uid="{00000000-0005-0000-0000-00006E250000}"/>
    <cellStyle name="Header2 2" xfId="9599" xr:uid="{00000000-0005-0000-0000-00006F250000}"/>
    <cellStyle name="Header2 2 10" xfId="9600" xr:uid="{00000000-0005-0000-0000-000070250000}"/>
    <cellStyle name="Header2 2 10 2" xfId="9601" xr:uid="{00000000-0005-0000-0000-000071250000}"/>
    <cellStyle name="Header2 2 11" xfId="9602" xr:uid="{00000000-0005-0000-0000-000072250000}"/>
    <cellStyle name="Header2 2 2" xfId="9603" xr:uid="{00000000-0005-0000-0000-000073250000}"/>
    <cellStyle name="Header2 2 2 2" xfId="9604" xr:uid="{00000000-0005-0000-0000-000074250000}"/>
    <cellStyle name="Header2 2 2 2 2" xfId="9605" xr:uid="{00000000-0005-0000-0000-000075250000}"/>
    <cellStyle name="Header2 2 2 2 2 2" xfId="9606" xr:uid="{00000000-0005-0000-0000-000076250000}"/>
    <cellStyle name="Header2 2 2 2 2 2 2" xfId="9607" xr:uid="{00000000-0005-0000-0000-000077250000}"/>
    <cellStyle name="Header2 2 2 2 2 3" xfId="9608" xr:uid="{00000000-0005-0000-0000-000078250000}"/>
    <cellStyle name="Header2 2 2 2 3" xfId="9609" xr:uid="{00000000-0005-0000-0000-000079250000}"/>
    <cellStyle name="Header2 2 2 2 3 2" xfId="9610" xr:uid="{00000000-0005-0000-0000-00007A250000}"/>
    <cellStyle name="Header2 2 2 2 4" xfId="9611" xr:uid="{00000000-0005-0000-0000-00007B250000}"/>
    <cellStyle name="Header2 2 2 3" xfId="9612" xr:uid="{00000000-0005-0000-0000-00007C250000}"/>
    <cellStyle name="Header2 2 2 3 2" xfId="9613" xr:uid="{00000000-0005-0000-0000-00007D250000}"/>
    <cellStyle name="Header2 2 2 3 2 2" xfId="9614" xr:uid="{00000000-0005-0000-0000-00007E250000}"/>
    <cellStyle name="Header2 2 2 3 2 2 2" xfId="9615" xr:uid="{00000000-0005-0000-0000-00007F250000}"/>
    <cellStyle name="Header2 2 2 3 2 3" xfId="9616" xr:uid="{00000000-0005-0000-0000-000080250000}"/>
    <cellStyle name="Header2 2 2 3 3" xfId="9617" xr:uid="{00000000-0005-0000-0000-000081250000}"/>
    <cellStyle name="Header2 2 2 3 3 2" xfId="9618" xr:uid="{00000000-0005-0000-0000-000082250000}"/>
    <cellStyle name="Header2 2 2 3 4" xfId="9619" xr:uid="{00000000-0005-0000-0000-000083250000}"/>
    <cellStyle name="Header2 2 2 4" xfId="9620" xr:uid="{00000000-0005-0000-0000-000084250000}"/>
    <cellStyle name="Header2 2 2 4 2" xfId="9621" xr:uid="{00000000-0005-0000-0000-000085250000}"/>
    <cellStyle name="Header2 2 2 4 2 2" xfId="9622" xr:uid="{00000000-0005-0000-0000-000086250000}"/>
    <cellStyle name="Header2 2 2 4 3" xfId="9623" xr:uid="{00000000-0005-0000-0000-000087250000}"/>
    <cellStyle name="Header2 2 2 5" xfId="9624" xr:uid="{00000000-0005-0000-0000-000088250000}"/>
    <cellStyle name="Header2 2 2 5 2" xfId="9625" xr:uid="{00000000-0005-0000-0000-000089250000}"/>
    <cellStyle name="Header2 2 2 6" xfId="9626" xr:uid="{00000000-0005-0000-0000-00008A250000}"/>
    <cellStyle name="Header2 2 3" xfId="9627" xr:uid="{00000000-0005-0000-0000-00008B250000}"/>
    <cellStyle name="Header2 2 3 2" xfId="9628" xr:uid="{00000000-0005-0000-0000-00008C250000}"/>
    <cellStyle name="Header2 2 3 2 2" xfId="9629" xr:uid="{00000000-0005-0000-0000-00008D250000}"/>
    <cellStyle name="Header2 2 3 2 2 2" xfId="9630" xr:uid="{00000000-0005-0000-0000-00008E250000}"/>
    <cellStyle name="Header2 2 3 2 2 2 2" xfId="9631" xr:uid="{00000000-0005-0000-0000-00008F250000}"/>
    <cellStyle name="Header2 2 3 2 2 3" xfId="9632" xr:uid="{00000000-0005-0000-0000-000090250000}"/>
    <cellStyle name="Header2 2 3 2 3" xfId="9633" xr:uid="{00000000-0005-0000-0000-000091250000}"/>
    <cellStyle name="Header2 2 3 2 3 2" xfId="9634" xr:uid="{00000000-0005-0000-0000-000092250000}"/>
    <cellStyle name="Header2 2 3 2 4" xfId="9635" xr:uid="{00000000-0005-0000-0000-000093250000}"/>
    <cellStyle name="Header2 2 3 3" xfId="9636" xr:uid="{00000000-0005-0000-0000-000094250000}"/>
    <cellStyle name="Header2 2 3 3 2" xfId="9637" xr:uid="{00000000-0005-0000-0000-000095250000}"/>
    <cellStyle name="Header2 2 3 3 2 2" xfId="9638" xr:uid="{00000000-0005-0000-0000-000096250000}"/>
    <cellStyle name="Header2 2 3 3 3" xfId="9639" xr:uid="{00000000-0005-0000-0000-000097250000}"/>
    <cellStyle name="Header2 2 3 4" xfId="9640" xr:uid="{00000000-0005-0000-0000-000098250000}"/>
    <cellStyle name="Header2 2 3 4 2" xfId="9641" xr:uid="{00000000-0005-0000-0000-000099250000}"/>
    <cellStyle name="Header2 2 3 5" xfId="9642" xr:uid="{00000000-0005-0000-0000-00009A250000}"/>
    <cellStyle name="Header2 2 4" xfId="9643" xr:uid="{00000000-0005-0000-0000-00009B250000}"/>
    <cellStyle name="Header2 2 4 2" xfId="9644" xr:uid="{00000000-0005-0000-0000-00009C250000}"/>
    <cellStyle name="Header2 2 4 2 2" xfId="9645" xr:uid="{00000000-0005-0000-0000-00009D250000}"/>
    <cellStyle name="Header2 2 4 2 2 2" xfId="9646" xr:uid="{00000000-0005-0000-0000-00009E250000}"/>
    <cellStyle name="Header2 2 4 2 2 2 2" xfId="9647" xr:uid="{00000000-0005-0000-0000-00009F250000}"/>
    <cellStyle name="Header2 2 4 2 2 3" xfId="9648" xr:uid="{00000000-0005-0000-0000-0000A0250000}"/>
    <cellStyle name="Header2 2 4 2 3" xfId="9649" xr:uid="{00000000-0005-0000-0000-0000A1250000}"/>
    <cellStyle name="Header2 2 4 2 3 2" xfId="9650" xr:uid="{00000000-0005-0000-0000-0000A2250000}"/>
    <cellStyle name="Header2 2 4 2 4" xfId="9651" xr:uid="{00000000-0005-0000-0000-0000A3250000}"/>
    <cellStyle name="Header2 2 4 3" xfId="9652" xr:uid="{00000000-0005-0000-0000-0000A4250000}"/>
    <cellStyle name="Header2 2 4 3 2" xfId="9653" xr:uid="{00000000-0005-0000-0000-0000A5250000}"/>
    <cellStyle name="Header2 2 4 3 2 2" xfId="9654" xr:uid="{00000000-0005-0000-0000-0000A6250000}"/>
    <cellStyle name="Header2 2 4 3 3" xfId="9655" xr:uid="{00000000-0005-0000-0000-0000A7250000}"/>
    <cellStyle name="Header2 2 4 4" xfId="9656" xr:uid="{00000000-0005-0000-0000-0000A8250000}"/>
    <cellStyle name="Header2 2 4 4 2" xfId="9657" xr:uid="{00000000-0005-0000-0000-0000A9250000}"/>
    <cellStyle name="Header2 2 4 5" xfId="9658" xr:uid="{00000000-0005-0000-0000-0000AA250000}"/>
    <cellStyle name="Header2 2 5" xfId="9659" xr:uid="{00000000-0005-0000-0000-0000AB250000}"/>
    <cellStyle name="Header2 2 5 2" xfId="9660" xr:uid="{00000000-0005-0000-0000-0000AC250000}"/>
    <cellStyle name="Header2 2 5 2 2" xfId="9661" xr:uid="{00000000-0005-0000-0000-0000AD250000}"/>
    <cellStyle name="Header2 2 5 2 2 2" xfId="9662" xr:uid="{00000000-0005-0000-0000-0000AE250000}"/>
    <cellStyle name="Header2 2 5 2 2 2 2" xfId="9663" xr:uid="{00000000-0005-0000-0000-0000AF250000}"/>
    <cellStyle name="Header2 2 5 2 2 3" xfId="9664" xr:uid="{00000000-0005-0000-0000-0000B0250000}"/>
    <cellStyle name="Header2 2 5 2 3" xfId="9665" xr:uid="{00000000-0005-0000-0000-0000B1250000}"/>
    <cellStyle name="Header2 2 5 2 3 2" xfId="9666" xr:uid="{00000000-0005-0000-0000-0000B2250000}"/>
    <cellStyle name="Header2 2 5 2 4" xfId="9667" xr:uid="{00000000-0005-0000-0000-0000B3250000}"/>
    <cellStyle name="Header2 2 5 3" xfId="9668" xr:uid="{00000000-0005-0000-0000-0000B4250000}"/>
    <cellStyle name="Header2 2 5 3 2" xfId="9669" xr:uid="{00000000-0005-0000-0000-0000B5250000}"/>
    <cellStyle name="Header2 2 5 3 2 2" xfId="9670" xr:uid="{00000000-0005-0000-0000-0000B6250000}"/>
    <cellStyle name="Header2 2 5 3 3" xfId="9671" xr:uid="{00000000-0005-0000-0000-0000B7250000}"/>
    <cellStyle name="Header2 2 5 4" xfId="9672" xr:uid="{00000000-0005-0000-0000-0000B8250000}"/>
    <cellStyle name="Header2 2 5 4 2" xfId="9673" xr:uid="{00000000-0005-0000-0000-0000B9250000}"/>
    <cellStyle name="Header2 2 5 5" xfId="9674" xr:uid="{00000000-0005-0000-0000-0000BA250000}"/>
    <cellStyle name="Header2 2 6" xfId="9675" xr:uid="{00000000-0005-0000-0000-0000BB250000}"/>
    <cellStyle name="Header2 2 6 2" xfId="9676" xr:uid="{00000000-0005-0000-0000-0000BC250000}"/>
    <cellStyle name="Header2 2 6 2 2" xfId="9677" xr:uid="{00000000-0005-0000-0000-0000BD250000}"/>
    <cellStyle name="Header2 2 6 2 2 2" xfId="9678" xr:uid="{00000000-0005-0000-0000-0000BE250000}"/>
    <cellStyle name="Header2 2 6 2 2 2 2" xfId="9679" xr:uid="{00000000-0005-0000-0000-0000BF250000}"/>
    <cellStyle name="Header2 2 6 2 2 3" xfId="9680" xr:uid="{00000000-0005-0000-0000-0000C0250000}"/>
    <cellStyle name="Header2 2 6 2 3" xfId="9681" xr:uid="{00000000-0005-0000-0000-0000C1250000}"/>
    <cellStyle name="Header2 2 6 2 3 2" xfId="9682" xr:uid="{00000000-0005-0000-0000-0000C2250000}"/>
    <cellStyle name="Header2 2 6 2 4" xfId="9683" xr:uid="{00000000-0005-0000-0000-0000C3250000}"/>
    <cellStyle name="Header2 2 6 3" xfId="9684" xr:uid="{00000000-0005-0000-0000-0000C4250000}"/>
    <cellStyle name="Header2 2 6 3 2" xfId="9685" xr:uid="{00000000-0005-0000-0000-0000C5250000}"/>
    <cellStyle name="Header2 2 6 3 2 2" xfId="9686" xr:uid="{00000000-0005-0000-0000-0000C6250000}"/>
    <cellStyle name="Header2 2 6 3 2 2 2" xfId="9687" xr:uid="{00000000-0005-0000-0000-0000C7250000}"/>
    <cellStyle name="Header2 2 6 3 2 3" xfId="9688" xr:uid="{00000000-0005-0000-0000-0000C8250000}"/>
    <cellStyle name="Header2 2 6 3 3" xfId="9689" xr:uid="{00000000-0005-0000-0000-0000C9250000}"/>
    <cellStyle name="Header2 2 6 3 3 2" xfId="9690" xr:uid="{00000000-0005-0000-0000-0000CA250000}"/>
    <cellStyle name="Header2 2 6 3 4" xfId="9691" xr:uid="{00000000-0005-0000-0000-0000CB250000}"/>
    <cellStyle name="Header2 2 6 4" xfId="9692" xr:uid="{00000000-0005-0000-0000-0000CC250000}"/>
    <cellStyle name="Header2 2 6 4 2" xfId="9693" xr:uid="{00000000-0005-0000-0000-0000CD250000}"/>
    <cellStyle name="Header2 2 6 4 2 2" xfId="9694" xr:uid="{00000000-0005-0000-0000-0000CE250000}"/>
    <cellStyle name="Header2 2 6 4 3" xfId="9695" xr:uid="{00000000-0005-0000-0000-0000CF250000}"/>
    <cellStyle name="Header2 2 6 5" xfId="9696" xr:uid="{00000000-0005-0000-0000-0000D0250000}"/>
    <cellStyle name="Header2 2 6 5 2" xfId="9697" xr:uid="{00000000-0005-0000-0000-0000D1250000}"/>
    <cellStyle name="Header2 2 6 6" xfId="9698" xr:uid="{00000000-0005-0000-0000-0000D2250000}"/>
    <cellStyle name="Header2 2 7" xfId="9699" xr:uid="{00000000-0005-0000-0000-0000D3250000}"/>
    <cellStyle name="Header2 2 7 2" xfId="9700" xr:uid="{00000000-0005-0000-0000-0000D4250000}"/>
    <cellStyle name="Header2 2 7 2 2" xfId="9701" xr:uid="{00000000-0005-0000-0000-0000D5250000}"/>
    <cellStyle name="Header2 2 7 2 2 2" xfId="9702" xr:uid="{00000000-0005-0000-0000-0000D6250000}"/>
    <cellStyle name="Header2 2 7 2 3" xfId="9703" xr:uid="{00000000-0005-0000-0000-0000D7250000}"/>
    <cellStyle name="Header2 2 7 3" xfId="9704" xr:uid="{00000000-0005-0000-0000-0000D8250000}"/>
    <cellStyle name="Header2 2 7 3 2" xfId="9705" xr:uid="{00000000-0005-0000-0000-0000D9250000}"/>
    <cellStyle name="Header2 2 7 4" xfId="9706" xr:uid="{00000000-0005-0000-0000-0000DA250000}"/>
    <cellStyle name="Header2 2 8" xfId="9707" xr:uid="{00000000-0005-0000-0000-0000DB250000}"/>
    <cellStyle name="Header2 2 8 2" xfId="9708" xr:uid="{00000000-0005-0000-0000-0000DC250000}"/>
    <cellStyle name="Header2 2 8 2 2" xfId="9709" xr:uid="{00000000-0005-0000-0000-0000DD250000}"/>
    <cellStyle name="Header2 2 8 2 2 2" xfId="9710" xr:uid="{00000000-0005-0000-0000-0000DE250000}"/>
    <cellStyle name="Header2 2 8 2 3" xfId="9711" xr:uid="{00000000-0005-0000-0000-0000DF250000}"/>
    <cellStyle name="Header2 2 8 3" xfId="9712" xr:uid="{00000000-0005-0000-0000-0000E0250000}"/>
    <cellStyle name="Header2 2 8 3 2" xfId="9713" xr:uid="{00000000-0005-0000-0000-0000E1250000}"/>
    <cellStyle name="Header2 2 8 4" xfId="9714" xr:uid="{00000000-0005-0000-0000-0000E2250000}"/>
    <cellStyle name="Header2 2 9" xfId="9715" xr:uid="{00000000-0005-0000-0000-0000E3250000}"/>
    <cellStyle name="Header2 2 9 2" xfId="9716" xr:uid="{00000000-0005-0000-0000-0000E4250000}"/>
    <cellStyle name="Header2 2 9 2 2" xfId="9717" xr:uid="{00000000-0005-0000-0000-0000E5250000}"/>
    <cellStyle name="Header2 2 9 3" xfId="9718" xr:uid="{00000000-0005-0000-0000-0000E6250000}"/>
    <cellStyle name="Header2 3" xfId="9719" xr:uid="{00000000-0005-0000-0000-0000E7250000}"/>
    <cellStyle name="Header2 3 2" xfId="9720" xr:uid="{00000000-0005-0000-0000-0000E8250000}"/>
    <cellStyle name="Header2 3 2 2" xfId="9721" xr:uid="{00000000-0005-0000-0000-0000E9250000}"/>
    <cellStyle name="Header2 3 2 2 2" xfId="9722" xr:uid="{00000000-0005-0000-0000-0000EA250000}"/>
    <cellStyle name="Header2 3 2 2 2 2" xfId="9723" xr:uid="{00000000-0005-0000-0000-0000EB250000}"/>
    <cellStyle name="Header2 3 2 2 3" xfId="9724" xr:uid="{00000000-0005-0000-0000-0000EC250000}"/>
    <cellStyle name="Header2 3 2 3" xfId="9725" xr:uid="{00000000-0005-0000-0000-0000ED250000}"/>
    <cellStyle name="Header2 3 2 3 2" xfId="9726" xr:uid="{00000000-0005-0000-0000-0000EE250000}"/>
    <cellStyle name="Header2 3 2 4" xfId="9727" xr:uid="{00000000-0005-0000-0000-0000EF250000}"/>
    <cellStyle name="Header2 3 3" xfId="9728" xr:uid="{00000000-0005-0000-0000-0000F0250000}"/>
    <cellStyle name="Header2 3 3 2" xfId="9729" xr:uid="{00000000-0005-0000-0000-0000F1250000}"/>
    <cellStyle name="Header2 3 3 2 2" xfId="9730" xr:uid="{00000000-0005-0000-0000-0000F2250000}"/>
    <cellStyle name="Header2 3 3 2 2 2" xfId="9731" xr:uid="{00000000-0005-0000-0000-0000F3250000}"/>
    <cellStyle name="Header2 3 3 2 3" xfId="9732" xr:uid="{00000000-0005-0000-0000-0000F4250000}"/>
    <cellStyle name="Header2 3 3 3" xfId="9733" xr:uid="{00000000-0005-0000-0000-0000F5250000}"/>
    <cellStyle name="Header2 3 3 3 2" xfId="9734" xr:uid="{00000000-0005-0000-0000-0000F6250000}"/>
    <cellStyle name="Header2 3 3 4" xfId="9735" xr:uid="{00000000-0005-0000-0000-0000F7250000}"/>
    <cellStyle name="Header2 3 4" xfId="9736" xr:uid="{00000000-0005-0000-0000-0000F8250000}"/>
    <cellStyle name="Header2 3 4 2" xfId="9737" xr:uid="{00000000-0005-0000-0000-0000F9250000}"/>
    <cellStyle name="Header2 3 4 2 2" xfId="9738" xr:uid="{00000000-0005-0000-0000-0000FA250000}"/>
    <cellStyle name="Header2 3 4 3" xfId="9739" xr:uid="{00000000-0005-0000-0000-0000FB250000}"/>
    <cellStyle name="Header2 3 5" xfId="9740" xr:uid="{00000000-0005-0000-0000-0000FC250000}"/>
    <cellStyle name="Header2 3 5 2" xfId="9741" xr:uid="{00000000-0005-0000-0000-0000FD250000}"/>
    <cellStyle name="Header2 3 6" xfId="9742" xr:uid="{00000000-0005-0000-0000-0000FE250000}"/>
    <cellStyle name="Header2 4" xfId="9743" xr:uid="{00000000-0005-0000-0000-0000FF250000}"/>
    <cellStyle name="Header2 4 2" xfId="9744" xr:uid="{00000000-0005-0000-0000-000000260000}"/>
    <cellStyle name="Header2 4 2 2" xfId="9745" xr:uid="{00000000-0005-0000-0000-000001260000}"/>
    <cellStyle name="Header2 4 2 2 2" xfId="9746" xr:uid="{00000000-0005-0000-0000-000002260000}"/>
    <cellStyle name="Header2 4 2 2 2 2" xfId="9747" xr:uid="{00000000-0005-0000-0000-000003260000}"/>
    <cellStyle name="Header2 4 2 2 3" xfId="9748" xr:uid="{00000000-0005-0000-0000-000004260000}"/>
    <cellStyle name="Header2 4 2 3" xfId="9749" xr:uid="{00000000-0005-0000-0000-000005260000}"/>
    <cellStyle name="Header2 4 2 3 2" xfId="9750" xr:uid="{00000000-0005-0000-0000-000006260000}"/>
    <cellStyle name="Header2 4 2 4" xfId="9751" xr:uid="{00000000-0005-0000-0000-000007260000}"/>
    <cellStyle name="Header2 4 3" xfId="9752" xr:uid="{00000000-0005-0000-0000-000008260000}"/>
    <cellStyle name="Header2 4 3 2" xfId="9753" xr:uid="{00000000-0005-0000-0000-000009260000}"/>
    <cellStyle name="Header2 4 3 2 2" xfId="9754" xr:uid="{00000000-0005-0000-0000-00000A260000}"/>
    <cellStyle name="Header2 4 3 3" xfId="9755" xr:uid="{00000000-0005-0000-0000-00000B260000}"/>
    <cellStyle name="Header2 4 4" xfId="9756" xr:uid="{00000000-0005-0000-0000-00000C260000}"/>
    <cellStyle name="Header2 4 4 2" xfId="9757" xr:uid="{00000000-0005-0000-0000-00000D260000}"/>
    <cellStyle name="Header2 4 5" xfId="9758" xr:uid="{00000000-0005-0000-0000-00000E260000}"/>
    <cellStyle name="Header2 5" xfId="9759" xr:uid="{00000000-0005-0000-0000-00000F260000}"/>
    <cellStyle name="Header2 5 2" xfId="9760" xr:uid="{00000000-0005-0000-0000-000010260000}"/>
    <cellStyle name="Header2 5 2 2" xfId="9761" xr:uid="{00000000-0005-0000-0000-000011260000}"/>
    <cellStyle name="Header2 5 2 2 2" xfId="9762" xr:uid="{00000000-0005-0000-0000-000012260000}"/>
    <cellStyle name="Header2 5 2 2 2 2" xfId="9763" xr:uid="{00000000-0005-0000-0000-000013260000}"/>
    <cellStyle name="Header2 5 2 2 3" xfId="9764" xr:uid="{00000000-0005-0000-0000-000014260000}"/>
    <cellStyle name="Header2 5 2 3" xfId="9765" xr:uid="{00000000-0005-0000-0000-000015260000}"/>
    <cellStyle name="Header2 5 2 3 2" xfId="9766" xr:uid="{00000000-0005-0000-0000-000016260000}"/>
    <cellStyle name="Header2 5 2 4" xfId="9767" xr:uid="{00000000-0005-0000-0000-000017260000}"/>
    <cellStyle name="Header2 5 3" xfId="9768" xr:uid="{00000000-0005-0000-0000-000018260000}"/>
    <cellStyle name="Header2 5 3 2" xfId="9769" xr:uid="{00000000-0005-0000-0000-000019260000}"/>
    <cellStyle name="Header2 5 3 2 2" xfId="9770" xr:uid="{00000000-0005-0000-0000-00001A260000}"/>
    <cellStyle name="Header2 5 3 3" xfId="9771" xr:uid="{00000000-0005-0000-0000-00001B260000}"/>
    <cellStyle name="Header2 5 4" xfId="9772" xr:uid="{00000000-0005-0000-0000-00001C260000}"/>
    <cellStyle name="Header2 5 4 2" xfId="9773" xr:uid="{00000000-0005-0000-0000-00001D260000}"/>
    <cellStyle name="Header2 5 5" xfId="9774" xr:uid="{00000000-0005-0000-0000-00001E260000}"/>
    <cellStyle name="Header2 6" xfId="9775" xr:uid="{00000000-0005-0000-0000-00001F260000}"/>
    <cellStyle name="Header2 6 2" xfId="9776" xr:uid="{00000000-0005-0000-0000-000020260000}"/>
    <cellStyle name="Header2 6 2 2" xfId="9777" xr:uid="{00000000-0005-0000-0000-000021260000}"/>
    <cellStyle name="Header2 6 2 2 2" xfId="9778" xr:uid="{00000000-0005-0000-0000-000022260000}"/>
    <cellStyle name="Header2 6 2 2 2 2" xfId="9779" xr:uid="{00000000-0005-0000-0000-000023260000}"/>
    <cellStyle name="Header2 6 2 2 3" xfId="9780" xr:uid="{00000000-0005-0000-0000-000024260000}"/>
    <cellStyle name="Header2 6 2 3" xfId="9781" xr:uid="{00000000-0005-0000-0000-000025260000}"/>
    <cellStyle name="Header2 6 2 3 2" xfId="9782" xr:uid="{00000000-0005-0000-0000-000026260000}"/>
    <cellStyle name="Header2 6 2 4" xfId="9783" xr:uid="{00000000-0005-0000-0000-000027260000}"/>
    <cellStyle name="Header2 6 3" xfId="9784" xr:uid="{00000000-0005-0000-0000-000028260000}"/>
    <cellStyle name="Header2 6 3 2" xfId="9785" xr:uid="{00000000-0005-0000-0000-000029260000}"/>
    <cellStyle name="Header2 6 3 2 2" xfId="9786" xr:uid="{00000000-0005-0000-0000-00002A260000}"/>
    <cellStyle name="Header2 6 3 3" xfId="9787" xr:uid="{00000000-0005-0000-0000-00002B260000}"/>
    <cellStyle name="Header2 6 4" xfId="9788" xr:uid="{00000000-0005-0000-0000-00002C260000}"/>
    <cellStyle name="Header2 6 4 2" xfId="9789" xr:uid="{00000000-0005-0000-0000-00002D260000}"/>
    <cellStyle name="Header2 6 5" xfId="9790" xr:uid="{00000000-0005-0000-0000-00002E260000}"/>
    <cellStyle name="Header2 7" xfId="9791" xr:uid="{00000000-0005-0000-0000-00002F260000}"/>
    <cellStyle name="Header2 7 2" xfId="9792" xr:uid="{00000000-0005-0000-0000-000030260000}"/>
    <cellStyle name="Header2 7 2 2" xfId="9793" xr:uid="{00000000-0005-0000-0000-000031260000}"/>
    <cellStyle name="Header2 7 2 2 2" xfId="9794" xr:uid="{00000000-0005-0000-0000-000032260000}"/>
    <cellStyle name="Header2 7 2 2 2 2" xfId="9795" xr:uid="{00000000-0005-0000-0000-000033260000}"/>
    <cellStyle name="Header2 7 2 2 3" xfId="9796" xr:uid="{00000000-0005-0000-0000-000034260000}"/>
    <cellStyle name="Header2 7 2 3" xfId="9797" xr:uid="{00000000-0005-0000-0000-000035260000}"/>
    <cellStyle name="Header2 7 2 3 2" xfId="9798" xr:uid="{00000000-0005-0000-0000-000036260000}"/>
    <cellStyle name="Header2 7 2 4" xfId="9799" xr:uid="{00000000-0005-0000-0000-000037260000}"/>
    <cellStyle name="Header2 7 3" xfId="9800" xr:uid="{00000000-0005-0000-0000-000038260000}"/>
    <cellStyle name="Header2 7 3 2" xfId="9801" xr:uid="{00000000-0005-0000-0000-000039260000}"/>
    <cellStyle name="Header2 7 3 2 2" xfId="9802" xr:uid="{00000000-0005-0000-0000-00003A260000}"/>
    <cellStyle name="Header2 7 3 2 2 2" xfId="9803" xr:uid="{00000000-0005-0000-0000-00003B260000}"/>
    <cellStyle name="Header2 7 3 2 3" xfId="9804" xr:uid="{00000000-0005-0000-0000-00003C260000}"/>
    <cellStyle name="Header2 7 3 3" xfId="9805" xr:uid="{00000000-0005-0000-0000-00003D260000}"/>
    <cellStyle name="Header2 7 3 3 2" xfId="9806" xr:uid="{00000000-0005-0000-0000-00003E260000}"/>
    <cellStyle name="Header2 7 3 4" xfId="9807" xr:uid="{00000000-0005-0000-0000-00003F260000}"/>
    <cellStyle name="Header2 7 4" xfId="9808" xr:uid="{00000000-0005-0000-0000-000040260000}"/>
    <cellStyle name="Header2 7 4 2" xfId="9809" xr:uid="{00000000-0005-0000-0000-000041260000}"/>
    <cellStyle name="Header2 7 4 2 2" xfId="9810" xr:uid="{00000000-0005-0000-0000-000042260000}"/>
    <cellStyle name="Header2 7 4 3" xfId="9811" xr:uid="{00000000-0005-0000-0000-000043260000}"/>
    <cellStyle name="Header2 7 5" xfId="9812" xr:uid="{00000000-0005-0000-0000-000044260000}"/>
    <cellStyle name="Header2 7 5 2" xfId="9813" xr:uid="{00000000-0005-0000-0000-000045260000}"/>
    <cellStyle name="Header2 7 6" xfId="9814" xr:uid="{00000000-0005-0000-0000-000046260000}"/>
    <cellStyle name="Header2 8" xfId="9815" xr:uid="{00000000-0005-0000-0000-000047260000}"/>
    <cellStyle name="Header2 8 2" xfId="9816" xr:uid="{00000000-0005-0000-0000-000048260000}"/>
    <cellStyle name="Header2 8 2 2" xfId="9817" xr:uid="{00000000-0005-0000-0000-000049260000}"/>
    <cellStyle name="Header2 8 2 2 2" xfId="9818" xr:uid="{00000000-0005-0000-0000-00004A260000}"/>
    <cellStyle name="Header2 8 2 3" xfId="9819" xr:uid="{00000000-0005-0000-0000-00004B260000}"/>
    <cellStyle name="Header2 8 3" xfId="9820" xr:uid="{00000000-0005-0000-0000-00004C260000}"/>
    <cellStyle name="Header2 8 3 2" xfId="9821" xr:uid="{00000000-0005-0000-0000-00004D260000}"/>
    <cellStyle name="Header2 8 4" xfId="9822" xr:uid="{00000000-0005-0000-0000-00004E260000}"/>
    <cellStyle name="Header2 9" xfId="9823" xr:uid="{00000000-0005-0000-0000-00004F260000}"/>
    <cellStyle name="Header2 9 2" xfId="9824" xr:uid="{00000000-0005-0000-0000-000050260000}"/>
    <cellStyle name="Header2 9 2 2" xfId="9825" xr:uid="{00000000-0005-0000-0000-000051260000}"/>
    <cellStyle name="Header2 9 2 2 2" xfId="9826" xr:uid="{00000000-0005-0000-0000-000052260000}"/>
    <cellStyle name="Header2 9 2 3" xfId="9827" xr:uid="{00000000-0005-0000-0000-000053260000}"/>
    <cellStyle name="Header2 9 3" xfId="9828" xr:uid="{00000000-0005-0000-0000-000054260000}"/>
    <cellStyle name="Header2 9 3 2" xfId="9829" xr:uid="{00000000-0005-0000-0000-000055260000}"/>
    <cellStyle name="Header2 9 4" xfId="9830" xr:uid="{00000000-0005-0000-0000-000056260000}"/>
    <cellStyle name="headers" xfId="9831" xr:uid="{00000000-0005-0000-0000-000057260000}"/>
    <cellStyle name="Heading" xfId="9832" xr:uid="{00000000-0005-0000-0000-000058260000}"/>
    <cellStyle name="Heading 1" xfId="9833" xr:uid="{00000000-0005-0000-0000-000059260000}"/>
    <cellStyle name="Heading 1 2" xfId="9834" xr:uid="{00000000-0005-0000-0000-00005A260000}"/>
    <cellStyle name="Heading 2" xfId="9835" xr:uid="{00000000-0005-0000-0000-00005B260000}"/>
    <cellStyle name="Heading 2 2" xfId="9836" xr:uid="{00000000-0005-0000-0000-00005C260000}"/>
    <cellStyle name="Heading 3" xfId="9837" xr:uid="{00000000-0005-0000-0000-00005D260000}"/>
    <cellStyle name="Heading 3 2" xfId="9838" xr:uid="{00000000-0005-0000-0000-00005E260000}"/>
    <cellStyle name="Heading 3 2 2" xfId="9839" xr:uid="{00000000-0005-0000-0000-00005F260000}"/>
    <cellStyle name="Heading 3 2 3" xfId="9840" xr:uid="{00000000-0005-0000-0000-000060260000}"/>
    <cellStyle name="Heading 4 2" xfId="9841" xr:uid="{00000000-0005-0000-0000-000061260000}"/>
    <cellStyle name="Heading SS" xfId="9842" xr:uid="{00000000-0005-0000-0000-000062260000}"/>
    <cellStyle name="heading_jumpersheetv01" xfId="9843" xr:uid="{00000000-0005-0000-0000-000063260000}"/>
    <cellStyle name="Heading1" xfId="9844" xr:uid="{00000000-0005-0000-0000-000064260000}"/>
    <cellStyle name="Heading2" xfId="9845" xr:uid="{00000000-0005-0000-0000-000065260000}"/>
    <cellStyle name="hell" xfId="9846" xr:uid="{00000000-0005-0000-0000-000066260000}"/>
    <cellStyle name="hidden" xfId="9847" xr:uid="{00000000-0005-0000-0000-000067260000}"/>
    <cellStyle name="HIGHLIGHT" xfId="9848" xr:uid="{00000000-0005-0000-0000-000068260000}"/>
    <cellStyle name="Highlight 1" xfId="9849" xr:uid="{00000000-0005-0000-0000-000069260000}"/>
    <cellStyle name="Highlight 2" xfId="9850" xr:uid="{00000000-0005-0000-0000-00006A260000}"/>
    <cellStyle name="Highlight 3" xfId="9851" xr:uid="{00000000-0005-0000-0000-00006B260000}"/>
    <cellStyle name="Highlight 4" xfId="9852" xr:uid="{00000000-0005-0000-0000-00006C260000}"/>
    <cellStyle name="HIGHLIGHT 5" xfId="9853" xr:uid="{00000000-0005-0000-0000-00006D260000}"/>
    <cellStyle name="HIGHLIGHT 6" xfId="9854" xr:uid="{00000000-0005-0000-0000-00006E260000}"/>
    <cellStyle name="HIGHLIGHT_HRT O&amp;G" xfId="9855" xr:uid="{00000000-0005-0000-0000-00006F260000}"/>
    <cellStyle name="Hiperlink 2" xfId="9856" xr:uid="{00000000-0005-0000-0000-000070260000}"/>
    <cellStyle name="Hiperlink 3" xfId="9857" xr:uid="{00000000-0005-0000-0000-000071260000}"/>
    <cellStyle name="Hipervínculo visitado_Inversiones Febrero 2000 reports" xfId="9858" xr:uid="{00000000-0005-0000-0000-000072260000}"/>
    <cellStyle name="Hipervínculo_Custos 0720033" xfId="9859" xr:uid="{00000000-0005-0000-0000-000073260000}"/>
    <cellStyle name="Historical" xfId="9860" xr:uid="{00000000-0005-0000-0000-000074260000}"/>
    <cellStyle name="Hyperlink 2" xfId="9861" xr:uid="{00000000-0005-0000-0000-000075260000}"/>
    <cellStyle name="Hyperlink 2 2" xfId="9862" xr:uid="{00000000-0005-0000-0000-000076260000}"/>
    <cellStyle name="Hyperlink 3" xfId="9863" xr:uid="{00000000-0005-0000-0000-000077260000}"/>
    <cellStyle name="Hyperlink 4" xfId="9864" xr:uid="{00000000-0005-0000-0000-000078260000}"/>
    <cellStyle name="Hyperlink seguido" xfId="9865" xr:uid="{00000000-0005-0000-0000-000079260000}"/>
    <cellStyle name="Inconsistent" xfId="9866" xr:uid="{00000000-0005-0000-0000-00007A260000}"/>
    <cellStyle name="Incorreto 10" xfId="9867" xr:uid="{00000000-0005-0000-0000-00007C260000}"/>
    <cellStyle name="Incorreto 11" xfId="9868" xr:uid="{00000000-0005-0000-0000-00007D260000}"/>
    <cellStyle name="Incorreto 12" xfId="9869" xr:uid="{00000000-0005-0000-0000-00007E260000}"/>
    <cellStyle name="Incorreto 13" xfId="9870" xr:uid="{00000000-0005-0000-0000-00007F260000}"/>
    <cellStyle name="Incorreto 14" xfId="9871" xr:uid="{00000000-0005-0000-0000-000080260000}"/>
    <cellStyle name="Incorreto 15" xfId="9872" xr:uid="{00000000-0005-0000-0000-000081260000}"/>
    <cellStyle name="Incorreto 16" xfId="9873" xr:uid="{00000000-0005-0000-0000-000082260000}"/>
    <cellStyle name="Incorreto 17" xfId="9874" xr:uid="{00000000-0005-0000-0000-000083260000}"/>
    <cellStyle name="Incorreto 18" xfId="9875" xr:uid="{00000000-0005-0000-0000-000084260000}"/>
    <cellStyle name="Incorreto 19" xfId="9876" xr:uid="{00000000-0005-0000-0000-000085260000}"/>
    <cellStyle name="Incorreto 2" xfId="9877" xr:uid="{00000000-0005-0000-0000-000086260000}"/>
    <cellStyle name="Incorreto 20" xfId="9878" xr:uid="{00000000-0005-0000-0000-000087260000}"/>
    <cellStyle name="Incorreto 21" xfId="9879" xr:uid="{00000000-0005-0000-0000-000088260000}"/>
    <cellStyle name="Incorreto 22" xfId="9880" xr:uid="{00000000-0005-0000-0000-000089260000}"/>
    <cellStyle name="Incorreto 23" xfId="9881" xr:uid="{00000000-0005-0000-0000-00008A260000}"/>
    <cellStyle name="Incorreto 24" xfId="9882" xr:uid="{00000000-0005-0000-0000-00008B260000}"/>
    <cellStyle name="Incorreto 25" xfId="9883" xr:uid="{00000000-0005-0000-0000-00008C260000}"/>
    <cellStyle name="Incorreto 26" xfId="9884" xr:uid="{00000000-0005-0000-0000-00008D260000}"/>
    <cellStyle name="Incorreto 27" xfId="9885" xr:uid="{00000000-0005-0000-0000-00008E260000}"/>
    <cellStyle name="Incorreto 28" xfId="9886" xr:uid="{00000000-0005-0000-0000-00008F260000}"/>
    <cellStyle name="Incorreto 29" xfId="9887" xr:uid="{00000000-0005-0000-0000-000090260000}"/>
    <cellStyle name="Incorreto 3" xfId="9888" xr:uid="{00000000-0005-0000-0000-000091260000}"/>
    <cellStyle name="Incorreto 30" xfId="9889" xr:uid="{00000000-0005-0000-0000-000092260000}"/>
    <cellStyle name="Incorreto 31" xfId="9890" xr:uid="{00000000-0005-0000-0000-000093260000}"/>
    <cellStyle name="Incorreto 32" xfId="9891" xr:uid="{00000000-0005-0000-0000-000094260000}"/>
    <cellStyle name="Incorreto 33" xfId="9892" xr:uid="{00000000-0005-0000-0000-000095260000}"/>
    <cellStyle name="Incorreto 34" xfId="9893" xr:uid="{00000000-0005-0000-0000-000096260000}"/>
    <cellStyle name="Incorreto 35" xfId="9894" xr:uid="{00000000-0005-0000-0000-000097260000}"/>
    <cellStyle name="Incorreto 36" xfId="9895" xr:uid="{00000000-0005-0000-0000-000098260000}"/>
    <cellStyle name="Incorreto 37" xfId="9896" xr:uid="{00000000-0005-0000-0000-000099260000}"/>
    <cellStyle name="Incorreto 38" xfId="9897" xr:uid="{00000000-0005-0000-0000-00009A260000}"/>
    <cellStyle name="Incorreto 39" xfId="9898" xr:uid="{00000000-0005-0000-0000-00009B260000}"/>
    <cellStyle name="Incorreto 4" xfId="9899" xr:uid="{00000000-0005-0000-0000-00009C260000}"/>
    <cellStyle name="Incorreto 40" xfId="9900" xr:uid="{00000000-0005-0000-0000-00009D260000}"/>
    <cellStyle name="Incorreto 5" xfId="9901" xr:uid="{00000000-0005-0000-0000-00009E260000}"/>
    <cellStyle name="Incorreto 6" xfId="9902" xr:uid="{00000000-0005-0000-0000-00009F260000}"/>
    <cellStyle name="Incorreto 7" xfId="9903" xr:uid="{00000000-0005-0000-0000-0000A0260000}"/>
    <cellStyle name="Incorreto 8" xfId="9904" xr:uid="{00000000-0005-0000-0000-0000A1260000}"/>
    <cellStyle name="Incorreto 9" xfId="9905" xr:uid="{00000000-0005-0000-0000-0000A2260000}"/>
    <cellStyle name="Indefinido" xfId="9906" xr:uid="{00000000-0005-0000-0000-0000A3260000}"/>
    <cellStyle name="Indent" xfId="9907" xr:uid="{00000000-0005-0000-0000-0000A4260000}"/>
    <cellStyle name="Info Cell" xfId="9908" xr:uid="{00000000-0005-0000-0000-0000A5260000}"/>
    <cellStyle name="Information" xfId="9909" xr:uid="{00000000-0005-0000-0000-0000A6260000}"/>
    <cellStyle name="Input" xfId="9910" xr:uid="{00000000-0005-0000-0000-0000A7260000}"/>
    <cellStyle name="Input %2dp" xfId="9911" xr:uid="{00000000-0005-0000-0000-0000A8260000}"/>
    <cellStyle name="Input %2dp 10" xfId="9912" xr:uid="{00000000-0005-0000-0000-0000A9260000}"/>
    <cellStyle name="Input %2dp 2" xfId="9913" xr:uid="{00000000-0005-0000-0000-0000AA260000}"/>
    <cellStyle name="Input %2dp 3" xfId="9914" xr:uid="{00000000-0005-0000-0000-0000AB260000}"/>
    <cellStyle name="Input %2dp 4" xfId="9915" xr:uid="{00000000-0005-0000-0000-0000AC260000}"/>
    <cellStyle name="Input %2dp 5" xfId="9916" xr:uid="{00000000-0005-0000-0000-0000AD260000}"/>
    <cellStyle name="Input %2dp 6" xfId="9917" xr:uid="{00000000-0005-0000-0000-0000AE260000}"/>
    <cellStyle name="Input %2dp 7" xfId="9918" xr:uid="{00000000-0005-0000-0000-0000AF260000}"/>
    <cellStyle name="Input %2dp 8" xfId="9919" xr:uid="{00000000-0005-0000-0000-0000B0260000}"/>
    <cellStyle name="Input %2dp 9" xfId="9920" xr:uid="{00000000-0005-0000-0000-0000B1260000}"/>
    <cellStyle name="Input (%)" xfId="9921" xr:uid="{00000000-0005-0000-0000-0000B2260000}"/>
    <cellStyle name="Input (£m)" xfId="9922" xr:uid="{00000000-0005-0000-0000-0000B3260000}"/>
    <cellStyle name="Input (No)" xfId="9923" xr:uid="{00000000-0005-0000-0000-0000B4260000}"/>
    <cellStyle name="Input [dd/mm/yy]" xfId="9924" xr:uid="{00000000-0005-0000-0000-0000B5260000}"/>
    <cellStyle name="Input [dd/mm/yy] 10" xfId="9925" xr:uid="{00000000-0005-0000-0000-0000B6260000}"/>
    <cellStyle name="Input [dd/mm/yy] 2" xfId="9926" xr:uid="{00000000-0005-0000-0000-0000B7260000}"/>
    <cellStyle name="Input [dd/mm/yy] 3" xfId="9927" xr:uid="{00000000-0005-0000-0000-0000B8260000}"/>
    <cellStyle name="Input [dd/mm/yy] 4" xfId="9928" xr:uid="{00000000-0005-0000-0000-0000B9260000}"/>
    <cellStyle name="Input [dd/mm/yy] 5" xfId="9929" xr:uid="{00000000-0005-0000-0000-0000BA260000}"/>
    <cellStyle name="Input [dd/mm/yy] 6" xfId="9930" xr:uid="{00000000-0005-0000-0000-0000BB260000}"/>
    <cellStyle name="Input [dd/mm/yy] 7" xfId="9931" xr:uid="{00000000-0005-0000-0000-0000BC260000}"/>
    <cellStyle name="Input [dd/mm/yy] 8" xfId="9932" xr:uid="{00000000-0005-0000-0000-0000BD260000}"/>
    <cellStyle name="Input [dd/mm/yy] 9" xfId="9933" xr:uid="{00000000-0005-0000-0000-0000BE260000}"/>
    <cellStyle name="Input [yellow]" xfId="9934" xr:uid="{00000000-0005-0000-0000-0000BF260000}"/>
    <cellStyle name="Input [yellow] 2" xfId="9935" xr:uid="{00000000-0005-0000-0000-0000C0260000}"/>
    <cellStyle name="Input [yellow] 2 2" xfId="9936" xr:uid="{00000000-0005-0000-0000-0000C1260000}"/>
    <cellStyle name="Input [yellow] 2 2 2" xfId="9937" xr:uid="{00000000-0005-0000-0000-0000C2260000}"/>
    <cellStyle name="Input [yellow] 2 2 2 2" xfId="9938" xr:uid="{00000000-0005-0000-0000-0000C3260000}"/>
    <cellStyle name="Input [yellow] 2 2 2 2 2" xfId="9939" xr:uid="{00000000-0005-0000-0000-0000C4260000}"/>
    <cellStyle name="Input [yellow] 2 2 2 3" xfId="9940" xr:uid="{00000000-0005-0000-0000-0000C5260000}"/>
    <cellStyle name="Input [yellow] 2 2 2 4" xfId="9941" xr:uid="{00000000-0005-0000-0000-0000C6260000}"/>
    <cellStyle name="Input [yellow] 2 2 3" xfId="9942" xr:uid="{00000000-0005-0000-0000-0000C7260000}"/>
    <cellStyle name="Input [yellow] 2 2 3 2" xfId="9943" xr:uid="{00000000-0005-0000-0000-0000C8260000}"/>
    <cellStyle name="Input [yellow] 2 2 4" xfId="9944" xr:uid="{00000000-0005-0000-0000-0000C9260000}"/>
    <cellStyle name="Input [yellow] 2 2 5" xfId="9945" xr:uid="{00000000-0005-0000-0000-0000CA260000}"/>
    <cellStyle name="Input [yellow] 2 3" xfId="9946" xr:uid="{00000000-0005-0000-0000-0000CB260000}"/>
    <cellStyle name="Input [yellow] 2 3 2" xfId="9947" xr:uid="{00000000-0005-0000-0000-0000CC260000}"/>
    <cellStyle name="Input [yellow] 2 3 2 2" xfId="9948" xr:uid="{00000000-0005-0000-0000-0000CD260000}"/>
    <cellStyle name="Input [yellow] 2 3 2 2 2" xfId="9949" xr:uid="{00000000-0005-0000-0000-0000CE260000}"/>
    <cellStyle name="Input [yellow] 2 3 2 3" xfId="9950" xr:uid="{00000000-0005-0000-0000-0000CF260000}"/>
    <cellStyle name="Input [yellow] 2 3 2 4" xfId="9951" xr:uid="{00000000-0005-0000-0000-0000D0260000}"/>
    <cellStyle name="Input [yellow] 2 3 3" xfId="9952" xr:uid="{00000000-0005-0000-0000-0000D1260000}"/>
    <cellStyle name="Input [yellow] 2 3 3 2" xfId="9953" xr:uid="{00000000-0005-0000-0000-0000D2260000}"/>
    <cellStyle name="Input [yellow] 2 3 4" xfId="9954" xr:uid="{00000000-0005-0000-0000-0000D3260000}"/>
    <cellStyle name="Input [yellow] 2 3 5" xfId="9955" xr:uid="{00000000-0005-0000-0000-0000D4260000}"/>
    <cellStyle name="Input [yellow] 2 4" xfId="9956" xr:uid="{00000000-0005-0000-0000-0000D5260000}"/>
    <cellStyle name="Input [yellow] 2 4 2" xfId="9957" xr:uid="{00000000-0005-0000-0000-0000D6260000}"/>
    <cellStyle name="Input [yellow] 2 4 2 2" xfId="9958" xr:uid="{00000000-0005-0000-0000-0000D7260000}"/>
    <cellStyle name="Input [yellow] 2 4 2 2 2" xfId="9959" xr:uid="{00000000-0005-0000-0000-0000D8260000}"/>
    <cellStyle name="Input [yellow] 2 4 2 3" xfId="9960" xr:uid="{00000000-0005-0000-0000-0000D9260000}"/>
    <cellStyle name="Input [yellow] 2 4 2 4" xfId="9961" xr:uid="{00000000-0005-0000-0000-0000DA260000}"/>
    <cellStyle name="Input [yellow] 2 4 3" xfId="9962" xr:uid="{00000000-0005-0000-0000-0000DB260000}"/>
    <cellStyle name="Input [yellow] 2 4 3 2" xfId="9963" xr:uid="{00000000-0005-0000-0000-0000DC260000}"/>
    <cellStyle name="Input [yellow] 2 4 4" xfId="9964" xr:uid="{00000000-0005-0000-0000-0000DD260000}"/>
    <cellStyle name="Input [yellow] 2 4 5" xfId="9965" xr:uid="{00000000-0005-0000-0000-0000DE260000}"/>
    <cellStyle name="Input [yellow] 2 5" xfId="9966" xr:uid="{00000000-0005-0000-0000-0000DF260000}"/>
    <cellStyle name="Input [yellow] 2 5 2" xfId="9967" xr:uid="{00000000-0005-0000-0000-0000E0260000}"/>
    <cellStyle name="Input [yellow] 2 5 2 2" xfId="9968" xr:uid="{00000000-0005-0000-0000-0000E1260000}"/>
    <cellStyle name="Input [yellow] 2 5 2 2 2" xfId="9969" xr:uid="{00000000-0005-0000-0000-0000E2260000}"/>
    <cellStyle name="Input [yellow] 2 5 2 3" xfId="9970" xr:uid="{00000000-0005-0000-0000-0000E3260000}"/>
    <cellStyle name="Input [yellow] 2 5 2 4" xfId="9971" xr:uid="{00000000-0005-0000-0000-0000E4260000}"/>
    <cellStyle name="Input [yellow] 2 5 3" xfId="9972" xr:uid="{00000000-0005-0000-0000-0000E5260000}"/>
    <cellStyle name="Input [yellow] 2 5 3 2" xfId="9973" xr:uid="{00000000-0005-0000-0000-0000E6260000}"/>
    <cellStyle name="Input [yellow] 2 5 4" xfId="9974" xr:uid="{00000000-0005-0000-0000-0000E7260000}"/>
    <cellStyle name="Input [yellow] 2 5 5" xfId="9975" xr:uid="{00000000-0005-0000-0000-0000E8260000}"/>
    <cellStyle name="Input [yellow] 2 6" xfId="9976" xr:uid="{00000000-0005-0000-0000-0000E9260000}"/>
    <cellStyle name="Input [yellow] 2 6 2" xfId="9977" xr:uid="{00000000-0005-0000-0000-0000EA260000}"/>
    <cellStyle name="Input [yellow] 2 7" xfId="9978" xr:uid="{00000000-0005-0000-0000-0000EB260000}"/>
    <cellStyle name="Input [yellow] 2 8" xfId="9979" xr:uid="{00000000-0005-0000-0000-0000EC260000}"/>
    <cellStyle name="Input [yellow] 3" xfId="9980" xr:uid="{00000000-0005-0000-0000-0000ED260000}"/>
    <cellStyle name="Input [yellow] 3 2" xfId="9981" xr:uid="{00000000-0005-0000-0000-0000EE260000}"/>
    <cellStyle name="Input [yellow] 3 2 2" xfId="9982" xr:uid="{00000000-0005-0000-0000-0000EF260000}"/>
    <cellStyle name="Input [yellow] 3 2 2 2" xfId="9983" xr:uid="{00000000-0005-0000-0000-0000F0260000}"/>
    <cellStyle name="Input [yellow] 3 2 3" xfId="9984" xr:uid="{00000000-0005-0000-0000-0000F1260000}"/>
    <cellStyle name="Input [yellow] 3 2 4" xfId="9985" xr:uid="{00000000-0005-0000-0000-0000F2260000}"/>
    <cellStyle name="Input [yellow] 3 3" xfId="9986" xr:uid="{00000000-0005-0000-0000-0000F3260000}"/>
    <cellStyle name="Input [yellow] 3 3 2" xfId="9987" xr:uid="{00000000-0005-0000-0000-0000F4260000}"/>
    <cellStyle name="Input [yellow] 3 4" xfId="9988" xr:uid="{00000000-0005-0000-0000-0000F5260000}"/>
    <cellStyle name="Input [yellow] 3 5" xfId="9989" xr:uid="{00000000-0005-0000-0000-0000F6260000}"/>
    <cellStyle name="Input [yellow] 4" xfId="9990" xr:uid="{00000000-0005-0000-0000-0000F7260000}"/>
    <cellStyle name="Input [yellow] 4 2" xfId="9991" xr:uid="{00000000-0005-0000-0000-0000F8260000}"/>
    <cellStyle name="Input [yellow] 4 2 2" xfId="9992" xr:uid="{00000000-0005-0000-0000-0000F9260000}"/>
    <cellStyle name="Input [yellow] 4 2 2 2" xfId="9993" xr:uid="{00000000-0005-0000-0000-0000FA260000}"/>
    <cellStyle name="Input [yellow] 4 2 3" xfId="9994" xr:uid="{00000000-0005-0000-0000-0000FB260000}"/>
    <cellStyle name="Input [yellow] 4 2 4" xfId="9995" xr:uid="{00000000-0005-0000-0000-0000FC260000}"/>
    <cellStyle name="Input [yellow] 4 3" xfId="9996" xr:uid="{00000000-0005-0000-0000-0000FD260000}"/>
    <cellStyle name="Input [yellow] 4 3 2" xfId="9997" xr:uid="{00000000-0005-0000-0000-0000FE260000}"/>
    <cellStyle name="Input [yellow] 4 4" xfId="9998" xr:uid="{00000000-0005-0000-0000-0000FF260000}"/>
    <cellStyle name="Input [yellow] 4 5" xfId="9999" xr:uid="{00000000-0005-0000-0000-000000270000}"/>
    <cellStyle name="Input [yellow] 5" xfId="10000" xr:uid="{00000000-0005-0000-0000-000001270000}"/>
    <cellStyle name="Input [yellow] 5 2" xfId="10001" xr:uid="{00000000-0005-0000-0000-000002270000}"/>
    <cellStyle name="Input [yellow] 5 2 2" xfId="10002" xr:uid="{00000000-0005-0000-0000-000003270000}"/>
    <cellStyle name="Input [yellow] 5 2 2 2" xfId="10003" xr:uid="{00000000-0005-0000-0000-000004270000}"/>
    <cellStyle name="Input [yellow] 5 2 3" xfId="10004" xr:uid="{00000000-0005-0000-0000-000005270000}"/>
    <cellStyle name="Input [yellow] 5 2 4" xfId="10005" xr:uid="{00000000-0005-0000-0000-000006270000}"/>
    <cellStyle name="Input [yellow] 5 3" xfId="10006" xr:uid="{00000000-0005-0000-0000-000007270000}"/>
    <cellStyle name="Input [yellow] 5 3 2" xfId="10007" xr:uid="{00000000-0005-0000-0000-000008270000}"/>
    <cellStyle name="Input [yellow] 5 4" xfId="10008" xr:uid="{00000000-0005-0000-0000-000009270000}"/>
    <cellStyle name="Input [yellow] 5 5" xfId="10009" xr:uid="{00000000-0005-0000-0000-00000A270000}"/>
    <cellStyle name="Input [yellow] 6" xfId="10010" xr:uid="{00000000-0005-0000-0000-00000B270000}"/>
    <cellStyle name="Input [yellow] 6 2" xfId="10011" xr:uid="{00000000-0005-0000-0000-00000C270000}"/>
    <cellStyle name="Input [yellow] 6 2 2" xfId="10012" xr:uid="{00000000-0005-0000-0000-00000D270000}"/>
    <cellStyle name="Input [yellow] 6 2 2 2" xfId="10013" xr:uid="{00000000-0005-0000-0000-00000E270000}"/>
    <cellStyle name="Input [yellow] 6 2 3" xfId="10014" xr:uid="{00000000-0005-0000-0000-00000F270000}"/>
    <cellStyle name="Input [yellow] 6 2 4" xfId="10015" xr:uid="{00000000-0005-0000-0000-000010270000}"/>
    <cellStyle name="Input [yellow] 6 3" xfId="10016" xr:uid="{00000000-0005-0000-0000-000011270000}"/>
    <cellStyle name="Input [yellow] 6 3 2" xfId="10017" xr:uid="{00000000-0005-0000-0000-000012270000}"/>
    <cellStyle name="Input [yellow] 6 4" xfId="10018" xr:uid="{00000000-0005-0000-0000-000013270000}"/>
    <cellStyle name="Input [yellow] 6 5" xfId="10019" xr:uid="{00000000-0005-0000-0000-000014270000}"/>
    <cellStyle name="Input [yellow] 7" xfId="10020" xr:uid="{00000000-0005-0000-0000-000015270000}"/>
    <cellStyle name="Input [yellow] 7 2" xfId="10021" xr:uid="{00000000-0005-0000-0000-000016270000}"/>
    <cellStyle name="Input [yellow] 8" xfId="10022" xr:uid="{00000000-0005-0000-0000-000017270000}"/>
    <cellStyle name="Input [yellow] 9" xfId="10023" xr:uid="{00000000-0005-0000-0000-000018270000}"/>
    <cellStyle name="Input 0dp" xfId="10024" xr:uid="{00000000-0005-0000-0000-000019270000}"/>
    <cellStyle name="Input 0dp 10" xfId="10025" xr:uid="{00000000-0005-0000-0000-00001A270000}"/>
    <cellStyle name="Input 0dp 2" xfId="10026" xr:uid="{00000000-0005-0000-0000-00001B270000}"/>
    <cellStyle name="Input 0dp 3" xfId="10027" xr:uid="{00000000-0005-0000-0000-00001C270000}"/>
    <cellStyle name="Input 0dp 4" xfId="10028" xr:uid="{00000000-0005-0000-0000-00001D270000}"/>
    <cellStyle name="Input 0dp 5" xfId="10029" xr:uid="{00000000-0005-0000-0000-00001E270000}"/>
    <cellStyle name="Input 0dp 6" xfId="10030" xr:uid="{00000000-0005-0000-0000-00001F270000}"/>
    <cellStyle name="Input 0dp 7" xfId="10031" xr:uid="{00000000-0005-0000-0000-000020270000}"/>
    <cellStyle name="Input 0dp 8" xfId="10032" xr:uid="{00000000-0005-0000-0000-000021270000}"/>
    <cellStyle name="Input 0dp 9" xfId="10033" xr:uid="{00000000-0005-0000-0000-000022270000}"/>
    <cellStyle name="Input 1dp" xfId="10034" xr:uid="{00000000-0005-0000-0000-000023270000}"/>
    <cellStyle name="Input 1dp 10" xfId="10035" xr:uid="{00000000-0005-0000-0000-000024270000}"/>
    <cellStyle name="Input 1dp 2" xfId="10036" xr:uid="{00000000-0005-0000-0000-000025270000}"/>
    <cellStyle name="Input 1dp 3" xfId="10037" xr:uid="{00000000-0005-0000-0000-000026270000}"/>
    <cellStyle name="Input 1dp 4" xfId="10038" xr:uid="{00000000-0005-0000-0000-000027270000}"/>
    <cellStyle name="Input 1dp 5" xfId="10039" xr:uid="{00000000-0005-0000-0000-000028270000}"/>
    <cellStyle name="Input 1dp 6" xfId="10040" xr:uid="{00000000-0005-0000-0000-000029270000}"/>
    <cellStyle name="Input 1dp 7" xfId="10041" xr:uid="{00000000-0005-0000-0000-00002A270000}"/>
    <cellStyle name="Input 1dp 8" xfId="10042" xr:uid="{00000000-0005-0000-0000-00002B270000}"/>
    <cellStyle name="Input 1dp 9" xfId="10043" xr:uid="{00000000-0005-0000-0000-00002C270000}"/>
    <cellStyle name="Input 2" xfId="10044" xr:uid="{00000000-0005-0000-0000-00002D270000}"/>
    <cellStyle name="Input 2 2" xfId="10045" xr:uid="{00000000-0005-0000-0000-00002E270000}"/>
    <cellStyle name="Input Cell" xfId="10046" xr:uid="{00000000-0005-0000-0000-00002F270000}"/>
    <cellStyle name="Input Cell 2" xfId="10047" xr:uid="{00000000-0005-0000-0000-000030270000}"/>
    <cellStyle name="Input Cell 2 2" xfId="10048" xr:uid="{00000000-0005-0000-0000-000031270000}"/>
    <cellStyle name="Input Cells" xfId="10049" xr:uid="{00000000-0005-0000-0000-000032270000}"/>
    <cellStyle name="Input Currency" xfId="10050" xr:uid="{00000000-0005-0000-0000-000033270000}"/>
    <cellStyle name="Input Date" xfId="10051" xr:uid="{00000000-0005-0000-0000-000034270000}"/>
    <cellStyle name="Input Fixed [0]" xfId="10052" xr:uid="{00000000-0005-0000-0000-000035270000}"/>
    <cellStyle name="Input Normal" xfId="10053" xr:uid="{00000000-0005-0000-0000-000036270000}"/>
    <cellStyle name="input override" xfId="10054" xr:uid="{00000000-0005-0000-0000-000037270000}"/>
    <cellStyle name="Input Percent" xfId="10055" xr:uid="{00000000-0005-0000-0000-000038270000}"/>
    <cellStyle name="Input Percent [2]" xfId="10056" xr:uid="{00000000-0005-0000-0000-000039270000}"/>
    <cellStyle name="Input Percent_~2144771" xfId="10057" xr:uid="{00000000-0005-0000-0000-00003A270000}"/>
    <cellStyle name="Input show0 0dp" xfId="10058" xr:uid="{00000000-0005-0000-0000-00003B270000}"/>
    <cellStyle name="Input show0 0dp 10" xfId="10059" xr:uid="{00000000-0005-0000-0000-00003C270000}"/>
    <cellStyle name="Input show0 0dp 2" xfId="10060" xr:uid="{00000000-0005-0000-0000-00003D270000}"/>
    <cellStyle name="Input show0 0dp 3" xfId="10061" xr:uid="{00000000-0005-0000-0000-00003E270000}"/>
    <cellStyle name="Input show0 0dp 4" xfId="10062" xr:uid="{00000000-0005-0000-0000-00003F270000}"/>
    <cellStyle name="Input show0 0dp 5" xfId="10063" xr:uid="{00000000-0005-0000-0000-000040270000}"/>
    <cellStyle name="Input show0 0dp 6" xfId="10064" xr:uid="{00000000-0005-0000-0000-000041270000}"/>
    <cellStyle name="Input show0 0dp 7" xfId="10065" xr:uid="{00000000-0005-0000-0000-000042270000}"/>
    <cellStyle name="Input show0 0dp 8" xfId="10066" xr:uid="{00000000-0005-0000-0000-000043270000}"/>
    <cellStyle name="Input show0 0dp 9" xfId="10067" xr:uid="{00000000-0005-0000-0000-000044270000}"/>
    <cellStyle name="Input show0 1dp" xfId="10068" xr:uid="{00000000-0005-0000-0000-000045270000}"/>
    <cellStyle name="Input show0 1dp 10" xfId="10069" xr:uid="{00000000-0005-0000-0000-000046270000}"/>
    <cellStyle name="Input show0 1dp 2" xfId="10070" xr:uid="{00000000-0005-0000-0000-000047270000}"/>
    <cellStyle name="Input show0 1dp 3" xfId="10071" xr:uid="{00000000-0005-0000-0000-000048270000}"/>
    <cellStyle name="Input show0 1dp 4" xfId="10072" xr:uid="{00000000-0005-0000-0000-000049270000}"/>
    <cellStyle name="Input show0 1dp 5" xfId="10073" xr:uid="{00000000-0005-0000-0000-00004A270000}"/>
    <cellStyle name="Input show0 1dp 6" xfId="10074" xr:uid="{00000000-0005-0000-0000-00004B270000}"/>
    <cellStyle name="Input show0 1dp 7" xfId="10075" xr:uid="{00000000-0005-0000-0000-00004C270000}"/>
    <cellStyle name="Input show0 1dp 8" xfId="10076" xr:uid="{00000000-0005-0000-0000-00004D270000}"/>
    <cellStyle name="Input show0 1dp 9" xfId="10077" xr:uid="{00000000-0005-0000-0000-00004E270000}"/>
    <cellStyle name="Input Titles" xfId="10078" xr:uid="{00000000-0005-0000-0000-00004F270000}"/>
    <cellStyle name="Input_0" xfId="10079" xr:uid="{00000000-0005-0000-0000-000050270000}"/>
    <cellStyle name="Input1" xfId="10080" xr:uid="{00000000-0005-0000-0000-000051270000}"/>
    <cellStyle name="Input2" xfId="10081" xr:uid="{00000000-0005-0000-0000-000052270000}"/>
    <cellStyle name="Input2 10" xfId="10082" xr:uid="{00000000-0005-0000-0000-000053270000}"/>
    <cellStyle name="Input2 10 2" xfId="10083" xr:uid="{00000000-0005-0000-0000-000054270000}"/>
    <cellStyle name="Input2 10 2 2" xfId="10084" xr:uid="{00000000-0005-0000-0000-000055270000}"/>
    <cellStyle name="Input2 11" xfId="10085" xr:uid="{00000000-0005-0000-0000-000056270000}"/>
    <cellStyle name="Input2 11 2" xfId="10086" xr:uid="{00000000-0005-0000-0000-000057270000}"/>
    <cellStyle name="Input2 11 2 2" xfId="10087" xr:uid="{00000000-0005-0000-0000-000058270000}"/>
    <cellStyle name="Input2 2" xfId="10088" xr:uid="{00000000-0005-0000-0000-000059270000}"/>
    <cellStyle name="Input2 2 2" xfId="10089" xr:uid="{00000000-0005-0000-0000-00005A270000}"/>
    <cellStyle name="Input2 2 2 10" xfId="10090" xr:uid="{00000000-0005-0000-0000-00005B270000}"/>
    <cellStyle name="Input2 2 2 10 2" xfId="10091" xr:uid="{00000000-0005-0000-0000-00005C270000}"/>
    <cellStyle name="Input2 2 2 10 2 2" xfId="10092" xr:uid="{00000000-0005-0000-0000-00005D270000}"/>
    <cellStyle name="Input2 2 2 11" xfId="10093" xr:uid="{00000000-0005-0000-0000-00005E270000}"/>
    <cellStyle name="Input2 2 2 11 2" xfId="10094" xr:uid="{00000000-0005-0000-0000-00005F270000}"/>
    <cellStyle name="Input2 2 2 11 2 2" xfId="10095" xr:uid="{00000000-0005-0000-0000-000060270000}"/>
    <cellStyle name="Input2 2 2 12" xfId="10096" xr:uid="{00000000-0005-0000-0000-000061270000}"/>
    <cellStyle name="Input2 2 2 12 2" xfId="10097" xr:uid="{00000000-0005-0000-0000-000062270000}"/>
    <cellStyle name="Input2 2 2 12 2 2" xfId="10098" xr:uid="{00000000-0005-0000-0000-000063270000}"/>
    <cellStyle name="Input2 2 2 13" xfId="10099" xr:uid="{00000000-0005-0000-0000-000064270000}"/>
    <cellStyle name="Input2 2 2 13 2" xfId="10100" xr:uid="{00000000-0005-0000-0000-000065270000}"/>
    <cellStyle name="Input2 2 2 13 2 2" xfId="10101" xr:uid="{00000000-0005-0000-0000-000066270000}"/>
    <cellStyle name="Input2 2 2 14" xfId="10102" xr:uid="{00000000-0005-0000-0000-000067270000}"/>
    <cellStyle name="Input2 2 2 14 2" xfId="10103" xr:uid="{00000000-0005-0000-0000-000068270000}"/>
    <cellStyle name="Input2 2 2 14 2 2" xfId="10104" xr:uid="{00000000-0005-0000-0000-000069270000}"/>
    <cellStyle name="Input2 2 2 15" xfId="10105" xr:uid="{00000000-0005-0000-0000-00006A270000}"/>
    <cellStyle name="Input2 2 2 15 2" xfId="10106" xr:uid="{00000000-0005-0000-0000-00006B270000}"/>
    <cellStyle name="Input2 2 2 2" xfId="10107" xr:uid="{00000000-0005-0000-0000-00006C270000}"/>
    <cellStyle name="Input2 2 2 2 2" xfId="10108" xr:uid="{00000000-0005-0000-0000-00006D270000}"/>
    <cellStyle name="Input2 2 2 2 2 2" xfId="10109" xr:uid="{00000000-0005-0000-0000-00006E270000}"/>
    <cellStyle name="Input2 2 2 3" xfId="10110" xr:uid="{00000000-0005-0000-0000-00006F270000}"/>
    <cellStyle name="Input2 2 2 3 2" xfId="10111" xr:uid="{00000000-0005-0000-0000-000070270000}"/>
    <cellStyle name="Input2 2 2 3 2 2" xfId="10112" xr:uid="{00000000-0005-0000-0000-000071270000}"/>
    <cellStyle name="Input2 2 2 4" xfId="10113" xr:uid="{00000000-0005-0000-0000-000072270000}"/>
    <cellStyle name="Input2 2 2 4 2" xfId="10114" xr:uid="{00000000-0005-0000-0000-000073270000}"/>
    <cellStyle name="Input2 2 2 4 2 2" xfId="10115" xr:uid="{00000000-0005-0000-0000-000074270000}"/>
    <cellStyle name="Input2 2 2 5" xfId="10116" xr:uid="{00000000-0005-0000-0000-000075270000}"/>
    <cellStyle name="Input2 2 2 5 2" xfId="10117" xr:uid="{00000000-0005-0000-0000-000076270000}"/>
    <cellStyle name="Input2 2 2 5 2 2" xfId="10118" xr:uid="{00000000-0005-0000-0000-000077270000}"/>
    <cellStyle name="Input2 2 2 6" xfId="10119" xr:uid="{00000000-0005-0000-0000-000078270000}"/>
    <cellStyle name="Input2 2 2 6 2" xfId="10120" xr:uid="{00000000-0005-0000-0000-000079270000}"/>
    <cellStyle name="Input2 2 2 6 2 2" xfId="10121" xr:uid="{00000000-0005-0000-0000-00007A270000}"/>
    <cellStyle name="Input2 2 2 7" xfId="10122" xr:uid="{00000000-0005-0000-0000-00007B270000}"/>
    <cellStyle name="Input2 2 2 7 2" xfId="10123" xr:uid="{00000000-0005-0000-0000-00007C270000}"/>
    <cellStyle name="Input2 2 2 7 2 2" xfId="10124" xr:uid="{00000000-0005-0000-0000-00007D270000}"/>
    <cellStyle name="Input2 2 2 8" xfId="10125" xr:uid="{00000000-0005-0000-0000-00007E270000}"/>
    <cellStyle name="Input2 2 2 8 2" xfId="10126" xr:uid="{00000000-0005-0000-0000-00007F270000}"/>
    <cellStyle name="Input2 2 2 8 2 2" xfId="10127" xr:uid="{00000000-0005-0000-0000-000080270000}"/>
    <cellStyle name="Input2 2 2 9" xfId="10128" xr:uid="{00000000-0005-0000-0000-000081270000}"/>
    <cellStyle name="Input2 2 2 9 2" xfId="10129" xr:uid="{00000000-0005-0000-0000-000082270000}"/>
    <cellStyle name="Input2 2 2 9 2 2" xfId="10130" xr:uid="{00000000-0005-0000-0000-000083270000}"/>
    <cellStyle name="Input2 2 3" xfId="10131" xr:uid="{00000000-0005-0000-0000-000084270000}"/>
    <cellStyle name="Input2 2 3 2" xfId="10132" xr:uid="{00000000-0005-0000-0000-000085270000}"/>
    <cellStyle name="Input2 2 3 2 2" xfId="10133" xr:uid="{00000000-0005-0000-0000-000086270000}"/>
    <cellStyle name="Input2 2 4" xfId="10134" xr:uid="{00000000-0005-0000-0000-000087270000}"/>
    <cellStyle name="Input2 2 4 2" xfId="10135" xr:uid="{00000000-0005-0000-0000-000088270000}"/>
    <cellStyle name="Input2 2 4 2 2" xfId="10136" xr:uid="{00000000-0005-0000-0000-000089270000}"/>
    <cellStyle name="Input2 3" xfId="10137" xr:uid="{00000000-0005-0000-0000-00008A270000}"/>
    <cellStyle name="Input2 3 10" xfId="10138" xr:uid="{00000000-0005-0000-0000-00008B270000}"/>
    <cellStyle name="Input2 3 10 2" xfId="10139" xr:uid="{00000000-0005-0000-0000-00008C270000}"/>
    <cellStyle name="Input2 3 10 2 2" xfId="10140" xr:uid="{00000000-0005-0000-0000-00008D270000}"/>
    <cellStyle name="Input2 3 2" xfId="10141" xr:uid="{00000000-0005-0000-0000-00008E270000}"/>
    <cellStyle name="Input2 3 2 2" xfId="10142" xr:uid="{00000000-0005-0000-0000-00008F270000}"/>
    <cellStyle name="Input2 3 2 2 2" xfId="10143" xr:uid="{00000000-0005-0000-0000-000090270000}"/>
    <cellStyle name="Input2 3 2 2 2 2" xfId="10144" xr:uid="{00000000-0005-0000-0000-000091270000}"/>
    <cellStyle name="Input2 3 2 2 2 2 2" xfId="10145" xr:uid="{00000000-0005-0000-0000-000092270000}"/>
    <cellStyle name="Input2 3 2 3" xfId="10146" xr:uid="{00000000-0005-0000-0000-000093270000}"/>
    <cellStyle name="Input2 3 2 3 2" xfId="10147" xr:uid="{00000000-0005-0000-0000-000094270000}"/>
    <cellStyle name="Input2 3 2 3 2 2" xfId="10148" xr:uid="{00000000-0005-0000-0000-000095270000}"/>
    <cellStyle name="Input2 3 3" xfId="10149" xr:uid="{00000000-0005-0000-0000-000096270000}"/>
    <cellStyle name="Input2 3 3 2" xfId="10150" xr:uid="{00000000-0005-0000-0000-000097270000}"/>
    <cellStyle name="Input2 3 3 2 2" xfId="10151" xr:uid="{00000000-0005-0000-0000-000098270000}"/>
    <cellStyle name="Input2 3 3 2 2 2" xfId="10152" xr:uid="{00000000-0005-0000-0000-000099270000}"/>
    <cellStyle name="Input2 3 3 2 2 2 2" xfId="10153" xr:uid="{00000000-0005-0000-0000-00009A270000}"/>
    <cellStyle name="Input2 3 3 3" xfId="10154" xr:uid="{00000000-0005-0000-0000-00009B270000}"/>
    <cellStyle name="Input2 3 3 3 2" xfId="10155" xr:uid="{00000000-0005-0000-0000-00009C270000}"/>
    <cellStyle name="Input2 3 3 3 2 2" xfId="10156" xr:uid="{00000000-0005-0000-0000-00009D270000}"/>
    <cellStyle name="Input2 3 4" xfId="10157" xr:uid="{00000000-0005-0000-0000-00009E270000}"/>
    <cellStyle name="Input2 3 4 2" xfId="10158" xr:uid="{00000000-0005-0000-0000-00009F270000}"/>
    <cellStyle name="Input2 3 4 2 2" xfId="10159" xr:uid="{00000000-0005-0000-0000-0000A0270000}"/>
    <cellStyle name="Input2 3 4 2 2 2" xfId="10160" xr:uid="{00000000-0005-0000-0000-0000A1270000}"/>
    <cellStyle name="Input2 3 5" xfId="10161" xr:uid="{00000000-0005-0000-0000-0000A2270000}"/>
    <cellStyle name="Input2 3 5 2" xfId="10162" xr:uid="{00000000-0005-0000-0000-0000A3270000}"/>
    <cellStyle name="Input2 3 5 2 2" xfId="10163" xr:uid="{00000000-0005-0000-0000-0000A4270000}"/>
    <cellStyle name="Input2 3 6" xfId="10164" xr:uid="{00000000-0005-0000-0000-0000A5270000}"/>
    <cellStyle name="Input2 3 6 2" xfId="10165" xr:uid="{00000000-0005-0000-0000-0000A6270000}"/>
    <cellStyle name="Input2 3 6 2 2" xfId="10166" xr:uid="{00000000-0005-0000-0000-0000A7270000}"/>
    <cellStyle name="Input2 3 7" xfId="10167" xr:uid="{00000000-0005-0000-0000-0000A8270000}"/>
    <cellStyle name="Input2 3 7 2" xfId="10168" xr:uid="{00000000-0005-0000-0000-0000A9270000}"/>
    <cellStyle name="Input2 3 7 2 2" xfId="10169" xr:uid="{00000000-0005-0000-0000-0000AA270000}"/>
    <cellStyle name="Input2 3 8" xfId="10170" xr:uid="{00000000-0005-0000-0000-0000AB270000}"/>
    <cellStyle name="Input2 3 8 2" xfId="10171" xr:uid="{00000000-0005-0000-0000-0000AC270000}"/>
    <cellStyle name="Input2 3 8 2 2" xfId="10172" xr:uid="{00000000-0005-0000-0000-0000AD270000}"/>
    <cellStyle name="Input2 3 9" xfId="10173" xr:uid="{00000000-0005-0000-0000-0000AE270000}"/>
    <cellStyle name="Input2 3 9 2" xfId="10174" xr:uid="{00000000-0005-0000-0000-0000AF270000}"/>
    <cellStyle name="Input2 3 9 2 2" xfId="10175" xr:uid="{00000000-0005-0000-0000-0000B0270000}"/>
    <cellStyle name="Input2 4" xfId="10176" xr:uid="{00000000-0005-0000-0000-0000B1270000}"/>
    <cellStyle name="Input2 4 10" xfId="10177" xr:uid="{00000000-0005-0000-0000-0000B2270000}"/>
    <cellStyle name="Input2 4 10 2" xfId="10178" xr:uid="{00000000-0005-0000-0000-0000B3270000}"/>
    <cellStyle name="Input2 4 10 2 2" xfId="10179" xr:uid="{00000000-0005-0000-0000-0000B4270000}"/>
    <cellStyle name="Input2 4 11" xfId="10180" xr:uid="{00000000-0005-0000-0000-0000B5270000}"/>
    <cellStyle name="Input2 4 11 2" xfId="10181" xr:uid="{00000000-0005-0000-0000-0000B6270000}"/>
    <cellStyle name="Input2 4 11 2 2" xfId="10182" xr:uid="{00000000-0005-0000-0000-0000B7270000}"/>
    <cellStyle name="Input2 4 12" xfId="10183" xr:uid="{00000000-0005-0000-0000-0000B8270000}"/>
    <cellStyle name="Input2 4 12 2" xfId="10184" xr:uid="{00000000-0005-0000-0000-0000B9270000}"/>
    <cellStyle name="Input2 4 12 2 2" xfId="10185" xr:uid="{00000000-0005-0000-0000-0000BA270000}"/>
    <cellStyle name="Input2 4 13" xfId="10186" xr:uid="{00000000-0005-0000-0000-0000BB270000}"/>
    <cellStyle name="Input2 4 13 2" xfId="10187" xr:uid="{00000000-0005-0000-0000-0000BC270000}"/>
    <cellStyle name="Input2 4 13 2 2" xfId="10188" xr:uid="{00000000-0005-0000-0000-0000BD270000}"/>
    <cellStyle name="Input2 4 14" xfId="10189" xr:uid="{00000000-0005-0000-0000-0000BE270000}"/>
    <cellStyle name="Input2 4 14 2" xfId="10190" xr:uid="{00000000-0005-0000-0000-0000BF270000}"/>
    <cellStyle name="Input2 4 14 2 2" xfId="10191" xr:uid="{00000000-0005-0000-0000-0000C0270000}"/>
    <cellStyle name="Input2 4 2" xfId="10192" xr:uid="{00000000-0005-0000-0000-0000C1270000}"/>
    <cellStyle name="Input2 4 2 2" xfId="10193" xr:uid="{00000000-0005-0000-0000-0000C2270000}"/>
    <cellStyle name="Input2 4 2 2 2" xfId="10194" xr:uid="{00000000-0005-0000-0000-0000C3270000}"/>
    <cellStyle name="Input2 4 2 2 2 2" xfId="10195" xr:uid="{00000000-0005-0000-0000-0000C4270000}"/>
    <cellStyle name="Input2 4 2 2 2 2 2" xfId="10196" xr:uid="{00000000-0005-0000-0000-0000C5270000}"/>
    <cellStyle name="Input2 4 2 3" xfId="10197" xr:uid="{00000000-0005-0000-0000-0000C6270000}"/>
    <cellStyle name="Input2 4 2 3 2" xfId="10198" xr:uid="{00000000-0005-0000-0000-0000C7270000}"/>
    <cellStyle name="Input2 4 2 3 2 2" xfId="10199" xr:uid="{00000000-0005-0000-0000-0000C8270000}"/>
    <cellStyle name="Input2 4 3" xfId="10200" xr:uid="{00000000-0005-0000-0000-0000C9270000}"/>
    <cellStyle name="Input2 4 3 2" xfId="10201" xr:uid="{00000000-0005-0000-0000-0000CA270000}"/>
    <cellStyle name="Input2 4 3 2 2" xfId="10202" xr:uid="{00000000-0005-0000-0000-0000CB270000}"/>
    <cellStyle name="Input2 4 3 2 2 2" xfId="10203" xr:uid="{00000000-0005-0000-0000-0000CC270000}"/>
    <cellStyle name="Input2 4 3 2 2 2 2" xfId="10204" xr:uid="{00000000-0005-0000-0000-0000CD270000}"/>
    <cellStyle name="Input2 4 3 3" xfId="10205" xr:uid="{00000000-0005-0000-0000-0000CE270000}"/>
    <cellStyle name="Input2 4 3 3 2" xfId="10206" xr:uid="{00000000-0005-0000-0000-0000CF270000}"/>
    <cellStyle name="Input2 4 3 3 2 2" xfId="10207" xr:uid="{00000000-0005-0000-0000-0000D0270000}"/>
    <cellStyle name="Input2 4 4" xfId="10208" xr:uid="{00000000-0005-0000-0000-0000D1270000}"/>
    <cellStyle name="Input2 4 4 2" xfId="10209" xr:uid="{00000000-0005-0000-0000-0000D2270000}"/>
    <cellStyle name="Input2 4 4 2 2" xfId="10210" xr:uid="{00000000-0005-0000-0000-0000D3270000}"/>
    <cellStyle name="Input2 4 4 2 2 2" xfId="10211" xr:uid="{00000000-0005-0000-0000-0000D4270000}"/>
    <cellStyle name="Input2 4 5" xfId="10212" xr:uid="{00000000-0005-0000-0000-0000D5270000}"/>
    <cellStyle name="Input2 4 5 2" xfId="10213" xr:uid="{00000000-0005-0000-0000-0000D6270000}"/>
    <cellStyle name="Input2 4 5 2 2" xfId="10214" xr:uid="{00000000-0005-0000-0000-0000D7270000}"/>
    <cellStyle name="Input2 4 6" xfId="10215" xr:uid="{00000000-0005-0000-0000-0000D8270000}"/>
    <cellStyle name="Input2 4 6 2" xfId="10216" xr:uid="{00000000-0005-0000-0000-0000D9270000}"/>
    <cellStyle name="Input2 4 6 2 2" xfId="10217" xr:uid="{00000000-0005-0000-0000-0000DA270000}"/>
    <cellStyle name="Input2 4 7" xfId="10218" xr:uid="{00000000-0005-0000-0000-0000DB270000}"/>
    <cellStyle name="Input2 4 7 2" xfId="10219" xr:uid="{00000000-0005-0000-0000-0000DC270000}"/>
    <cellStyle name="Input2 4 7 2 2" xfId="10220" xr:uid="{00000000-0005-0000-0000-0000DD270000}"/>
    <cellStyle name="Input2 4 8" xfId="10221" xr:uid="{00000000-0005-0000-0000-0000DE270000}"/>
    <cellStyle name="Input2 4 8 2" xfId="10222" xr:uid="{00000000-0005-0000-0000-0000DF270000}"/>
    <cellStyle name="Input2 4 8 2 2" xfId="10223" xr:uid="{00000000-0005-0000-0000-0000E0270000}"/>
    <cellStyle name="Input2 4 9" xfId="10224" xr:uid="{00000000-0005-0000-0000-0000E1270000}"/>
    <cellStyle name="Input2 4 9 2" xfId="10225" xr:uid="{00000000-0005-0000-0000-0000E2270000}"/>
    <cellStyle name="Input2 4 9 2 2" xfId="10226" xr:uid="{00000000-0005-0000-0000-0000E3270000}"/>
    <cellStyle name="Input2 5" xfId="10227" xr:uid="{00000000-0005-0000-0000-0000E4270000}"/>
    <cellStyle name="Input2 5 10" xfId="10228" xr:uid="{00000000-0005-0000-0000-0000E5270000}"/>
    <cellStyle name="Input2 5 10 2" xfId="10229" xr:uid="{00000000-0005-0000-0000-0000E6270000}"/>
    <cellStyle name="Input2 5 10 2 2" xfId="10230" xr:uid="{00000000-0005-0000-0000-0000E7270000}"/>
    <cellStyle name="Input2 5 11" xfId="10231" xr:uid="{00000000-0005-0000-0000-0000E8270000}"/>
    <cellStyle name="Input2 5 11 2" xfId="10232" xr:uid="{00000000-0005-0000-0000-0000E9270000}"/>
    <cellStyle name="Input2 5 11 2 2" xfId="10233" xr:uid="{00000000-0005-0000-0000-0000EA270000}"/>
    <cellStyle name="Input2 5 12" xfId="10234" xr:uid="{00000000-0005-0000-0000-0000EB270000}"/>
    <cellStyle name="Input2 5 12 2" xfId="10235" xr:uid="{00000000-0005-0000-0000-0000EC270000}"/>
    <cellStyle name="Input2 5 12 2 2" xfId="10236" xr:uid="{00000000-0005-0000-0000-0000ED270000}"/>
    <cellStyle name="Input2 5 13" xfId="10237" xr:uid="{00000000-0005-0000-0000-0000EE270000}"/>
    <cellStyle name="Input2 5 13 2" xfId="10238" xr:uid="{00000000-0005-0000-0000-0000EF270000}"/>
    <cellStyle name="Input2 5 13 2 2" xfId="10239" xr:uid="{00000000-0005-0000-0000-0000F0270000}"/>
    <cellStyle name="Input2 5 14" xfId="10240" xr:uid="{00000000-0005-0000-0000-0000F1270000}"/>
    <cellStyle name="Input2 5 14 2" xfId="10241" xr:uid="{00000000-0005-0000-0000-0000F2270000}"/>
    <cellStyle name="Input2 5 14 2 2" xfId="10242" xr:uid="{00000000-0005-0000-0000-0000F3270000}"/>
    <cellStyle name="Input2 5 2" xfId="10243" xr:uid="{00000000-0005-0000-0000-0000F4270000}"/>
    <cellStyle name="Input2 5 2 2" xfId="10244" xr:uid="{00000000-0005-0000-0000-0000F5270000}"/>
    <cellStyle name="Input2 5 2 2 2" xfId="10245" xr:uid="{00000000-0005-0000-0000-0000F6270000}"/>
    <cellStyle name="Input2 5 3" xfId="10246" xr:uid="{00000000-0005-0000-0000-0000F7270000}"/>
    <cellStyle name="Input2 5 3 2" xfId="10247" xr:uid="{00000000-0005-0000-0000-0000F8270000}"/>
    <cellStyle name="Input2 5 3 2 2" xfId="10248" xr:uid="{00000000-0005-0000-0000-0000F9270000}"/>
    <cellStyle name="Input2 5 4" xfId="10249" xr:uid="{00000000-0005-0000-0000-0000FA270000}"/>
    <cellStyle name="Input2 5 4 2" xfId="10250" xr:uid="{00000000-0005-0000-0000-0000FB270000}"/>
    <cellStyle name="Input2 5 4 2 2" xfId="10251" xr:uid="{00000000-0005-0000-0000-0000FC270000}"/>
    <cellStyle name="Input2 5 5" xfId="10252" xr:uid="{00000000-0005-0000-0000-0000FD270000}"/>
    <cellStyle name="Input2 5 5 2" xfId="10253" xr:uid="{00000000-0005-0000-0000-0000FE270000}"/>
    <cellStyle name="Input2 5 5 2 2" xfId="10254" xr:uid="{00000000-0005-0000-0000-0000FF270000}"/>
    <cellStyle name="Input2 5 6" xfId="10255" xr:uid="{00000000-0005-0000-0000-000000280000}"/>
    <cellStyle name="Input2 5 6 2" xfId="10256" xr:uid="{00000000-0005-0000-0000-000001280000}"/>
    <cellStyle name="Input2 5 6 2 2" xfId="10257" xr:uid="{00000000-0005-0000-0000-000002280000}"/>
    <cellStyle name="Input2 5 7" xfId="10258" xr:uid="{00000000-0005-0000-0000-000003280000}"/>
    <cellStyle name="Input2 5 7 2" xfId="10259" xr:uid="{00000000-0005-0000-0000-000004280000}"/>
    <cellStyle name="Input2 5 7 2 2" xfId="10260" xr:uid="{00000000-0005-0000-0000-000005280000}"/>
    <cellStyle name="Input2 5 8" xfId="10261" xr:uid="{00000000-0005-0000-0000-000006280000}"/>
    <cellStyle name="Input2 5 8 2" xfId="10262" xr:uid="{00000000-0005-0000-0000-000007280000}"/>
    <cellStyle name="Input2 5 8 2 2" xfId="10263" xr:uid="{00000000-0005-0000-0000-000008280000}"/>
    <cellStyle name="Input2 5 9" xfId="10264" xr:uid="{00000000-0005-0000-0000-000009280000}"/>
    <cellStyle name="Input2 5 9 2" xfId="10265" xr:uid="{00000000-0005-0000-0000-00000A280000}"/>
    <cellStyle name="Input2 5 9 2 2" xfId="10266" xr:uid="{00000000-0005-0000-0000-00000B280000}"/>
    <cellStyle name="Input2 6" xfId="10267" xr:uid="{00000000-0005-0000-0000-00000C280000}"/>
    <cellStyle name="Input2 6 2" xfId="10268" xr:uid="{00000000-0005-0000-0000-00000D280000}"/>
    <cellStyle name="Input2 6 2 2" xfId="10269" xr:uid="{00000000-0005-0000-0000-00000E280000}"/>
    <cellStyle name="Input2 7" xfId="10270" xr:uid="{00000000-0005-0000-0000-00000F280000}"/>
    <cellStyle name="Input2 7 2" xfId="10271" xr:uid="{00000000-0005-0000-0000-000010280000}"/>
    <cellStyle name="Input2 7 2 2" xfId="10272" xr:uid="{00000000-0005-0000-0000-000011280000}"/>
    <cellStyle name="Input2 8" xfId="10273" xr:uid="{00000000-0005-0000-0000-000012280000}"/>
    <cellStyle name="Input2 8 2" xfId="10274" xr:uid="{00000000-0005-0000-0000-000013280000}"/>
    <cellStyle name="Input2 8 2 2" xfId="10275" xr:uid="{00000000-0005-0000-0000-000014280000}"/>
    <cellStyle name="Input2 9" xfId="10276" xr:uid="{00000000-0005-0000-0000-000015280000}"/>
    <cellStyle name="Input2 9 2" xfId="10277" xr:uid="{00000000-0005-0000-0000-000016280000}"/>
    <cellStyle name="Input2 9 2 2" xfId="10278" xr:uid="{00000000-0005-0000-0000-000017280000}"/>
    <cellStyle name="InputCurrency" xfId="10279" xr:uid="{00000000-0005-0000-0000-000018280000}"/>
    <cellStyle name="InputCurrency2" xfId="10280" xr:uid="{00000000-0005-0000-0000-000019280000}"/>
    <cellStyle name="InputMultiple1" xfId="10281" xr:uid="{00000000-0005-0000-0000-00001A280000}"/>
    <cellStyle name="InputPercent1" xfId="10282" xr:uid="{00000000-0005-0000-0000-00001B280000}"/>
    <cellStyle name="Inputs" xfId="10283" xr:uid="{00000000-0005-0000-0000-00001C280000}"/>
    <cellStyle name="Inputs 2" xfId="10284" xr:uid="{00000000-0005-0000-0000-00001D280000}"/>
    <cellStyle name="Inputs 3" xfId="10285" xr:uid="{00000000-0005-0000-0000-00001E280000}"/>
    <cellStyle name="Integer" xfId="10286" xr:uid="{00000000-0005-0000-0000-00001F280000}"/>
    <cellStyle name="Italic" xfId="10287" xr:uid="{00000000-0005-0000-0000-000020280000}"/>
    <cellStyle name="ItalicBold" xfId="10288" xr:uid="{00000000-0005-0000-0000-000021280000}"/>
    <cellStyle name="Item" xfId="10289" xr:uid="{00000000-0005-0000-0000-000022280000}"/>
    <cellStyle name="Item Descriptions" xfId="10290" xr:uid="{00000000-0005-0000-0000-000023280000}"/>
    <cellStyle name="Item Descriptions - Bold" xfId="10291" xr:uid="{00000000-0005-0000-0000-000024280000}"/>
    <cellStyle name="Item Descriptions_6079BX" xfId="10292" xr:uid="{00000000-0005-0000-0000-000025280000}"/>
    <cellStyle name="Item_Bioenergia_Model_259" xfId="10293" xr:uid="{00000000-0005-0000-0000-000026280000}"/>
    <cellStyle name="ItemTypeClass" xfId="10294" xr:uid="{00000000-0005-0000-0000-000027280000}"/>
    <cellStyle name="ItemTypeClass 10" xfId="10295" xr:uid="{00000000-0005-0000-0000-000028280000}"/>
    <cellStyle name="ItemTypeClass 10 2" xfId="10296" xr:uid="{00000000-0005-0000-0000-000029280000}"/>
    <cellStyle name="ItemTypeClass 11" xfId="10297" xr:uid="{00000000-0005-0000-0000-00002A280000}"/>
    <cellStyle name="ItemTypeClass 2" xfId="10298" xr:uid="{00000000-0005-0000-0000-00002B280000}"/>
    <cellStyle name="ItemTypeClass 2 2" xfId="10299" xr:uid="{00000000-0005-0000-0000-00002C280000}"/>
    <cellStyle name="ItemTypeClass 2 2 2" xfId="10300" xr:uid="{00000000-0005-0000-0000-00002D280000}"/>
    <cellStyle name="ItemTypeClass 2 2 2 2" xfId="10301" xr:uid="{00000000-0005-0000-0000-00002E280000}"/>
    <cellStyle name="ItemTypeClass 2 2 2 2 2" xfId="10302" xr:uid="{00000000-0005-0000-0000-00002F280000}"/>
    <cellStyle name="ItemTypeClass 2 2 2 3" xfId="10303" xr:uid="{00000000-0005-0000-0000-000030280000}"/>
    <cellStyle name="ItemTypeClass 2 2 3" xfId="10304" xr:uid="{00000000-0005-0000-0000-000031280000}"/>
    <cellStyle name="ItemTypeClass 2 2 3 2" xfId="10305" xr:uid="{00000000-0005-0000-0000-000032280000}"/>
    <cellStyle name="ItemTypeClass 2 2 4" xfId="10306" xr:uid="{00000000-0005-0000-0000-000033280000}"/>
    <cellStyle name="ItemTypeClass 2 3" xfId="10307" xr:uid="{00000000-0005-0000-0000-000034280000}"/>
    <cellStyle name="ItemTypeClass 2 3 2" xfId="10308" xr:uid="{00000000-0005-0000-0000-000035280000}"/>
    <cellStyle name="ItemTypeClass 2 3 2 2" xfId="10309" xr:uid="{00000000-0005-0000-0000-000036280000}"/>
    <cellStyle name="ItemTypeClass 2 3 3" xfId="10310" xr:uid="{00000000-0005-0000-0000-000037280000}"/>
    <cellStyle name="ItemTypeClass 2 4" xfId="10311" xr:uid="{00000000-0005-0000-0000-000038280000}"/>
    <cellStyle name="ItemTypeClass 2 4 2" xfId="10312" xr:uid="{00000000-0005-0000-0000-000039280000}"/>
    <cellStyle name="ItemTypeClass 2 5" xfId="10313" xr:uid="{00000000-0005-0000-0000-00003A280000}"/>
    <cellStyle name="ItemTypeClass 3" xfId="10314" xr:uid="{00000000-0005-0000-0000-00003B280000}"/>
    <cellStyle name="ItemTypeClass 3 2" xfId="10315" xr:uid="{00000000-0005-0000-0000-00003C280000}"/>
    <cellStyle name="ItemTypeClass 3 2 2" xfId="10316" xr:uid="{00000000-0005-0000-0000-00003D280000}"/>
    <cellStyle name="ItemTypeClass 3 2 2 2" xfId="10317" xr:uid="{00000000-0005-0000-0000-00003E280000}"/>
    <cellStyle name="ItemTypeClass 3 2 2 2 2" xfId="10318" xr:uid="{00000000-0005-0000-0000-00003F280000}"/>
    <cellStyle name="ItemTypeClass 3 2 2 3" xfId="10319" xr:uid="{00000000-0005-0000-0000-000040280000}"/>
    <cellStyle name="ItemTypeClass 3 2 3" xfId="10320" xr:uid="{00000000-0005-0000-0000-000041280000}"/>
    <cellStyle name="ItemTypeClass 3 2 3 2" xfId="10321" xr:uid="{00000000-0005-0000-0000-000042280000}"/>
    <cellStyle name="ItemTypeClass 3 2 4" xfId="10322" xr:uid="{00000000-0005-0000-0000-000043280000}"/>
    <cellStyle name="ItemTypeClass 3 3" xfId="10323" xr:uid="{00000000-0005-0000-0000-000044280000}"/>
    <cellStyle name="ItemTypeClass 3 3 2" xfId="10324" xr:uid="{00000000-0005-0000-0000-000045280000}"/>
    <cellStyle name="ItemTypeClass 3 3 2 2" xfId="10325" xr:uid="{00000000-0005-0000-0000-000046280000}"/>
    <cellStyle name="ItemTypeClass 3 3 3" xfId="10326" xr:uid="{00000000-0005-0000-0000-000047280000}"/>
    <cellStyle name="ItemTypeClass 3 4" xfId="10327" xr:uid="{00000000-0005-0000-0000-000048280000}"/>
    <cellStyle name="ItemTypeClass 3 4 2" xfId="10328" xr:uid="{00000000-0005-0000-0000-000049280000}"/>
    <cellStyle name="ItemTypeClass 3 5" xfId="10329" xr:uid="{00000000-0005-0000-0000-00004A280000}"/>
    <cellStyle name="ItemTypeClass 4" xfId="10330" xr:uid="{00000000-0005-0000-0000-00004B280000}"/>
    <cellStyle name="ItemTypeClass 4 2" xfId="10331" xr:uid="{00000000-0005-0000-0000-00004C280000}"/>
    <cellStyle name="ItemTypeClass 4 2 2" xfId="10332" xr:uid="{00000000-0005-0000-0000-00004D280000}"/>
    <cellStyle name="ItemTypeClass 4 2 2 2" xfId="10333" xr:uid="{00000000-0005-0000-0000-00004E280000}"/>
    <cellStyle name="ItemTypeClass 4 2 2 2 2" xfId="10334" xr:uid="{00000000-0005-0000-0000-00004F280000}"/>
    <cellStyle name="ItemTypeClass 4 2 2 3" xfId="10335" xr:uid="{00000000-0005-0000-0000-000050280000}"/>
    <cellStyle name="ItemTypeClass 4 2 3" xfId="10336" xr:uid="{00000000-0005-0000-0000-000051280000}"/>
    <cellStyle name="ItemTypeClass 4 2 3 2" xfId="10337" xr:uid="{00000000-0005-0000-0000-000052280000}"/>
    <cellStyle name="ItemTypeClass 4 2 4" xfId="10338" xr:uid="{00000000-0005-0000-0000-000053280000}"/>
    <cellStyle name="ItemTypeClass 4 3" xfId="10339" xr:uid="{00000000-0005-0000-0000-000054280000}"/>
    <cellStyle name="ItemTypeClass 4 3 2" xfId="10340" xr:uid="{00000000-0005-0000-0000-000055280000}"/>
    <cellStyle name="ItemTypeClass 4 3 2 2" xfId="10341" xr:uid="{00000000-0005-0000-0000-000056280000}"/>
    <cellStyle name="ItemTypeClass 4 3 3" xfId="10342" xr:uid="{00000000-0005-0000-0000-000057280000}"/>
    <cellStyle name="ItemTypeClass 4 4" xfId="10343" xr:uid="{00000000-0005-0000-0000-000058280000}"/>
    <cellStyle name="ItemTypeClass 4 4 2" xfId="10344" xr:uid="{00000000-0005-0000-0000-000059280000}"/>
    <cellStyle name="ItemTypeClass 4 5" xfId="10345" xr:uid="{00000000-0005-0000-0000-00005A280000}"/>
    <cellStyle name="ItemTypeClass 5" xfId="10346" xr:uid="{00000000-0005-0000-0000-00005B280000}"/>
    <cellStyle name="ItemTypeClass 5 2" xfId="10347" xr:uid="{00000000-0005-0000-0000-00005C280000}"/>
    <cellStyle name="ItemTypeClass 5 2 2" xfId="10348" xr:uid="{00000000-0005-0000-0000-00005D280000}"/>
    <cellStyle name="ItemTypeClass 5 2 2 2" xfId="10349" xr:uid="{00000000-0005-0000-0000-00005E280000}"/>
    <cellStyle name="ItemTypeClass 5 2 2 2 2" xfId="10350" xr:uid="{00000000-0005-0000-0000-00005F280000}"/>
    <cellStyle name="ItemTypeClass 5 2 2 3" xfId="10351" xr:uid="{00000000-0005-0000-0000-000060280000}"/>
    <cellStyle name="ItemTypeClass 5 2 3" xfId="10352" xr:uid="{00000000-0005-0000-0000-000061280000}"/>
    <cellStyle name="ItemTypeClass 5 2 3 2" xfId="10353" xr:uid="{00000000-0005-0000-0000-000062280000}"/>
    <cellStyle name="ItemTypeClass 5 2 4" xfId="10354" xr:uid="{00000000-0005-0000-0000-000063280000}"/>
    <cellStyle name="ItemTypeClass 5 3" xfId="10355" xr:uid="{00000000-0005-0000-0000-000064280000}"/>
    <cellStyle name="ItemTypeClass 5 3 2" xfId="10356" xr:uid="{00000000-0005-0000-0000-000065280000}"/>
    <cellStyle name="ItemTypeClass 5 3 2 2" xfId="10357" xr:uid="{00000000-0005-0000-0000-000066280000}"/>
    <cellStyle name="ItemTypeClass 5 3 3" xfId="10358" xr:uid="{00000000-0005-0000-0000-000067280000}"/>
    <cellStyle name="ItemTypeClass 5 4" xfId="10359" xr:uid="{00000000-0005-0000-0000-000068280000}"/>
    <cellStyle name="ItemTypeClass 5 4 2" xfId="10360" xr:uid="{00000000-0005-0000-0000-000069280000}"/>
    <cellStyle name="ItemTypeClass 5 5" xfId="10361" xr:uid="{00000000-0005-0000-0000-00006A280000}"/>
    <cellStyle name="ItemTypeClass 6" xfId="10362" xr:uid="{00000000-0005-0000-0000-00006B280000}"/>
    <cellStyle name="ItemTypeClass 6 2" xfId="10363" xr:uid="{00000000-0005-0000-0000-00006C280000}"/>
    <cellStyle name="ItemTypeClass 6 2 2" xfId="10364" xr:uid="{00000000-0005-0000-0000-00006D280000}"/>
    <cellStyle name="ItemTypeClass 6 2 2 2" xfId="10365" xr:uid="{00000000-0005-0000-0000-00006E280000}"/>
    <cellStyle name="ItemTypeClass 6 2 2 2 2" xfId="10366" xr:uid="{00000000-0005-0000-0000-00006F280000}"/>
    <cellStyle name="ItemTypeClass 6 2 2 3" xfId="10367" xr:uid="{00000000-0005-0000-0000-000070280000}"/>
    <cellStyle name="ItemTypeClass 6 2 3" xfId="10368" xr:uid="{00000000-0005-0000-0000-000071280000}"/>
    <cellStyle name="ItemTypeClass 6 2 3 2" xfId="10369" xr:uid="{00000000-0005-0000-0000-000072280000}"/>
    <cellStyle name="ItemTypeClass 6 2 4" xfId="10370" xr:uid="{00000000-0005-0000-0000-000073280000}"/>
    <cellStyle name="ItemTypeClass 6 3" xfId="10371" xr:uid="{00000000-0005-0000-0000-000074280000}"/>
    <cellStyle name="ItemTypeClass 6 3 2" xfId="10372" xr:uid="{00000000-0005-0000-0000-000075280000}"/>
    <cellStyle name="ItemTypeClass 6 3 2 2" xfId="10373" xr:uid="{00000000-0005-0000-0000-000076280000}"/>
    <cellStyle name="ItemTypeClass 6 3 3" xfId="10374" xr:uid="{00000000-0005-0000-0000-000077280000}"/>
    <cellStyle name="ItemTypeClass 6 4" xfId="10375" xr:uid="{00000000-0005-0000-0000-000078280000}"/>
    <cellStyle name="ItemTypeClass 6 4 2" xfId="10376" xr:uid="{00000000-0005-0000-0000-000079280000}"/>
    <cellStyle name="ItemTypeClass 6 5" xfId="10377" xr:uid="{00000000-0005-0000-0000-00007A280000}"/>
    <cellStyle name="ItemTypeClass 7" xfId="10378" xr:uid="{00000000-0005-0000-0000-00007B280000}"/>
    <cellStyle name="ItemTypeClass 7 2" xfId="10379" xr:uid="{00000000-0005-0000-0000-00007C280000}"/>
    <cellStyle name="ItemTypeClass 7 2 2" xfId="10380" xr:uid="{00000000-0005-0000-0000-00007D280000}"/>
    <cellStyle name="ItemTypeClass 7 2 2 2" xfId="10381" xr:uid="{00000000-0005-0000-0000-00007E280000}"/>
    <cellStyle name="ItemTypeClass 7 2 2 2 2" xfId="10382" xr:uid="{00000000-0005-0000-0000-00007F280000}"/>
    <cellStyle name="ItemTypeClass 7 2 2 3" xfId="10383" xr:uid="{00000000-0005-0000-0000-000080280000}"/>
    <cellStyle name="ItemTypeClass 7 2 3" xfId="10384" xr:uid="{00000000-0005-0000-0000-000081280000}"/>
    <cellStyle name="ItemTypeClass 7 2 3 2" xfId="10385" xr:uid="{00000000-0005-0000-0000-000082280000}"/>
    <cellStyle name="ItemTypeClass 7 2 4" xfId="10386" xr:uid="{00000000-0005-0000-0000-000083280000}"/>
    <cellStyle name="ItemTypeClass 7 3" xfId="10387" xr:uid="{00000000-0005-0000-0000-000084280000}"/>
    <cellStyle name="ItemTypeClass 7 3 2" xfId="10388" xr:uid="{00000000-0005-0000-0000-000085280000}"/>
    <cellStyle name="ItemTypeClass 7 3 2 2" xfId="10389" xr:uid="{00000000-0005-0000-0000-000086280000}"/>
    <cellStyle name="ItemTypeClass 7 3 3" xfId="10390" xr:uid="{00000000-0005-0000-0000-000087280000}"/>
    <cellStyle name="ItemTypeClass 7 4" xfId="10391" xr:uid="{00000000-0005-0000-0000-000088280000}"/>
    <cellStyle name="ItemTypeClass 7 4 2" xfId="10392" xr:uid="{00000000-0005-0000-0000-000089280000}"/>
    <cellStyle name="ItemTypeClass 7 5" xfId="10393" xr:uid="{00000000-0005-0000-0000-00008A280000}"/>
    <cellStyle name="ItemTypeClass 8" xfId="10394" xr:uid="{00000000-0005-0000-0000-00008B280000}"/>
    <cellStyle name="ItemTypeClass 8 2" xfId="10395" xr:uid="{00000000-0005-0000-0000-00008C280000}"/>
    <cellStyle name="ItemTypeClass 8 2 2" xfId="10396" xr:uid="{00000000-0005-0000-0000-00008D280000}"/>
    <cellStyle name="ItemTypeClass 8 2 2 2" xfId="10397" xr:uid="{00000000-0005-0000-0000-00008E280000}"/>
    <cellStyle name="ItemTypeClass 8 2 3" xfId="10398" xr:uid="{00000000-0005-0000-0000-00008F280000}"/>
    <cellStyle name="ItemTypeClass 8 3" xfId="10399" xr:uid="{00000000-0005-0000-0000-000090280000}"/>
    <cellStyle name="ItemTypeClass 8 3 2" xfId="10400" xr:uid="{00000000-0005-0000-0000-000091280000}"/>
    <cellStyle name="ItemTypeClass 8 4" xfId="10401" xr:uid="{00000000-0005-0000-0000-000092280000}"/>
    <cellStyle name="ItemTypeClass 9" xfId="10402" xr:uid="{00000000-0005-0000-0000-000093280000}"/>
    <cellStyle name="ItemTypeClass 9 2" xfId="10403" xr:uid="{00000000-0005-0000-0000-000094280000}"/>
    <cellStyle name="ItemTypeClass 9 2 2" xfId="10404" xr:uid="{00000000-0005-0000-0000-000095280000}"/>
    <cellStyle name="ItemTypeClass 9 3" xfId="10405" xr:uid="{00000000-0005-0000-0000-000096280000}"/>
    <cellStyle name="KPMG Heading 1" xfId="10406" xr:uid="{00000000-0005-0000-0000-000097280000}"/>
    <cellStyle name="KPMG Heading 2" xfId="10407" xr:uid="{00000000-0005-0000-0000-000098280000}"/>
    <cellStyle name="KPMG Heading 3" xfId="10408" xr:uid="{00000000-0005-0000-0000-000099280000}"/>
    <cellStyle name="KPMG Heading 4" xfId="10409" xr:uid="{00000000-0005-0000-0000-00009A280000}"/>
    <cellStyle name="KPMG Normal" xfId="10410" xr:uid="{00000000-0005-0000-0000-00009B280000}"/>
    <cellStyle name="KPMG Normal Text" xfId="10411" xr:uid="{00000000-0005-0000-0000-00009C280000}"/>
    <cellStyle name="KPMG Normal_HRT O&amp;G" xfId="10412" xr:uid="{00000000-0005-0000-0000-00009D280000}"/>
    <cellStyle name="L BP" xfId="10413" xr:uid="{00000000-0005-0000-0000-00009E280000}"/>
    <cellStyle name="Label" xfId="10414" xr:uid="{00000000-0005-0000-0000-00009F280000}"/>
    <cellStyle name="Lable8Left" xfId="10415" xr:uid="{00000000-0005-0000-0000-0000A0280000}"/>
    <cellStyle name="Lien hypertexte" xfId="10416" xr:uid="{00000000-0005-0000-0000-0000A1280000}"/>
    <cellStyle name="Lien hypertexte visité" xfId="10417" xr:uid="{00000000-0005-0000-0000-0000A2280000}"/>
    <cellStyle name="Lien hypertexte_HRT O&amp;G" xfId="10418" xr:uid="{00000000-0005-0000-0000-0000A3280000}"/>
    <cellStyle name="Line" xfId="10419" xr:uid="{00000000-0005-0000-0000-0000A4280000}"/>
    <cellStyle name="Link" xfId="10420" xr:uid="{00000000-0005-0000-0000-0000A5280000}"/>
    <cellStyle name="Link Currency (0)" xfId="10421" xr:uid="{00000000-0005-0000-0000-0000A6280000}"/>
    <cellStyle name="Link Currency (2)" xfId="10422" xr:uid="{00000000-0005-0000-0000-0000A7280000}"/>
    <cellStyle name="Link Units (0)" xfId="10423" xr:uid="{00000000-0005-0000-0000-0000A8280000}"/>
    <cellStyle name="Link Units (1)" xfId="10424" xr:uid="{00000000-0005-0000-0000-0000A9280000}"/>
    <cellStyle name="Link Units (2)" xfId="10425" xr:uid="{00000000-0005-0000-0000-0000AA280000}"/>
    <cellStyle name="Link_HRT O&amp;G" xfId="10426" xr:uid="{00000000-0005-0000-0000-0000AB280000}"/>
    <cellStyle name="Linked Cell 2" xfId="10427" xr:uid="{00000000-0005-0000-0000-0000AC280000}"/>
    <cellStyle name="Linked Cells" xfId="10428" xr:uid="{00000000-0005-0000-0000-0000AD280000}"/>
    <cellStyle name="m" xfId="10429" xr:uid="{00000000-0005-0000-0000-0000AE280000}"/>
    <cellStyle name="m$" xfId="10430" xr:uid="{00000000-0005-0000-0000-0000AF280000}"/>
    <cellStyle name="m/d/yy" xfId="10431" xr:uid="{00000000-0005-0000-0000-0000B0280000}"/>
    <cellStyle name="m/d/yy 10" xfId="10432" xr:uid="{00000000-0005-0000-0000-0000B1280000}"/>
    <cellStyle name="m/d/yy 10 2" xfId="10433" xr:uid="{00000000-0005-0000-0000-0000B2280000}"/>
    <cellStyle name="m/d/yy 10 2 2" xfId="10434" xr:uid="{00000000-0005-0000-0000-0000B3280000}"/>
    <cellStyle name="m/d/yy 11" xfId="10435" xr:uid="{00000000-0005-0000-0000-0000B4280000}"/>
    <cellStyle name="m/d/yy 11 2" xfId="10436" xr:uid="{00000000-0005-0000-0000-0000B5280000}"/>
    <cellStyle name="m/d/yy 11 2 2" xfId="10437" xr:uid="{00000000-0005-0000-0000-0000B6280000}"/>
    <cellStyle name="m/d/yy 2" xfId="10438" xr:uid="{00000000-0005-0000-0000-0000B7280000}"/>
    <cellStyle name="m/d/yy 2 2" xfId="10439" xr:uid="{00000000-0005-0000-0000-0000B8280000}"/>
    <cellStyle name="m/d/yy 2 2 10" xfId="10440" xr:uid="{00000000-0005-0000-0000-0000B9280000}"/>
    <cellStyle name="m/d/yy 2 2 10 2" xfId="10441" xr:uid="{00000000-0005-0000-0000-0000BA280000}"/>
    <cellStyle name="m/d/yy 2 2 10 2 2" xfId="10442" xr:uid="{00000000-0005-0000-0000-0000BB280000}"/>
    <cellStyle name="m/d/yy 2 2 11" xfId="10443" xr:uid="{00000000-0005-0000-0000-0000BC280000}"/>
    <cellStyle name="m/d/yy 2 2 11 2" xfId="10444" xr:uid="{00000000-0005-0000-0000-0000BD280000}"/>
    <cellStyle name="m/d/yy 2 2 11 2 2" xfId="10445" xr:uid="{00000000-0005-0000-0000-0000BE280000}"/>
    <cellStyle name="m/d/yy 2 2 12" xfId="10446" xr:uid="{00000000-0005-0000-0000-0000BF280000}"/>
    <cellStyle name="m/d/yy 2 2 12 2" xfId="10447" xr:uid="{00000000-0005-0000-0000-0000C0280000}"/>
    <cellStyle name="m/d/yy 2 2 12 2 2" xfId="10448" xr:uid="{00000000-0005-0000-0000-0000C1280000}"/>
    <cellStyle name="m/d/yy 2 2 13" xfId="10449" xr:uid="{00000000-0005-0000-0000-0000C2280000}"/>
    <cellStyle name="m/d/yy 2 2 13 2" xfId="10450" xr:uid="{00000000-0005-0000-0000-0000C3280000}"/>
    <cellStyle name="m/d/yy 2 2 13 2 2" xfId="10451" xr:uid="{00000000-0005-0000-0000-0000C4280000}"/>
    <cellStyle name="m/d/yy 2 2 14" xfId="10452" xr:uid="{00000000-0005-0000-0000-0000C5280000}"/>
    <cellStyle name="m/d/yy 2 2 14 2" xfId="10453" xr:uid="{00000000-0005-0000-0000-0000C6280000}"/>
    <cellStyle name="m/d/yy 2 2 14 2 2" xfId="10454" xr:uid="{00000000-0005-0000-0000-0000C7280000}"/>
    <cellStyle name="m/d/yy 2 2 15" xfId="10455" xr:uid="{00000000-0005-0000-0000-0000C8280000}"/>
    <cellStyle name="m/d/yy 2 2 15 2" xfId="10456" xr:uid="{00000000-0005-0000-0000-0000C9280000}"/>
    <cellStyle name="m/d/yy 2 2 2" xfId="10457" xr:uid="{00000000-0005-0000-0000-0000CA280000}"/>
    <cellStyle name="m/d/yy 2 2 2 2" xfId="10458" xr:uid="{00000000-0005-0000-0000-0000CB280000}"/>
    <cellStyle name="m/d/yy 2 2 2 2 2" xfId="10459" xr:uid="{00000000-0005-0000-0000-0000CC280000}"/>
    <cellStyle name="m/d/yy 2 2 3" xfId="10460" xr:uid="{00000000-0005-0000-0000-0000CD280000}"/>
    <cellStyle name="m/d/yy 2 2 3 2" xfId="10461" xr:uid="{00000000-0005-0000-0000-0000CE280000}"/>
    <cellStyle name="m/d/yy 2 2 3 2 2" xfId="10462" xr:uid="{00000000-0005-0000-0000-0000CF280000}"/>
    <cellStyle name="m/d/yy 2 2 4" xfId="10463" xr:uid="{00000000-0005-0000-0000-0000D0280000}"/>
    <cellStyle name="m/d/yy 2 2 4 2" xfId="10464" xr:uid="{00000000-0005-0000-0000-0000D1280000}"/>
    <cellStyle name="m/d/yy 2 2 4 2 2" xfId="10465" xr:uid="{00000000-0005-0000-0000-0000D2280000}"/>
    <cellStyle name="m/d/yy 2 2 5" xfId="10466" xr:uid="{00000000-0005-0000-0000-0000D3280000}"/>
    <cellStyle name="m/d/yy 2 2 5 2" xfId="10467" xr:uid="{00000000-0005-0000-0000-0000D4280000}"/>
    <cellStyle name="m/d/yy 2 2 5 2 2" xfId="10468" xr:uid="{00000000-0005-0000-0000-0000D5280000}"/>
    <cellStyle name="m/d/yy 2 2 6" xfId="10469" xr:uid="{00000000-0005-0000-0000-0000D6280000}"/>
    <cellStyle name="m/d/yy 2 2 6 2" xfId="10470" xr:uid="{00000000-0005-0000-0000-0000D7280000}"/>
    <cellStyle name="m/d/yy 2 2 6 2 2" xfId="10471" xr:uid="{00000000-0005-0000-0000-0000D8280000}"/>
    <cellStyle name="m/d/yy 2 2 7" xfId="10472" xr:uid="{00000000-0005-0000-0000-0000D9280000}"/>
    <cellStyle name="m/d/yy 2 2 7 2" xfId="10473" xr:uid="{00000000-0005-0000-0000-0000DA280000}"/>
    <cellStyle name="m/d/yy 2 2 7 2 2" xfId="10474" xr:uid="{00000000-0005-0000-0000-0000DB280000}"/>
    <cellStyle name="m/d/yy 2 2 8" xfId="10475" xr:uid="{00000000-0005-0000-0000-0000DC280000}"/>
    <cellStyle name="m/d/yy 2 2 8 2" xfId="10476" xr:uid="{00000000-0005-0000-0000-0000DD280000}"/>
    <cellStyle name="m/d/yy 2 2 8 2 2" xfId="10477" xr:uid="{00000000-0005-0000-0000-0000DE280000}"/>
    <cellStyle name="m/d/yy 2 2 9" xfId="10478" xr:uid="{00000000-0005-0000-0000-0000DF280000}"/>
    <cellStyle name="m/d/yy 2 2 9 2" xfId="10479" xr:uid="{00000000-0005-0000-0000-0000E0280000}"/>
    <cellStyle name="m/d/yy 2 2 9 2 2" xfId="10480" xr:uid="{00000000-0005-0000-0000-0000E1280000}"/>
    <cellStyle name="m/d/yy 2 3" xfId="10481" xr:uid="{00000000-0005-0000-0000-0000E2280000}"/>
    <cellStyle name="m/d/yy 2 3 2" xfId="10482" xr:uid="{00000000-0005-0000-0000-0000E3280000}"/>
    <cellStyle name="m/d/yy 2 3 2 2" xfId="10483" xr:uid="{00000000-0005-0000-0000-0000E4280000}"/>
    <cellStyle name="m/d/yy 2 4" xfId="10484" xr:uid="{00000000-0005-0000-0000-0000E5280000}"/>
    <cellStyle name="m/d/yy 2 4 2" xfId="10485" xr:uid="{00000000-0005-0000-0000-0000E6280000}"/>
    <cellStyle name="m/d/yy 2 4 2 2" xfId="10486" xr:uid="{00000000-0005-0000-0000-0000E7280000}"/>
    <cellStyle name="m/d/yy 3" xfId="10487" xr:uid="{00000000-0005-0000-0000-0000E8280000}"/>
    <cellStyle name="m/d/yy 3 10" xfId="10488" xr:uid="{00000000-0005-0000-0000-0000E9280000}"/>
    <cellStyle name="m/d/yy 3 10 2" xfId="10489" xr:uid="{00000000-0005-0000-0000-0000EA280000}"/>
    <cellStyle name="m/d/yy 3 10 2 2" xfId="10490" xr:uid="{00000000-0005-0000-0000-0000EB280000}"/>
    <cellStyle name="m/d/yy 3 2" xfId="10491" xr:uid="{00000000-0005-0000-0000-0000EC280000}"/>
    <cellStyle name="m/d/yy 3 2 2" xfId="10492" xr:uid="{00000000-0005-0000-0000-0000ED280000}"/>
    <cellStyle name="m/d/yy 3 2 2 2" xfId="10493" xr:uid="{00000000-0005-0000-0000-0000EE280000}"/>
    <cellStyle name="m/d/yy 3 2 2 2 2" xfId="10494" xr:uid="{00000000-0005-0000-0000-0000EF280000}"/>
    <cellStyle name="m/d/yy 3 2 2 2 2 2" xfId="10495" xr:uid="{00000000-0005-0000-0000-0000F0280000}"/>
    <cellStyle name="m/d/yy 3 2 3" xfId="10496" xr:uid="{00000000-0005-0000-0000-0000F1280000}"/>
    <cellStyle name="m/d/yy 3 2 3 2" xfId="10497" xr:uid="{00000000-0005-0000-0000-0000F2280000}"/>
    <cellStyle name="m/d/yy 3 2 3 2 2" xfId="10498" xr:uid="{00000000-0005-0000-0000-0000F3280000}"/>
    <cellStyle name="m/d/yy 3 3" xfId="10499" xr:uid="{00000000-0005-0000-0000-0000F4280000}"/>
    <cellStyle name="m/d/yy 3 3 2" xfId="10500" xr:uid="{00000000-0005-0000-0000-0000F5280000}"/>
    <cellStyle name="m/d/yy 3 3 2 2" xfId="10501" xr:uid="{00000000-0005-0000-0000-0000F6280000}"/>
    <cellStyle name="m/d/yy 3 3 2 2 2" xfId="10502" xr:uid="{00000000-0005-0000-0000-0000F7280000}"/>
    <cellStyle name="m/d/yy 3 3 2 2 2 2" xfId="10503" xr:uid="{00000000-0005-0000-0000-0000F8280000}"/>
    <cellStyle name="m/d/yy 3 3 3" xfId="10504" xr:uid="{00000000-0005-0000-0000-0000F9280000}"/>
    <cellStyle name="m/d/yy 3 3 3 2" xfId="10505" xr:uid="{00000000-0005-0000-0000-0000FA280000}"/>
    <cellStyle name="m/d/yy 3 3 3 2 2" xfId="10506" xr:uid="{00000000-0005-0000-0000-0000FB280000}"/>
    <cellStyle name="m/d/yy 3 4" xfId="10507" xr:uid="{00000000-0005-0000-0000-0000FC280000}"/>
    <cellStyle name="m/d/yy 3 4 2" xfId="10508" xr:uid="{00000000-0005-0000-0000-0000FD280000}"/>
    <cellStyle name="m/d/yy 3 4 2 2" xfId="10509" xr:uid="{00000000-0005-0000-0000-0000FE280000}"/>
    <cellStyle name="m/d/yy 3 4 2 2 2" xfId="10510" xr:uid="{00000000-0005-0000-0000-0000FF280000}"/>
    <cellStyle name="m/d/yy 3 5" xfId="10511" xr:uid="{00000000-0005-0000-0000-000000290000}"/>
    <cellStyle name="m/d/yy 3 5 2" xfId="10512" xr:uid="{00000000-0005-0000-0000-000001290000}"/>
    <cellStyle name="m/d/yy 3 5 2 2" xfId="10513" xr:uid="{00000000-0005-0000-0000-000002290000}"/>
    <cellStyle name="m/d/yy 3 6" xfId="10514" xr:uid="{00000000-0005-0000-0000-000003290000}"/>
    <cellStyle name="m/d/yy 3 6 2" xfId="10515" xr:uid="{00000000-0005-0000-0000-000004290000}"/>
    <cellStyle name="m/d/yy 3 6 2 2" xfId="10516" xr:uid="{00000000-0005-0000-0000-000005290000}"/>
    <cellStyle name="m/d/yy 3 7" xfId="10517" xr:uid="{00000000-0005-0000-0000-000006290000}"/>
    <cellStyle name="m/d/yy 3 7 2" xfId="10518" xr:uid="{00000000-0005-0000-0000-000007290000}"/>
    <cellStyle name="m/d/yy 3 7 2 2" xfId="10519" xr:uid="{00000000-0005-0000-0000-000008290000}"/>
    <cellStyle name="m/d/yy 3 8" xfId="10520" xr:uid="{00000000-0005-0000-0000-000009290000}"/>
    <cellStyle name="m/d/yy 3 8 2" xfId="10521" xr:uid="{00000000-0005-0000-0000-00000A290000}"/>
    <cellStyle name="m/d/yy 3 8 2 2" xfId="10522" xr:uid="{00000000-0005-0000-0000-00000B290000}"/>
    <cellStyle name="m/d/yy 3 9" xfId="10523" xr:uid="{00000000-0005-0000-0000-00000C290000}"/>
    <cellStyle name="m/d/yy 3 9 2" xfId="10524" xr:uid="{00000000-0005-0000-0000-00000D290000}"/>
    <cellStyle name="m/d/yy 3 9 2 2" xfId="10525" xr:uid="{00000000-0005-0000-0000-00000E290000}"/>
    <cellStyle name="m/d/yy 4" xfId="10526" xr:uid="{00000000-0005-0000-0000-00000F290000}"/>
    <cellStyle name="m/d/yy 4 10" xfId="10527" xr:uid="{00000000-0005-0000-0000-000010290000}"/>
    <cellStyle name="m/d/yy 4 10 2" xfId="10528" xr:uid="{00000000-0005-0000-0000-000011290000}"/>
    <cellStyle name="m/d/yy 4 10 2 2" xfId="10529" xr:uid="{00000000-0005-0000-0000-000012290000}"/>
    <cellStyle name="m/d/yy 4 11" xfId="10530" xr:uid="{00000000-0005-0000-0000-000013290000}"/>
    <cellStyle name="m/d/yy 4 11 2" xfId="10531" xr:uid="{00000000-0005-0000-0000-000014290000}"/>
    <cellStyle name="m/d/yy 4 11 2 2" xfId="10532" xr:uid="{00000000-0005-0000-0000-000015290000}"/>
    <cellStyle name="m/d/yy 4 12" xfId="10533" xr:uid="{00000000-0005-0000-0000-000016290000}"/>
    <cellStyle name="m/d/yy 4 12 2" xfId="10534" xr:uid="{00000000-0005-0000-0000-000017290000}"/>
    <cellStyle name="m/d/yy 4 12 2 2" xfId="10535" xr:uid="{00000000-0005-0000-0000-000018290000}"/>
    <cellStyle name="m/d/yy 4 13" xfId="10536" xr:uid="{00000000-0005-0000-0000-000019290000}"/>
    <cellStyle name="m/d/yy 4 13 2" xfId="10537" xr:uid="{00000000-0005-0000-0000-00001A290000}"/>
    <cellStyle name="m/d/yy 4 13 2 2" xfId="10538" xr:uid="{00000000-0005-0000-0000-00001B290000}"/>
    <cellStyle name="m/d/yy 4 14" xfId="10539" xr:uid="{00000000-0005-0000-0000-00001C290000}"/>
    <cellStyle name="m/d/yy 4 14 2" xfId="10540" xr:uid="{00000000-0005-0000-0000-00001D290000}"/>
    <cellStyle name="m/d/yy 4 14 2 2" xfId="10541" xr:uid="{00000000-0005-0000-0000-00001E290000}"/>
    <cellStyle name="m/d/yy 4 2" xfId="10542" xr:uid="{00000000-0005-0000-0000-00001F290000}"/>
    <cellStyle name="m/d/yy 4 2 2" xfId="10543" xr:uid="{00000000-0005-0000-0000-000020290000}"/>
    <cellStyle name="m/d/yy 4 2 2 2" xfId="10544" xr:uid="{00000000-0005-0000-0000-000021290000}"/>
    <cellStyle name="m/d/yy 4 2 2 2 2" xfId="10545" xr:uid="{00000000-0005-0000-0000-000022290000}"/>
    <cellStyle name="m/d/yy 4 2 2 2 2 2" xfId="10546" xr:uid="{00000000-0005-0000-0000-000023290000}"/>
    <cellStyle name="m/d/yy 4 2 3" xfId="10547" xr:uid="{00000000-0005-0000-0000-000024290000}"/>
    <cellStyle name="m/d/yy 4 2 3 2" xfId="10548" xr:uid="{00000000-0005-0000-0000-000025290000}"/>
    <cellStyle name="m/d/yy 4 2 3 2 2" xfId="10549" xr:uid="{00000000-0005-0000-0000-000026290000}"/>
    <cellStyle name="m/d/yy 4 3" xfId="10550" xr:uid="{00000000-0005-0000-0000-000027290000}"/>
    <cellStyle name="m/d/yy 4 3 2" xfId="10551" xr:uid="{00000000-0005-0000-0000-000028290000}"/>
    <cellStyle name="m/d/yy 4 3 2 2" xfId="10552" xr:uid="{00000000-0005-0000-0000-000029290000}"/>
    <cellStyle name="m/d/yy 4 3 2 2 2" xfId="10553" xr:uid="{00000000-0005-0000-0000-00002A290000}"/>
    <cellStyle name="m/d/yy 4 3 2 2 2 2" xfId="10554" xr:uid="{00000000-0005-0000-0000-00002B290000}"/>
    <cellStyle name="m/d/yy 4 3 3" xfId="10555" xr:uid="{00000000-0005-0000-0000-00002C290000}"/>
    <cellStyle name="m/d/yy 4 3 3 2" xfId="10556" xr:uid="{00000000-0005-0000-0000-00002D290000}"/>
    <cellStyle name="m/d/yy 4 3 3 2 2" xfId="10557" xr:uid="{00000000-0005-0000-0000-00002E290000}"/>
    <cellStyle name="m/d/yy 4 4" xfId="10558" xr:uid="{00000000-0005-0000-0000-00002F290000}"/>
    <cellStyle name="m/d/yy 4 4 2" xfId="10559" xr:uid="{00000000-0005-0000-0000-000030290000}"/>
    <cellStyle name="m/d/yy 4 4 2 2" xfId="10560" xr:uid="{00000000-0005-0000-0000-000031290000}"/>
    <cellStyle name="m/d/yy 4 4 2 2 2" xfId="10561" xr:uid="{00000000-0005-0000-0000-000032290000}"/>
    <cellStyle name="m/d/yy 4 5" xfId="10562" xr:uid="{00000000-0005-0000-0000-000033290000}"/>
    <cellStyle name="m/d/yy 4 5 2" xfId="10563" xr:uid="{00000000-0005-0000-0000-000034290000}"/>
    <cellStyle name="m/d/yy 4 5 2 2" xfId="10564" xr:uid="{00000000-0005-0000-0000-000035290000}"/>
    <cellStyle name="m/d/yy 4 6" xfId="10565" xr:uid="{00000000-0005-0000-0000-000036290000}"/>
    <cellStyle name="m/d/yy 4 6 2" xfId="10566" xr:uid="{00000000-0005-0000-0000-000037290000}"/>
    <cellStyle name="m/d/yy 4 6 2 2" xfId="10567" xr:uid="{00000000-0005-0000-0000-000038290000}"/>
    <cellStyle name="m/d/yy 4 7" xfId="10568" xr:uid="{00000000-0005-0000-0000-000039290000}"/>
    <cellStyle name="m/d/yy 4 7 2" xfId="10569" xr:uid="{00000000-0005-0000-0000-00003A290000}"/>
    <cellStyle name="m/d/yy 4 7 2 2" xfId="10570" xr:uid="{00000000-0005-0000-0000-00003B290000}"/>
    <cellStyle name="m/d/yy 4 8" xfId="10571" xr:uid="{00000000-0005-0000-0000-00003C290000}"/>
    <cellStyle name="m/d/yy 4 8 2" xfId="10572" xr:uid="{00000000-0005-0000-0000-00003D290000}"/>
    <cellStyle name="m/d/yy 4 8 2 2" xfId="10573" xr:uid="{00000000-0005-0000-0000-00003E290000}"/>
    <cellStyle name="m/d/yy 4 9" xfId="10574" xr:uid="{00000000-0005-0000-0000-00003F290000}"/>
    <cellStyle name="m/d/yy 4 9 2" xfId="10575" xr:uid="{00000000-0005-0000-0000-000040290000}"/>
    <cellStyle name="m/d/yy 4 9 2 2" xfId="10576" xr:uid="{00000000-0005-0000-0000-000041290000}"/>
    <cellStyle name="m/d/yy 5" xfId="10577" xr:uid="{00000000-0005-0000-0000-000042290000}"/>
    <cellStyle name="m/d/yy 5 10" xfId="10578" xr:uid="{00000000-0005-0000-0000-000043290000}"/>
    <cellStyle name="m/d/yy 5 10 2" xfId="10579" xr:uid="{00000000-0005-0000-0000-000044290000}"/>
    <cellStyle name="m/d/yy 5 10 2 2" xfId="10580" xr:uid="{00000000-0005-0000-0000-000045290000}"/>
    <cellStyle name="m/d/yy 5 11" xfId="10581" xr:uid="{00000000-0005-0000-0000-000046290000}"/>
    <cellStyle name="m/d/yy 5 11 2" xfId="10582" xr:uid="{00000000-0005-0000-0000-000047290000}"/>
    <cellStyle name="m/d/yy 5 11 2 2" xfId="10583" xr:uid="{00000000-0005-0000-0000-000048290000}"/>
    <cellStyle name="m/d/yy 5 12" xfId="10584" xr:uid="{00000000-0005-0000-0000-000049290000}"/>
    <cellStyle name="m/d/yy 5 12 2" xfId="10585" xr:uid="{00000000-0005-0000-0000-00004A290000}"/>
    <cellStyle name="m/d/yy 5 12 2 2" xfId="10586" xr:uid="{00000000-0005-0000-0000-00004B290000}"/>
    <cellStyle name="m/d/yy 5 13" xfId="10587" xr:uid="{00000000-0005-0000-0000-00004C290000}"/>
    <cellStyle name="m/d/yy 5 13 2" xfId="10588" xr:uid="{00000000-0005-0000-0000-00004D290000}"/>
    <cellStyle name="m/d/yy 5 13 2 2" xfId="10589" xr:uid="{00000000-0005-0000-0000-00004E290000}"/>
    <cellStyle name="m/d/yy 5 14" xfId="10590" xr:uid="{00000000-0005-0000-0000-00004F290000}"/>
    <cellStyle name="m/d/yy 5 14 2" xfId="10591" xr:uid="{00000000-0005-0000-0000-000050290000}"/>
    <cellStyle name="m/d/yy 5 14 2 2" xfId="10592" xr:uid="{00000000-0005-0000-0000-000051290000}"/>
    <cellStyle name="m/d/yy 5 2" xfId="10593" xr:uid="{00000000-0005-0000-0000-000052290000}"/>
    <cellStyle name="m/d/yy 5 2 2" xfId="10594" xr:uid="{00000000-0005-0000-0000-000053290000}"/>
    <cellStyle name="m/d/yy 5 2 2 2" xfId="10595" xr:uid="{00000000-0005-0000-0000-000054290000}"/>
    <cellStyle name="m/d/yy 5 3" xfId="10596" xr:uid="{00000000-0005-0000-0000-000055290000}"/>
    <cellStyle name="m/d/yy 5 3 2" xfId="10597" xr:uid="{00000000-0005-0000-0000-000056290000}"/>
    <cellStyle name="m/d/yy 5 3 2 2" xfId="10598" xr:uid="{00000000-0005-0000-0000-000057290000}"/>
    <cellStyle name="m/d/yy 5 4" xfId="10599" xr:uid="{00000000-0005-0000-0000-000058290000}"/>
    <cellStyle name="m/d/yy 5 4 2" xfId="10600" xr:uid="{00000000-0005-0000-0000-000059290000}"/>
    <cellStyle name="m/d/yy 5 4 2 2" xfId="10601" xr:uid="{00000000-0005-0000-0000-00005A290000}"/>
    <cellStyle name="m/d/yy 5 5" xfId="10602" xr:uid="{00000000-0005-0000-0000-00005B290000}"/>
    <cellStyle name="m/d/yy 5 5 2" xfId="10603" xr:uid="{00000000-0005-0000-0000-00005C290000}"/>
    <cellStyle name="m/d/yy 5 5 2 2" xfId="10604" xr:uid="{00000000-0005-0000-0000-00005D290000}"/>
    <cellStyle name="m/d/yy 5 6" xfId="10605" xr:uid="{00000000-0005-0000-0000-00005E290000}"/>
    <cellStyle name="m/d/yy 5 6 2" xfId="10606" xr:uid="{00000000-0005-0000-0000-00005F290000}"/>
    <cellStyle name="m/d/yy 5 6 2 2" xfId="10607" xr:uid="{00000000-0005-0000-0000-000060290000}"/>
    <cellStyle name="m/d/yy 5 7" xfId="10608" xr:uid="{00000000-0005-0000-0000-000061290000}"/>
    <cellStyle name="m/d/yy 5 7 2" xfId="10609" xr:uid="{00000000-0005-0000-0000-000062290000}"/>
    <cellStyle name="m/d/yy 5 7 2 2" xfId="10610" xr:uid="{00000000-0005-0000-0000-000063290000}"/>
    <cellStyle name="m/d/yy 5 8" xfId="10611" xr:uid="{00000000-0005-0000-0000-000064290000}"/>
    <cellStyle name="m/d/yy 5 8 2" xfId="10612" xr:uid="{00000000-0005-0000-0000-000065290000}"/>
    <cellStyle name="m/d/yy 5 8 2 2" xfId="10613" xr:uid="{00000000-0005-0000-0000-000066290000}"/>
    <cellStyle name="m/d/yy 5 9" xfId="10614" xr:uid="{00000000-0005-0000-0000-000067290000}"/>
    <cellStyle name="m/d/yy 5 9 2" xfId="10615" xr:uid="{00000000-0005-0000-0000-000068290000}"/>
    <cellStyle name="m/d/yy 5 9 2 2" xfId="10616" xr:uid="{00000000-0005-0000-0000-000069290000}"/>
    <cellStyle name="m/d/yy 6" xfId="10617" xr:uid="{00000000-0005-0000-0000-00006A290000}"/>
    <cellStyle name="m/d/yy 6 2" xfId="10618" xr:uid="{00000000-0005-0000-0000-00006B290000}"/>
    <cellStyle name="m/d/yy 6 2 2" xfId="10619" xr:uid="{00000000-0005-0000-0000-00006C290000}"/>
    <cellStyle name="m/d/yy 7" xfId="10620" xr:uid="{00000000-0005-0000-0000-00006D290000}"/>
    <cellStyle name="m/d/yy 7 2" xfId="10621" xr:uid="{00000000-0005-0000-0000-00006E290000}"/>
    <cellStyle name="m/d/yy 7 2 2" xfId="10622" xr:uid="{00000000-0005-0000-0000-00006F290000}"/>
    <cellStyle name="m/d/yy 8" xfId="10623" xr:uid="{00000000-0005-0000-0000-000070290000}"/>
    <cellStyle name="m/d/yy 8 2" xfId="10624" xr:uid="{00000000-0005-0000-0000-000071290000}"/>
    <cellStyle name="m/d/yy 8 2 2" xfId="10625" xr:uid="{00000000-0005-0000-0000-000072290000}"/>
    <cellStyle name="m/d/yy 9" xfId="10626" xr:uid="{00000000-0005-0000-0000-000073290000}"/>
    <cellStyle name="m/d/yy 9 2" xfId="10627" xr:uid="{00000000-0005-0000-0000-000074290000}"/>
    <cellStyle name="m/d/yy 9 2 2" xfId="10628" xr:uid="{00000000-0005-0000-0000-000075290000}"/>
    <cellStyle name="m_AVP" xfId="10629" xr:uid="{00000000-0005-0000-0000-000076290000}"/>
    <cellStyle name="m_AVP_HRT O&amp;G" xfId="10630" xr:uid="{00000000-0005-0000-0000-000077290000}"/>
    <cellStyle name="m_Disc Analysis" xfId="10631" xr:uid="{00000000-0005-0000-0000-000078290000}"/>
    <cellStyle name="m_Disc Analysis_HRT O&amp;G" xfId="10632" xr:uid="{00000000-0005-0000-0000-000079290000}"/>
    <cellStyle name="m_HRT O&amp;G" xfId="10633" xr:uid="{00000000-0005-0000-0000-00007A290000}"/>
    <cellStyle name="m_LP Chart" xfId="10634" xr:uid="{00000000-0005-0000-0000-00007B290000}"/>
    <cellStyle name="m_LP Chart_HRT O&amp;G" xfId="10635" xr:uid="{00000000-0005-0000-0000-00007C290000}"/>
    <cellStyle name="m_Merg Cons" xfId="10636" xr:uid="{00000000-0005-0000-0000-00007D290000}"/>
    <cellStyle name="m_Merg Cons_HRT O&amp;G" xfId="10637" xr:uid="{00000000-0005-0000-0000-00007E290000}"/>
    <cellStyle name="m_Proj10" xfId="10638" xr:uid="{00000000-0005-0000-0000-00007F290000}"/>
    <cellStyle name="m_Proj10_AVP" xfId="10639" xr:uid="{00000000-0005-0000-0000-000080290000}"/>
    <cellStyle name="m_Proj10_AVP_HRT O&amp;G" xfId="10640" xr:uid="{00000000-0005-0000-0000-000081290000}"/>
    <cellStyle name="m_Proj10_Disc Analysis" xfId="10641" xr:uid="{00000000-0005-0000-0000-000082290000}"/>
    <cellStyle name="m_Proj10_Disc Analysis_HRT O&amp;G" xfId="10642" xr:uid="{00000000-0005-0000-0000-000083290000}"/>
    <cellStyle name="m_Proj10_HRT O&amp;G" xfId="10643" xr:uid="{00000000-0005-0000-0000-000084290000}"/>
    <cellStyle name="m_Proj10_LP Chart" xfId="10644" xr:uid="{00000000-0005-0000-0000-000085290000}"/>
    <cellStyle name="m_Proj10_LP Chart_HRT O&amp;G" xfId="10645" xr:uid="{00000000-0005-0000-0000-000086290000}"/>
    <cellStyle name="m_Proj10_Merg Cons" xfId="10646" xr:uid="{00000000-0005-0000-0000-000087290000}"/>
    <cellStyle name="m_Proj10_Merg Cons_HRT O&amp;G" xfId="10647" xr:uid="{00000000-0005-0000-0000-000088290000}"/>
    <cellStyle name="m_Proj10_Sensitivity" xfId="10648" xr:uid="{00000000-0005-0000-0000-000089290000}"/>
    <cellStyle name="m_Proj10_Sensitivity_HRT O&amp;G" xfId="10649" xr:uid="{00000000-0005-0000-0000-00008A290000}"/>
    <cellStyle name="m_Proj10_show-hold" xfId="10650" xr:uid="{00000000-0005-0000-0000-00008B290000}"/>
    <cellStyle name="m_Proj10_show-hold_HRT O&amp;G" xfId="10651" xr:uid="{00000000-0005-0000-0000-00008C290000}"/>
    <cellStyle name="m_Proj10_WACC-CableCar" xfId="10652" xr:uid="{00000000-0005-0000-0000-00008D290000}"/>
    <cellStyle name="m_Proj10_WACC-CableCar_HRT O&amp;G" xfId="10653" xr:uid="{00000000-0005-0000-0000-00008E290000}"/>
    <cellStyle name="m_Proj10_WACC-RAD (2)" xfId="10654" xr:uid="{00000000-0005-0000-0000-00008F290000}"/>
    <cellStyle name="m_Proj10_WACC-RAD (2)_HRT O&amp;G" xfId="10655" xr:uid="{00000000-0005-0000-0000-000090290000}"/>
    <cellStyle name="m_Sensitivity" xfId="10656" xr:uid="{00000000-0005-0000-0000-000091290000}"/>
    <cellStyle name="m_Sensitivity_HRT O&amp;G" xfId="10657" xr:uid="{00000000-0005-0000-0000-000092290000}"/>
    <cellStyle name="m_show-hold" xfId="10658" xr:uid="{00000000-0005-0000-0000-000093290000}"/>
    <cellStyle name="m_show-hold_HRT O&amp;G" xfId="10659" xr:uid="{00000000-0005-0000-0000-000094290000}"/>
    <cellStyle name="m_WACC-CableCar" xfId="10660" xr:uid="{00000000-0005-0000-0000-000095290000}"/>
    <cellStyle name="m_WACC-CableCar_HRT O&amp;G" xfId="10661" xr:uid="{00000000-0005-0000-0000-000096290000}"/>
    <cellStyle name="m_WACC-RAD (2)" xfId="10662" xr:uid="{00000000-0005-0000-0000-000097290000}"/>
    <cellStyle name="m_WACC-RAD (2)_HRT O&amp;G" xfId="10663" xr:uid="{00000000-0005-0000-0000-000098290000}"/>
    <cellStyle name="MacroCode" xfId="10664" xr:uid="{00000000-0005-0000-0000-000099290000}"/>
    <cellStyle name="MacroCode 2" xfId="10665" xr:uid="{00000000-0005-0000-0000-00009A290000}"/>
    <cellStyle name="MacroCode 2 2" xfId="10666" xr:uid="{00000000-0005-0000-0000-00009B290000}"/>
    <cellStyle name="MacroCode 2 2 2" xfId="10667" xr:uid="{00000000-0005-0000-0000-00009C290000}"/>
    <cellStyle name="MacroCode 2 2 2 2" xfId="10668" xr:uid="{00000000-0005-0000-0000-00009D290000}"/>
    <cellStyle name="MacroCode 2 2 3" xfId="10669" xr:uid="{00000000-0005-0000-0000-00009E290000}"/>
    <cellStyle name="MacroCode 2 3" xfId="10670" xr:uid="{00000000-0005-0000-0000-00009F290000}"/>
    <cellStyle name="MacroCode 2 3 2" xfId="10671" xr:uid="{00000000-0005-0000-0000-0000A0290000}"/>
    <cellStyle name="MacroCode 2 4" xfId="10672" xr:uid="{00000000-0005-0000-0000-0000A1290000}"/>
    <cellStyle name="MacroCode 3" xfId="10673" xr:uid="{00000000-0005-0000-0000-0000A2290000}"/>
    <cellStyle name="MacroCode 3 2" xfId="10674" xr:uid="{00000000-0005-0000-0000-0000A3290000}"/>
    <cellStyle name="MacroCode 3 2 2" xfId="10675" xr:uid="{00000000-0005-0000-0000-0000A4290000}"/>
    <cellStyle name="MacroCode 3 3" xfId="10676" xr:uid="{00000000-0005-0000-0000-0000A5290000}"/>
    <cellStyle name="MacroCode 4" xfId="10677" xr:uid="{00000000-0005-0000-0000-0000A6290000}"/>
    <cellStyle name="MacroCode 4 2" xfId="10678" xr:uid="{00000000-0005-0000-0000-0000A7290000}"/>
    <cellStyle name="MacroCode 5" xfId="10679" xr:uid="{00000000-0005-0000-0000-0000A8290000}"/>
    <cellStyle name="MF" xfId="10680" xr:uid="{00000000-0005-0000-0000-0000A9290000}"/>
    <cellStyle name="Migliaia (0)" xfId="10681" xr:uid="{00000000-0005-0000-0000-0000AA290000}"/>
    <cellStyle name="Migliaia_1320 NX" xfId="10682" xr:uid="{00000000-0005-0000-0000-0000AB290000}"/>
    <cellStyle name="Mike" xfId="10683" xr:uid="{00000000-0005-0000-0000-0000AC290000}"/>
    <cellStyle name="mike%" xfId="10684" xr:uid="{00000000-0005-0000-0000-0000AD290000}"/>
    <cellStyle name="mike_Análise LBO para Previ_v5" xfId="10685" xr:uid="{00000000-0005-0000-0000-0000AE290000}"/>
    <cellStyle name="Millares [0]_$aSOLES" xfId="10686" xr:uid="{00000000-0005-0000-0000-0000AF290000}"/>
    <cellStyle name="Millares_$aSOLES" xfId="10687" xr:uid="{00000000-0005-0000-0000-0000B0290000}"/>
    <cellStyle name="Milliers [0]_February 00" xfId="10688" xr:uid="{00000000-0005-0000-0000-0000B1290000}"/>
    <cellStyle name="Milliers_000630 FR IP Core BP v1-3" xfId="10689" xr:uid="{00000000-0005-0000-0000-0000B2290000}"/>
    <cellStyle name="Millions" xfId="10690" xr:uid="{00000000-0005-0000-0000-0000B3290000}"/>
    <cellStyle name="MLComma0" xfId="10691" xr:uid="{00000000-0005-0000-0000-0000B4290000}"/>
    <cellStyle name="MLDollar0" xfId="10692" xr:uid="{00000000-0005-0000-0000-0000B5290000}"/>
    <cellStyle name="MLEuro0" xfId="10693" xr:uid="{00000000-0005-0000-0000-0000B6290000}"/>
    <cellStyle name="MLMultiple0" xfId="10694" xr:uid="{00000000-0005-0000-0000-0000B7290000}"/>
    <cellStyle name="MLPercent0" xfId="10695" xr:uid="{00000000-0005-0000-0000-0000B8290000}"/>
    <cellStyle name="MLPound0" xfId="10696" xr:uid="{00000000-0005-0000-0000-0000B9290000}"/>
    <cellStyle name="MLYen0" xfId="10697" xr:uid="{00000000-0005-0000-0000-0000BA290000}"/>
    <cellStyle name="mm" xfId="10698" xr:uid="{00000000-0005-0000-0000-0000BB290000}"/>
    <cellStyle name="mm 2" xfId="10699" xr:uid="{00000000-0005-0000-0000-0000BC290000}"/>
    <cellStyle name="mm 2 2" xfId="10700" xr:uid="{00000000-0005-0000-0000-0000BD290000}"/>
    <cellStyle name="mm 2 2 2" xfId="10701" xr:uid="{00000000-0005-0000-0000-0000BE290000}"/>
    <cellStyle name="mm 2 3" xfId="10702" xr:uid="{00000000-0005-0000-0000-0000BF290000}"/>
    <cellStyle name="mm 3" xfId="10703" xr:uid="{00000000-0005-0000-0000-0000C0290000}"/>
    <cellStyle name="mm 3 2" xfId="10704" xr:uid="{00000000-0005-0000-0000-0000C1290000}"/>
    <cellStyle name="mm 4" xfId="10705" xr:uid="{00000000-0005-0000-0000-0000C2290000}"/>
    <cellStyle name="Moeda 2" xfId="10706" xr:uid="{00000000-0005-0000-0000-0000C3290000}"/>
    <cellStyle name="Moeda 2 2" xfId="10707" xr:uid="{00000000-0005-0000-0000-0000C4290000}"/>
    <cellStyle name="Moeda 2 2 2" xfId="10708" xr:uid="{00000000-0005-0000-0000-0000C5290000}"/>
    <cellStyle name="Moeda 2 2_HRT O&amp;G" xfId="10709" xr:uid="{00000000-0005-0000-0000-0000C6290000}"/>
    <cellStyle name="Moeda 2 3" xfId="10710" xr:uid="{00000000-0005-0000-0000-0000C7290000}"/>
    <cellStyle name="Moeda 2 3 2" xfId="10711" xr:uid="{00000000-0005-0000-0000-0000C8290000}"/>
    <cellStyle name="Moeda 2 3_HRT O&amp;G" xfId="10712" xr:uid="{00000000-0005-0000-0000-0000C9290000}"/>
    <cellStyle name="Moeda 2 4" xfId="10713" xr:uid="{00000000-0005-0000-0000-0000CA290000}"/>
    <cellStyle name="Moeda 2 4 2" xfId="10714" xr:uid="{00000000-0005-0000-0000-0000CB290000}"/>
    <cellStyle name="Moeda 2 4_HRT O&amp;G" xfId="10715" xr:uid="{00000000-0005-0000-0000-0000CC290000}"/>
    <cellStyle name="Moeda 2 5" xfId="10716" xr:uid="{00000000-0005-0000-0000-0000CD290000}"/>
    <cellStyle name="Moeda 2 5 2" xfId="10717" xr:uid="{00000000-0005-0000-0000-0000CE290000}"/>
    <cellStyle name="Moeda 2 5_HRT O&amp;G" xfId="10718" xr:uid="{00000000-0005-0000-0000-0000CF290000}"/>
    <cellStyle name="Moeda 2 6" xfId="10719" xr:uid="{00000000-0005-0000-0000-0000D0290000}"/>
    <cellStyle name="Moeda 2 6 2" xfId="10720" xr:uid="{00000000-0005-0000-0000-0000D1290000}"/>
    <cellStyle name="Moeda 2 6_HRT O&amp;G" xfId="10721" xr:uid="{00000000-0005-0000-0000-0000D2290000}"/>
    <cellStyle name="Moeda 2 7" xfId="10722" xr:uid="{00000000-0005-0000-0000-0000D3290000}"/>
    <cellStyle name="Moeda 2 7 2" xfId="10723" xr:uid="{00000000-0005-0000-0000-0000D4290000}"/>
    <cellStyle name="Moeda 2 7_HRT O&amp;G" xfId="10724" xr:uid="{00000000-0005-0000-0000-0000D5290000}"/>
    <cellStyle name="Moeda 2 8" xfId="10725" xr:uid="{00000000-0005-0000-0000-0000D6290000}"/>
    <cellStyle name="Moeda 2 8 2" xfId="10726" xr:uid="{00000000-0005-0000-0000-0000D7290000}"/>
    <cellStyle name="Moeda 2 8_HRT O&amp;G" xfId="10727" xr:uid="{00000000-0005-0000-0000-0000D8290000}"/>
    <cellStyle name="Moeda 2 9" xfId="10728" xr:uid="{00000000-0005-0000-0000-0000D9290000}"/>
    <cellStyle name="Moeda 2 9 2" xfId="10729" xr:uid="{00000000-0005-0000-0000-0000DA290000}"/>
    <cellStyle name="Moeda 2 9_HRT O&amp;G" xfId="10730" xr:uid="{00000000-0005-0000-0000-0000DB290000}"/>
    <cellStyle name="Moeda 2_HRT O&amp;G" xfId="10731" xr:uid="{00000000-0005-0000-0000-0000DC290000}"/>
    <cellStyle name="Moeda 3" xfId="10732" xr:uid="{00000000-0005-0000-0000-0000DD290000}"/>
    <cellStyle name="Moeda 4" xfId="10733" xr:uid="{00000000-0005-0000-0000-0000DE290000}"/>
    <cellStyle name="Moeda 5" xfId="10734" xr:uid="{00000000-0005-0000-0000-0000DF290000}"/>
    <cellStyle name="Moeda 6" xfId="10735" xr:uid="{00000000-0005-0000-0000-0000E0290000}"/>
    <cellStyle name="Moeda 7" xfId="10736" xr:uid="{00000000-0005-0000-0000-0000E1290000}"/>
    <cellStyle name="Moeda 8" xfId="10737" xr:uid="{00000000-0005-0000-0000-0000E2290000}"/>
    <cellStyle name="Moeda 9" xfId="10738" xr:uid="{00000000-0005-0000-0000-0000E3290000}"/>
    <cellStyle name="Moneda [0]_$aSOLES" xfId="10739" xr:uid="{00000000-0005-0000-0000-0000E4290000}"/>
    <cellStyle name="Moneda_$aSOLES" xfId="10740" xr:uid="{00000000-0005-0000-0000-0000E5290000}"/>
    <cellStyle name="Monétaire [0]_February 00" xfId="10741" xr:uid="{00000000-0005-0000-0000-0000E6290000}"/>
    <cellStyle name="Monetaire [0]_laroux" xfId="10742" xr:uid="{00000000-0005-0000-0000-0000E7290000}"/>
    <cellStyle name="Monétaire [0]_laroux" xfId="10743" xr:uid="{00000000-0005-0000-0000-0000E8290000}"/>
    <cellStyle name="Monetaire [0]_laroux_1" xfId="10744" xr:uid="{00000000-0005-0000-0000-0000E9290000}"/>
    <cellStyle name="Monétaire [0]_laroux_1" xfId="10745" xr:uid="{00000000-0005-0000-0000-0000EA290000}"/>
    <cellStyle name="Monetaire [0]_laroux_1_HRT O&amp;G" xfId="10746" xr:uid="{00000000-0005-0000-0000-0000EB290000}"/>
    <cellStyle name="Monétaire [0]_laroux_1_HRT O&amp;G" xfId="10747" xr:uid="{00000000-0005-0000-0000-0000EC290000}"/>
    <cellStyle name="Monetaire [0]_laroux_2" xfId="10748" xr:uid="{00000000-0005-0000-0000-0000ED290000}"/>
    <cellStyle name="Monétaire [0]_laroux_2" xfId="10749" xr:uid="{00000000-0005-0000-0000-0000EE290000}"/>
    <cellStyle name="Monetaire [0]_laroux_2_HRT O&amp;G" xfId="10750" xr:uid="{00000000-0005-0000-0000-0000EF290000}"/>
    <cellStyle name="Monétaire [0]_laroux_2_HRT O&amp;G" xfId="10751" xr:uid="{00000000-0005-0000-0000-0000F0290000}"/>
    <cellStyle name="Monetaire [0]_laroux_HRT O&amp;G" xfId="10752" xr:uid="{00000000-0005-0000-0000-0000F1290000}"/>
    <cellStyle name="Monétaire [0]_laroux_HRT O&amp;G" xfId="10753" xr:uid="{00000000-0005-0000-0000-0000F2290000}"/>
    <cellStyle name="Monétaire_February 00" xfId="10754" xr:uid="{00000000-0005-0000-0000-0000F3290000}"/>
    <cellStyle name="Monetaire_laroux" xfId="10755" xr:uid="{00000000-0005-0000-0000-0000F4290000}"/>
    <cellStyle name="Monétaire_laroux" xfId="10756" xr:uid="{00000000-0005-0000-0000-0000F5290000}"/>
    <cellStyle name="Monetaire_laroux_1" xfId="10757" xr:uid="{00000000-0005-0000-0000-0000F6290000}"/>
    <cellStyle name="Monétaire_laroux_1" xfId="10758" xr:uid="{00000000-0005-0000-0000-0000F7290000}"/>
    <cellStyle name="Monetaire_laroux_1_HRT O&amp;G" xfId="10759" xr:uid="{00000000-0005-0000-0000-0000F8290000}"/>
    <cellStyle name="Monétaire_laroux_1_HRT O&amp;G" xfId="10760" xr:uid="{00000000-0005-0000-0000-0000F9290000}"/>
    <cellStyle name="Monetaire_laroux_2" xfId="10761" xr:uid="{00000000-0005-0000-0000-0000FA290000}"/>
    <cellStyle name="Monétaire_laroux_2" xfId="10762" xr:uid="{00000000-0005-0000-0000-0000FB290000}"/>
    <cellStyle name="Monetaire_laroux_2_HRT O&amp;G" xfId="10763" xr:uid="{00000000-0005-0000-0000-0000FC290000}"/>
    <cellStyle name="Monétaire_laroux_2_HRT O&amp;G" xfId="10764" xr:uid="{00000000-0005-0000-0000-0000FD290000}"/>
    <cellStyle name="Monetaire_laroux_HRT O&amp;G" xfId="10765" xr:uid="{00000000-0005-0000-0000-0000FE290000}"/>
    <cellStyle name="Monétaire_laroux_HRT O&amp;G" xfId="10766" xr:uid="{00000000-0005-0000-0000-0000FF290000}"/>
    <cellStyle name="Monétaire0" xfId="10767" xr:uid="{00000000-0005-0000-0000-0000002A0000}"/>
    <cellStyle name="Monetario" xfId="10768" xr:uid="{00000000-0005-0000-0000-0000012A0000}"/>
    <cellStyle name="Monetario0" xfId="10769" xr:uid="{00000000-0005-0000-0000-0000022A0000}"/>
    <cellStyle name="MonthDate" xfId="10770" xr:uid="{00000000-0005-0000-0000-0000032A0000}"/>
    <cellStyle name="Morgan" xfId="10771" xr:uid="{00000000-0005-0000-0000-0000042A0000}"/>
    <cellStyle name="Morgan assump" xfId="10772" xr:uid="{00000000-0005-0000-0000-0000052A0000}"/>
    <cellStyle name="Morgan assump 10" xfId="10773" xr:uid="{00000000-0005-0000-0000-0000062A0000}"/>
    <cellStyle name="Morgan assump 10 2" xfId="10774" xr:uid="{00000000-0005-0000-0000-0000072A0000}"/>
    <cellStyle name="Morgan assump 10 2 2" xfId="10775" xr:uid="{00000000-0005-0000-0000-0000082A0000}"/>
    <cellStyle name="Morgan assump 11" xfId="10776" xr:uid="{00000000-0005-0000-0000-0000092A0000}"/>
    <cellStyle name="Morgan assump 11 2" xfId="10777" xr:uid="{00000000-0005-0000-0000-00000A2A0000}"/>
    <cellStyle name="Morgan assump 11 2 2" xfId="10778" xr:uid="{00000000-0005-0000-0000-00000B2A0000}"/>
    <cellStyle name="Morgan assump 2" xfId="10779" xr:uid="{00000000-0005-0000-0000-00000C2A0000}"/>
    <cellStyle name="Morgan assump 2 2" xfId="10780" xr:uid="{00000000-0005-0000-0000-00000D2A0000}"/>
    <cellStyle name="Morgan assump 2 2 10" xfId="10781" xr:uid="{00000000-0005-0000-0000-00000E2A0000}"/>
    <cellStyle name="Morgan assump 2 2 10 2" xfId="10782" xr:uid="{00000000-0005-0000-0000-00000F2A0000}"/>
    <cellStyle name="Morgan assump 2 2 10 2 2" xfId="10783" xr:uid="{00000000-0005-0000-0000-0000102A0000}"/>
    <cellStyle name="Morgan assump 2 2 11" xfId="10784" xr:uid="{00000000-0005-0000-0000-0000112A0000}"/>
    <cellStyle name="Morgan assump 2 2 11 2" xfId="10785" xr:uid="{00000000-0005-0000-0000-0000122A0000}"/>
    <cellStyle name="Morgan assump 2 2 11 2 2" xfId="10786" xr:uid="{00000000-0005-0000-0000-0000132A0000}"/>
    <cellStyle name="Morgan assump 2 2 12" xfId="10787" xr:uid="{00000000-0005-0000-0000-0000142A0000}"/>
    <cellStyle name="Morgan assump 2 2 12 2" xfId="10788" xr:uid="{00000000-0005-0000-0000-0000152A0000}"/>
    <cellStyle name="Morgan assump 2 2 12 2 2" xfId="10789" xr:uid="{00000000-0005-0000-0000-0000162A0000}"/>
    <cellStyle name="Morgan assump 2 2 13" xfId="10790" xr:uid="{00000000-0005-0000-0000-0000172A0000}"/>
    <cellStyle name="Morgan assump 2 2 13 2" xfId="10791" xr:uid="{00000000-0005-0000-0000-0000182A0000}"/>
    <cellStyle name="Morgan assump 2 2 13 2 2" xfId="10792" xr:uid="{00000000-0005-0000-0000-0000192A0000}"/>
    <cellStyle name="Morgan assump 2 2 14" xfId="10793" xr:uid="{00000000-0005-0000-0000-00001A2A0000}"/>
    <cellStyle name="Morgan assump 2 2 14 2" xfId="10794" xr:uid="{00000000-0005-0000-0000-00001B2A0000}"/>
    <cellStyle name="Morgan assump 2 2 14 2 2" xfId="10795" xr:uid="{00000000-0005-0000-0000-00001C2A0000}"/>
    <cellStyle name="Morgan assump 2 2 15" xfId="10796" xr:uid="{00000000-0005-0000-0000-00001D2A0000}"/>
    <cellStyle name="Morgan assump 2 2 15 2" xfId="10797" xr:uid="{00000000-0005-0000-0000-00001E2A0000}"/>
    <cellStyle name="Morgan assump 2 2 2" xfId="10798" xr:uid="{00000000-0005-0000-0000-00001F2A0000}"/>
    <cellStyle name="Morgan assump 2 2 2 2" xfId="10799" xr:uid="{00000000-0005-0000-0000-0000202A0000}"/>
    <cellStyle name="Morgan assump 2 2 2 2 2" xfId="10800" xr:uid="{00000000-0005-0000-0000-0000212A0000}"/>
    <cellStyle name="Morgan assump 2 2 3" xfId="10801" xr:uid="{00000000-0005-0000-0000-0000222A0000}"/>
    <cellStyle name="Morgan assump 2 2 3 2" xfId="10802" xr:uid="{00000000-0005-0000-0000-0000232A0000}"/>
    <cellStyle name="Morgan assump 2 2 3 2 2" xfId="10803" xr:uid="{00000000-0005-0000-0000-0000242A0000}"/>
    <cellStyle name="Morgan assump 2 2 4" xfId="10804" xr:uid="{00000000-0005-0000-0000-0000252A0000}"/>
    <cellStyle name="Morgan assump 2 2 4 2" xfId="10805" xr:uid="{00000000-0005-0000-0000-0000262A0000}"/>
    <cellStyle name="Morgan assump 2 2 4 2 2" xfId="10806" xr:uid="{00000000-0005-0000-0000-0000272A0000}"/>
    <cellStyle name="Morgan assump 2 2 5" xfId="10807" xr:uid="{00000000-0005-0000-0000-0000282A0000}"/>
    <cellStyle name="Morgan assump 2 2 5 2" xfId="10808" xr:uid="{00000000-0005-0000-0000-0000292A0000}"/>
    <cellStyle name="Morgan assump 2 2 5 2 2" xfId="10809" xr:uid="{00000000-0005-0000-0000-00002A2A0000}"/>
    <cellStyle name="Morgan assump 2 2 6" xfId="10810" xr:uid="{00000000-0005-0000-0000-00002B2A0000}"/>
    <cellStyle name="Morgan assump 2 2 6 2" xfId="10811" xr:uid="{00000000-0005-0000-0000-00002C2A0000}"/>
    <cellStyle name="Morgan assump 2 2 6 2 2" xfId="10812" xr:uid="{00000000-0005-0000-0000-00002D2A0000}"/>
    <cellStyle name="Morgan assump 2 2 7" xfId="10813" xr:uid="{00000000-0005-0000-0000-00002E2A0000}"/>
    <cellStyle name="Morgan assump 2 2 7 2" xfId="10814" xr:uid="{00000000-0005-0000-0000-00002F2A0000}"/>
    <cellStyle name="Morgan assump 2 2 7 2 2" xfId="10815" xr:uid="{00000000-0005-0000-0000-0000302A0000}"/>
    <cellStyle name="Morgan assump 2 2 8" xfId="10816" xr:uid="{00000000-0005-0000-0000-0000312A0000}"/>
    <cellStyle name="Morgan assump 2 2 8 2" xfId="10817" xr:uid="{00000000-0005-0000-0000-0000322A0000}"/>
    <cellStyle name="Morgan assump 2 2 8 2 2" xfId="10818" xr:uid="{00000000-0005-0000-0000-0000332A0000}"/>
    <cellStyle name="Morgan assump 2 2 9" xfId="10819" xr:uid="{00000000-0005-0000-0000-0000342A0000}"/>
    <cellStyle name="Morgan assump 2 2 9 2" xfId="10820" xr:uid="{00000000-0005-0000-0000-0000352A0000}"/>
    <cellStyle name="Morgan assump 2 2 9 2 2" xfId="10821" xr:uid="{00000000-0005-0000-0000-0000362A0000}"/>
    <cellStyle name="Morgan assump 2 3" xfId="10822" xr:uid="{00000000-0005-0000-0000-0000372A0000}"/>
    <cellStyle name="Morgan assump 2 3 2" xfId="10823" xr:uid="{00000000-0005-0000-0000-0000382A0000}"/>
    <cellStyle name="Morgan assump 2 3 2 2" xfId="10824" xr:uid="{00000000-0005-0000-0000-0000392A0000}"/>
    <cellStyle name="Morgan assump 2 4" xfId="10825" xr:uid="{00000000-0005-0000-0000-00003A2A0000}"/>
    <cellStyle name="Morgan assump 2 4 2" xfId="10826" xr:uid="{00000000-0005-0000-0000-00003B2A0000}"/>
    <cellStyle name="Morgan assump 2 4 2 2" xfId="10827" xr:uid="{00000000-0005-0000-0000-00003C2A0000}"/>
    <cellStyle name="Morgan assump 3" xfId="10828" xr:uid="{00000000-0005-0000-0000-00003D2A0000}"/>
    <cellStyle name="Morgan assump 3 10" xfId="10829" xr:uid="{00000000-0005-0000-0000-00003E2A0000}"/>
    <cellStyle name="Morgan assump 3 10 2" xfId="10830" xr:uid="{00000000-0005-0000-0000-00003F2A0000}"/>
    <cellStyle name="Morgan assump 3 10 2 2" xfId="10831" xr:uid="{00000000-0005-0000-0000-0000402A0000}"/>
    <cellStyle name="Morgan assump 3 2" xfId="10832" xr:uid="{00000000-0005-0000-0000-0000412A0000}"/>
    <cellStyle name="Morgan assump 3 2 2" xfId="10833" xr:uid="{00000000-0005-0000-0000-0000422A0000}"/>
    <cellStyle name="Morgan assump 3 2 2 2" xfId="10834" xr:uid="{00000000-0005-0000-0000-0000432A0000}"/>
    <cellStyle name="Morgan assump 3 2 2 2 2" xfId="10835" xr:uid="{00000000-0005-0000-0000-0000442A0000}"/>
    <cellStyle name="Morgan assump 3 2 2 2 2 2" xfId="10836" xr:uid="{00000000-0005-0000-0000-0000452A0000}"/>
    <cellStyle name="Morgan assump 3 2 3" xfId="10837" xr:uid="{00000000-0005-0000-0000-0000462A0000}"/>
    <cellStyle name="Morgan assump 3 2 3 2" xfId="10838" xr:uid="{00000000-0005-0000-0000-0000472A0000}"/>
    <cellStyle name="Morgan assump 3 2 3 2 2" xfId="10839" xr:uid="{00000000-0005-0000-0000-0000482A0000}"/>
    <cellStyle name="Morgan assump 3 3" xfId="10840" xr:uid="{00000000-0005-0000-0000-0000492A0000}"/>
    <cellStyle name="Morgan assump 3 3 2" xfId="10841" xr:uid="{00000000-0005-0000-0000-00004A2A0000}"/>
    <cellStyle name="Morgan assump 3 3 2 2" xfId="10842" xr:uid="{00000000-0005-0000-0000-00004B2A0000}"/>
    <cellStyle name="Morgan assump 3 3 2 2 2" xfId="10843" xr:uid="{00000000-0005-0000-0000-00004C2A0000}"/>
    <cellStyle name="Morgan assump 3 3 2 2 2 2" xfId="10844" xr:uid="{00000000-0005-0000-0000-00004D2A0000}"/>
    <cellStyle name="Morgan assump 3 3 3" xfId="10845" xr:uid="{00000000-0005-0000-0000-00004E2A0000}"/>
    <cellStyle name="Morgan assump 3 3 3 2" xfId="10846" xr:uid="{00000000-0005-0000-0000-00004F2A0000}"/>
    <cellStyle name="Morgan assump 3 3 3 2 2" xfId="10847" xr:uid="{00000000-0005-0000-0000-0000502A0000}"/>
    <cellStyle name="Morgan assump 3 4" xfId="10848" xr:uid="{00000000-0005-0000-0000-0000512A0000}"/>
    <cellStyle name="Morgan assump 3 4 2" xfId="10849" xr:uid="{00000000-0005-0000-0000-0000522A0000}"/>
    <cellStyle name="Morgan assump 3 4 2 2" xfId="10850" xr:uid="{00000000-0005-0000-0000-0000532A0000}"/>
    <cellStyle name="Morgan assump 3 4 2 2 2" xfId="10851" xr:uid="{00000000-0005-0000-0000-0000542A0000}"/>
    <cellStyle name="Morgan assump 3 5" xfId="10852" xr:uid="{00000000-0005-0000-0000-0000552A0000}"/>
    <cellStyle name="Morgan assump 3 5 2" xfId="10853" xr:uid="{00000000-0005-0000-0000-0000562A0000}"/>
    <cellStyle name="Morgan assump 3 5 2 2" xfId="10854" xr:uid="{00000000-0005-0000-0000-0000572A0000}"/>
    <cellStyle name="Morgan assump 3 6" xfId="10855" xr:uid="{00000000-0005-0000-0000-0000582A0000}"/>
    <cellStyle name="Morgan assump 3 6 2" xfId="10856" xr:uid="{00000000-0005-0000-0000-0000592A0000}"/>
    <cellStyle name="Morgan assump 3 6 2 2" xfId="10857" xr:uid="{00000000-0005-0000-0000-00005A2A0000}"/>
    <cellStyle name="Morgan assump 3 7" xfId="10858" xr:uid="{00000000-0005-0000-0000-00005B2A0000}"/>
    <cellStyle name="Morgan assump 3 7 2" xfId="10859" xr:uid="{00000000-0005-0000-0000-00005C2A0000}"/>
    <cellStyle name="Morgan assump 3 7 2 2" xfId="10860" xr:uid="{00000000-0005-0000-0000-00005D2A0000}"/>
    <cellStyle name="Morgan assump 3 8" xfId="10861" xr:uid="{00000000-0005-0000-0000-00005E2A0000}"/>
    <cellStyle name="Morgan assump 3 8 2" xfId="10862" xr:uid="{00000000-0005-0000-0000-00005F2A0000}"/>
    <cellStyle name="Morgan assump 3 8 2 2" xfId="10863" xr:uid="{00000000-0005-0000-0000-0000602A0000}"/>
    <cellStyle name="Morgan assump 3 9" xfId="10864" xr:uid="{00000000-0005-0000-0000-0000612A0000}"/>
    <cellStyle name="Morgan assump 3 9 2" xfId="10865" xr:uid="{00000000-0005-0000-0000-0000622A0000}"/>
    <cellStyle name="Morgan assump 3 9 2 2" xfId="10866" xr:uid="{00000000-0005-0000-0000-0000632A0000}"/>
    <cellStyle name="Morgan assump 4" xfId="10867" xr:uid="{00000000-0005-0000-0000-0000642A0000}"/>
    <cellStyle name="Morgan assump 4 10" xfId="10868" xr:uid="{00000000-0005-0000-0000-0000652A0000}"/>
    <cellStyle name="Morgan assump 4 10 2" xfId="10869" xr:uid="{00000000-0005-0000-0000-0000662A0000}"/>
    <cellStyle name="Morgan assump 4 10 2 2" xfId="10870" xr:uid="{00000000-0005-0000-0000-0000672A0000}"/>
    <cellStyle name="Morgan assump 4 11" xfId="10871" xr:uid="{00000000-0005-0000-0000-0000682A0000}"/>
    <cellStyle name="Morgan assump 4 11 2" xfId="10872" xr:uid="{00000000-0005-0000-0000-0000692A0000}"/>
    <cellStyle name="Morgan assump 4 11 2 2" xfId="10873" xr:uid="{00000000-0005-0000-0000-00006A2A0000}"/>
    <cellStyle name="Morgan assump 4 12" xfId="10874" xr:uid="{00000000-0005-0000-0000-00006B2A0000}"/>
    <cellStyle name="Morgan assump 4 12 2" xfId="10875" xr:uid="{00000000-0005-0000-0000-00006C2A0000}"/>
    <cellStyle name="Morgan assump 4 12 2 2" xfId="10876" xr:uid="{00000000-0005-0000-0000-00006D2A0000}"/>
    <cellStyle name="Morgan assump 4 13" xfId="10877" xr:uid="{00000000-0005-0000-0000-00006E2A0000}"/>
    <cellStyle name="Morgan assump 4 13 2" xfId="10878" xr:uid="{00000000-0005-0000-0000-00006F2A0000}"/>
    <cellStyle name="Morgan assump 4 13 2 2" xfId="10879" xr:uid="{00000000-0005-0000-0000-0000702A0000}"/>
    <cellStyle name="Morgan assump 4 14" xfId="10880" xr:uid="{00000000-0005-0000-0000-0000712A0000}"/>
    <cellStyle name="Morgan assump 4 14 2" xfId="10881" xr:uid="{00000000-0005-0000-0000-0000722A0000}"/>
    <cellStyle name="Morgan assump 4 14 2 2" xfId="10882" xr:uid="{00000000-0005-0000-0000-0000732A0000}"/>
    <cellStyle name="Morgan assump 4 2" xfId="10883" xr:uid="{00000000-0005-0000-0000-0000742A0000}"/>
    <cellStyle name="Morgan assump 4 2 2" xfId="10884" xr:uid="{00000000-0005-0000-0000-0000752A0000}"/>
    <cellStyle name="Morgan assump 4 2 2 2" xfId="10885" xr:uid="{00000000-0005-0000-0000-0000762A0000}"/>
    <cellStyle name="Morgan assump 4 2 2 2 2" xfId="10886" xr:uid="{00000000-0005-0000-0000-0000772A0000}"/>
    <cellStyle name="Morgan assump 4 2 2 2 2 2" xfId="10887" xr:uid="{00000000-0005-0000-0000-0000782A0000}"/>
    <cellStyle name="Morgan assump 4 2 3" xfId="10888" xr:uid="{00000000-0005-0000-0000-0000792A0000}"/>
    <cellStyle name="Morgan assump 4 2 3 2" xfId="10889" xr:uid="{00000000-0005-0000-0000-00007A2A0000}"/>
    <cellStyle name="Morgan assump 4 2 3 2 2" xfId="10890" xr:uid="{00000000-0005-0000-0000-00007B2A0000}"/>
    <cellStyle name="Morgan assump 4 3" xfId="10891" xr:uid="{00000000-0005-0000-0000-00007C2A0000}"/>
    <cellStyle name="Morgan assump 4 3 2" xfId="10892" xr:uid="{00000000-0005-0000-0000-00007D2A0000}"/>
    <cellStyle name="Morgan assump 4 3 2 2" xfId="10893" xr:uid="{00000000-0005-0000-0000-00007E2A0000}"/>
    <cellStyle name="Morgan assump 4 3 2 2 2" xfId="10894" xr:uid="{00000000-0005-0000-0000-00007F2A0000}"/>
    <cellStyle name="Morgan assump 4 3 2 2 2 2" xfId="10895" xr:uid="{00000000-0005-0000-0000-0000802A0000}"/>
    <cellStyle name="Morgan assump 4 3 3" xfId="10896" xr:uid="{00000000-0005-0000-0000-0000812A0000}"/>
    <cellStyle name="Morgan assump 4 3 3 2" xfId="10897" xr:uid="{00000000-0005-0000-0000-0000822A0000}"/>
    <cellStyle name="Morgan assump 4 3 3 2 2" xfId="10898" xr:uid="{00000000-0005-0000-0000-0000832A0000}"/>
    <cellStyle name="Morgan assump 4 4" xfId="10899" xr:uid="{00000000-0005-0000-0000-0000842A0000}"/>
    <cellStyle name="Morgan assump 4 4 2" xfId="10900" xr:uid="{00000000-0005-0000-0000-0000852A0000}"/>
    <cellStyle name="Morgan assump 4 4 2 2" xfId="10901" xr:uid="{00000000-0005-0000-0000-0000862A0000}"/>
    <cellStyle name="Morgan assump 4 4 2 2 2" xfId="10902" xr:uid="{00000000-0005-0000-0000-0000872A0000}"/>
    <cellStyle name="Morgan assump 4 5" xfId="10903" xr:uid="{00000000-0005-0000-0000-0000882A0000}"/>
    <cellStyle name="Morgan assump 4 5 2" xfId="10904" xr:uid="{00000000-0005-0000-0000-0000892A0000}"/>
    <cellStyle name="Morgan assump 4 5 2 2" xfId="10905" xr:uid="{00000000-0005-0000-0000-00008A2A0000}"/>
    <cellStyle name="Morgan assump 4 6" xfId="10906" xr:uid="{00000000-0005-0000-0000-00008B2A0000}"/>
    <cellStyle name="Morgan assump 4 6 2" xfId="10907" xr:uid="{00000000-0005-0000-0000-00008C2A0000}"/>
    <cellStyle name="Morgan assump 4 6 2 2" xfId="10908" xr:uid="{00000000-0005-0000-0000-00008D2A0000}"/>
    <cellStyle name="Morgan assump 4 7" xfId="10909" xr:uid="{00000000-0005-0000-0000-00008E2A0000}"/>
    <cellStyle name="Morgan assump 4 7 2" xfId="10910" xr:uid="{00000000-0005-0000-0000-00008F2A0000}"/>
    <cellStyle name="Morgan assump 4 7 2 2" xfId="10911" xr:uid="{00000000-0005-0000-0000-0000902A0000}"/>
    <cellStyle name="Morgan assump 4 8" xfId="10912" xr:uid="{00000000-0005-0000-0000-0000912A0000}"/>
    <cellStyle name="Morgan assump 4 8 2" xfId="10913" xr:uid="{00000000-0005-0000-0000-0000922A0000}"/>
    <cellStyle name="Morgan assump 4 8 2 2" xfId="10914" xr:uid="{00000000-0005-0000-0000-0000932A0000}"/>
    <cellStyle name="Morgan assump 4 9" xfId="10915" xr:uid="{00000000-0005-0000-0000-0000942A0000}"/>
    <cellStyle name="Morgan assump 4 9 2" xfId="10916" xr:uid="{00000000-0005-0000-0000-0000952A0000}"/>
    <cellStyle name="Morgan assump 4 9 2 2" xfId="10917" xr:uid="{00000000-0005-0000-0000-0000962A0000}"/>
    <cellStyle name="Morgan assump 5" xfId="10918" xr:uid="{00000000-0005-0000-0000-0000972A0000}"/>
    <cellStyle name="Morgan assump 5 10" xfId="10919" xr:uid="{00000000-0005-0000-0000-0000982A0000}"/>
    <cellStyle name="Morgan assump 5 10 2" xfId="10920" xr:uid="{00000000-0005-0000-0000-0000992A0000}"/>
    <cellStyle name="Morgan assump 5 10 2 2" xfId="10921" xr:uid="{00000000-0005-0000-0000-00009A2A0000}"/>
    <cellStyle name="Morgan assump 5 11" xfId="10922" xr:uid="{00000000-0005-0000-0000-00009B2A0000}"/>
    <cellStyle name="Morgan assump 5 11 2" xfId="10923" xr:uid="{00000000-0005-0000-0000-00009C2A0000}"/>
    <cellStyle name="Morgan assump 5 11 2 2" xfId="10924" xr:uid="{00000000-0005-0000-0000-00009D2A0000}"/>
    <cellStyle name="Morgan assump 5 12" xfId="10925" xr:uid="{00000000-0005-0000-0000-00009E2A0000}"/>
    <cellStyle name="Morgan assump 5 12 2" xfId="10926" xr:uid="{00000000-0005-0000-0000-00009F2A0000}"/>
    <cellStyle name="Morgan assump 5 12 2 2" xfId="10927" xr:uid="{00000000-0005-0000-0000-0000A02A0000}"/>
    <cellStyle name="Morgan assump 5 13" xfId="10928" xr:uid="{00000000-0005-0000-0000-0000A12A0000}"/>
    <cellStyle name="Morgan assump 5 13 2" xfId="10929" xr:uid="{00000000-0005-0000-0000-0000A22A0000}"/>
    <cellStyle name="Morgan assump 5 13 2 2" xfId="10930" xr:uid="{00000000-0005-0000-0000-0000A32A0000}"/>
    <cellStyle name="Morgan assump 5 14" xfId="10931" xr:uid="{00000000-0005-0000-0000-0000A42A0000}"/>
    <cellStyle name="Morgan assump 5 14 2" xfId="10932" xr:uid="{00000000-0005-0000-0000-0000A52A0000}"/>
    <cellStyle name="Morgan assump 5 14 2 2" xfId="10933" xr:uid="{00000000-0005-0000-0000-0000A62A0000}"/>
    <cellStyle name="Morgan assump 5 2" xfId="10934" xr:uid="{00000000-0005-0000-0000-0000A72A0000}"/>
    <cellStyle name="Morgan assump 5 2 2" xfId="10935" xr:uid="{00000000-0005-0000-0000-0000A82A0000}"/>
    <cellStyle name="Morgan assump 5 2 2 2" xfId="10936" xr:uid="{00000000-0005-0000-0000-0000A92A0000}"/>
    <cellStyle name="Morgan assump 5 3" xfId="10937" xr:uid="{00000000-0005-0000-0000-0000AA2A0000}"/>
    <cellStyle name="Morgan assump 5 3 2" xfId="10938" xr:uid="{00000000-0005-0000-0000-0000AB2A0000}"/>
    <cellStyle name="Morgan assump 5 3 2 2" xfId="10939" xr:uid="{00000000-0005-0000-0000-0000AC2A0000}"/>
    <cellStyle name="Morgan assump 5 4" xfId="10940" xr:uid="{00000000-0005-0000-0000-0000AD2A0000}"/>
    <cellStyle name="Morgan assump 5 4 2" xfId="10941" xr:uid="{00000000-0005-0000-0000-0000AE2A0000}"/>
    <cellStyle name="Morgan assump 5 4 2 2" xfId="10942" xr:uid="{00000000-0005-0000-0000-0000AF2A0000}"/>
    <cellStyle name="Morgan assump 5 5" xfId="10943" xr:uid="{00000000-0005-0000-0000-0000B02A0000}"/>
    <cellStyle name="Morgan assump 5 5 2" xfId="10944" xr:uid="{00000000-0005-0000-0000-0000B12A0000}"/>
    <cellStyle name="Morgan assump 5 5 2 2" xfId="10945" xr:uid="{00000000-0005-0000-0000-0000B22A0000}"/>
    <cellStyle name="Morgan assump 5 6" xfId="10946" xr:uid="{00000000-0005-0000-0000-0000B32A0000}"/>
    <cellStyle name="Morgan assump 5 6 2" xfId="10947" xr:uid="{00000000-0005-0000-0000-0000B42A0000}"/>
    <cellStyle name="Morgan assump 5 6 2 2" xfId="10948" xr:uid="{00000000-0005-0000-0000-0000B52A0000}"/>
    <cellStyle name="Morgan assump 5 7" xfId="10949" xr:uid="{00000000-0005-0000-0000-0000B62A0000}"/>
    <cellStyle name="Morgan assump 5 7 2" xfId="10950" xr:uid="{00000000-0005-0000-0000-0000B72A0000}"/>
    <cellStyle name="Morgan assump 5 7 2 2" xfId="10951" xr:uid="{00000000-0005-0000-0000-0000B82A0000}"/>
    <cellStyle name="Morgan assump 5 8" xfId="10952" xr:uid="{00000000-0005-0000-0000-0000B92A0000}"/>
    <cellStyle name="Morgan assump 5 8 2" xfId="10953" xr:uid="{00000000-0005-0000-0000-0000BA2A0000}"/>
    <cellStyle name="Morgan assump 5 8 2 2" xfId="10954" xr:uid="{00000000-0005-0000-0000-0000BB2A0000}"/>
    <cellStyle name="Morgan assump 5 9" xfId="10955" xr:uid="{00000000-0005-0000-0000-0000BC2A0000}"/>
    <cellStyle name="Morgan assump 5 9 2" xfId="10956" xr:uid="{00000000-0005-0000-0000-0000BD2A0000}"/>
    <cellStyle name="Morgan assump 5 9 2 2" xfId="10957" xr:uid="{00000000-0005-0000-0000-0000BE2A0000}"/>
    <cellStyle name="Morgan assump 6" xfId="10958" xr:uid="{00000000-0005-0000-0000-0000BF2A0000}"/>
    <cellStyle name="Morgan assump 6 2" xfId="10959" xr:uid="{00000000-0005-0000-0000-0000C02A0000}"/>
    <cellStyle name="Morgan assump 6 2 2" xfId="10960" xr:uid="{00000000-0005-0000-0000-0000C12A0000}"/>
    <cellStyle name="Morgan assump 7" xfId="10961" xr:uid="{00000000-0005-0000-0000-0000C22A0000}"/>
    <cellStyle name="Morgan assump 7 2" xfId="10962" xr:uid="{00000000-0005-0000-0000-0000C32A0000}"/>
    <cellStyle name="Morgan assump 7 2 2" xfId="10963" xr:uid="{00000000-0005-0000-0000-0000C42A0000}"/>
    <cellStyle name="Morgan assump 8" xfId="10964" xr:uid="{00000000-0005-0000-0000-0000C52A0000}"/>
    <cellStyle name="Morgan assump 8 2" xfId="10965" xr:uid="{00000000-0005-0000-0000-0000C62A0000}"/>
    <cellStyle name="Morgan assump 8 2 2" xfId="10966" xr:uid="{00000000-0005-0000-0000-0000C72A0000}"/>
    <cellStyle name="Morgan assump 9" xfId="10967" xr:uid="{00000000-0005-0000-0000-0000C82A0000}"/>
    <cellStyle name="Morgan assump 9 2" xfId="10968" xr:uid="{00000000-0005-0000-0000-0000C92A0000}"/>
    <cellStyle name="Morgan assump 9 2 2" xfId="10969" xr:uid="{00000000-0005-0000-0000-0000CA2A0000}"/>
    <cellStyle name="Morgan pct assump" xfId="10970" xr:uid="{00000000-0005-0000-0000-0000CB2A0000}"/>
    <cellStyle name="Morgan_HRT O&amp;G" xfId="10971" xr:uid="{00000000-0005-0000-0000-0000CC2A0000}"/>
    <cellStyle name="movimentação" xfId="10972" xr:uid="{00000000-0005-0000-0000-0000CD2A0000}"/>
    <cellStyle name="movimentação 10" xfId="10973" xr:uid="{00000000-0005-0000-0000-0000CE2A0000}"/>
    <cellStyle name="movimentação 10 2" xfId="10974" xr:uid="{00000000-0005-0000-0000-0000CF2A0000}"/>
    <cellStyle name="movimentação 10 2 2" xfId="10975" xr:uid="{00000000-0005-0000-0000-0000D02A0000}"/>
    <cellStyle name="movimentação 11" xfId="10976" xr:uid="{00000000-0005-0000-0000-0000D12A0000}"/>
    <cellStyle name="movimentação 11 2" xfId="10977" xr:uid="{00000000-0005-0000-0000-0000D22A0000}"/>
    <cellStyle name="movimentação 11 2 2" xfId="10978" xr:uid="{00000000-0005-0000-0000-0000D32A0000}"/>
    <cellStyle name="movimentação 2" xfId="10979" xr:uid="{00000000-0005-0000-0000-0000D42A0000}"/>
    <cellStyle name="movimentação 2 2" xfId="10980" xr:uid="{00000000-0005-0000-0000-0000D52A0000}"/>
    <cellStyle name="movimentação 2 2 10" xfId="10981" xr:uid="{00000000-0005-0000-0000-0000D62A0000}"/>
    <cellStyle name="movimentação 2 2 10 2" xfId="10982" xr:uid="{00000000-0005-0000-0000-0000D72A0000}"/>
    <cellStyle name="movimentação 2 2 10 2 2" xfId="10983" xr:uid="{00000000-0005-0000-0000-0000D82A0000}"/>
    <cellStyle name="movimentação 2 2 11" xfId="10984" xr:uid="{00000000-0005-0000-0000-0000D92A0000}"/>
    <cellStyle name="movimentação 2 2 11 2" xfId="10985" xr:uid="{00000000-0005-0000-0000-0000DA2A0000}"/>
    <cellStyle name="movimentação 2 2 11 2 2" xfId="10986" xr:uid="{00000000-0005-0000-0000-0000DB2A0000}"/>
    <cellStyle name="movimentação 2 2 12" xfId="10987" xr:uid="{00000000-0005-0000-0000-0000DC2A0000}"/>
    <cellStyle name="movimentação 2 2 12 2" xfId="10988" xr:uid="{00000000-0005-0000-0000-0000DD2A0000}"/>
    <cellStyle name="movimentação 2 2 12 2 2" xfId="10989" xr:uid="{00000000-0005-0000-0000-0000DE2A0000}"/>
    <cellStyle name="movimentação 2 2 13" xfId="10990" xr:uid="{00000000-0005-0000-0000-0000DF2A0000}"/>
    <cellStyle name="movimentação 2 2 13 2" xfId="10991" xr:uid="{00000000-0005-0000-0000-0000E02A0000}"/>
    <cellStyle name="movimentação 2 2 13 2 2" xfId="10992" xr:uid="{00000000-0005-0000-0000-0000E12A0000}"/>
    <cellStyle name="movimentação 2 2 14" xfId="10993" xr:uid="{00000000-0005-0000-0000-0000E22A0000}"/>
    <cellStyle name="movimentação 2 2 14 2" xfId="10994" xr:uid="{00000000-0005-0000-0000-0000E32A0000}"/>
    <cellStyle name="movimentação 2 2 14 2 2" xfId="10995" xr:uid="{00000000-0005-0000-0000-0000E42A0000}"/>
    <cellStyle name="movimentação 2 2 15" xfId="10996" xr:uid="{00000000-0005-0000-0000-0000E52A0000}"/>
    <cellStyle name="movimentação 2 2 15 2" xfId="10997" xr:uid="{00000000-0005-0000-0000-0000E62A0000}"/>
    <cellStyle name="movimentação 2 2 2" xfId="10998" xr:uid="{00000000-0005-0000-0000-0000E72A0000}"/>
    <cellStyle name="movimentação 2 2 2 2" xfId="10999" xr:uid="{00000000-0005-0000-0000-0000E82A0000}"/>
    <cellStyle name="movimentação 2 2 2 2 2" xfId="11000" xr:uid="{00000000-0005-0000-0000-0000E92A0000}"/>
    <cellStyle name="movimentação 2 2 3" xfId="11001" xr:uid="{00000000-0005-0000-0000-0000EA2A0000}"/>
    <cellStyle name="movimentação 2 2 3 2" xfId="11002" xr:uid="{00000000-0005-0000-0000-0000EB2A0000}"/>
    <cellStyle name="movimentação 2 2 3 2 2" xfId="11003" xr:uid="{00000000-0005-0000-0000-0000EC2A0000}"/>
    <cellStyle name="movimentação 2 2 4" xfId="11004" xr:uid="{00000000-0005-0000-0000-0000ED2A0000}"/>
    <cellStyle name="movimentação 2 2 4 2" xfId="11005" xr:uid="{00000000-0005-0000-0000-0000EE2A0000}"/>
    <cellStyle name="movimentação 2 2 4 2 2" xfId="11006" xr:uid="{00000000-0005-0000-0000-0000EF2A0000}"/>
    <cellStyle name="movimentação 2 2 5" xfId="11007" xr:uid="{00000000-0005-0000-0000-0000F02A0000}"/>
    <cellStyle name="movimentação 2 2 5 2" xfId="11008" xr:uid="{00000000-0005-0000-0000-0000F12A0000}"/>
    <cellStyle name="movimentação 2 2 5 2 2" xfId="11009" xr:uid="{00000000-0005-0000-0000-0000F22A0000}"/>
    <cellStyle name="movimentação 2 2 6" xfId="11010" xr:uid="{00000000-0005-0000-0000-0000F32A0000}"/>
    <cellStyle name="movimentação 2 2 6 2" xfId="11011" xr:uid="{00000000-0005-0000-0000-0000F42A0000}"/>
    <cellStyle name="movimentação 2 2 6 2 2" xfId="11012" xr:uid="{00000000-0005-0000-0000-0000F52A0000}"/>
    <cellStyle name="movimentação 2 2 7" xfId="11013" xr:uid="{00000000-0005-0000-0000-0000F62A0000}"/>
    <cellStyle name="movimentação 2 2 7 2" xfId="11014" xr:uid="{00000000-0005-0000-0000-0000F72A0000}"/>
    <cellStyle name="movimentação 2 2 7 2 2" xfId="11015" xr:uid="{00000000-0005-0000-0000-0000F82A0000}"/>
    <cellStyle name="movimentação 2 2 8" xfId="11016" xr:uid="{00000000-0005-0000-0000-0000F92A0000}"/>
    <cellStyle name="movimentação 2 2 8 2" xfId="11017" xr:uid="{00000000-0005-0000-0000-0000FA2A0000}"/>
    <cellStyle name="movimentação 2 2 8 2 2" xfId="11018" xr:uid="{00000000-0005-0000-0000-0000FB2A0000}"/>
    <cellStyle name="movimentação 2 2 9" xfId="11019" xr:uid="{00000000-0005-0000-0000-0000FC2A0000}"/>
    <cellStyle name="movimentação 2 2 9 2" xfId="11020" xr:uid="{00000000-0005-0000-0000-0000FD2A0000}"/>
    <cellStyle name="movimentação 2 2 9 2 2" xfId="11021" xr:uid="{00000000-0005-0000-0000-0000FE2A0000}"/>
    <cellStyle name="movimentação 2 3" xfId="11022" xr:uid="{00000000-0005-0000-0000-0000FF2A0000}"/>
    <cellStyle name="movimentação 2 3 2" xfId="11023" xr:uid="{00000000-0005-0000-0000-0000002B0000}"/>
    <cellStyle name="movimentação 2 3 2 2" xfId="11024" xr:uid="{00000000-0005-0000-0000-0000012B0000}"/>
    <cellStyle name="movimentação 2 4" xfId="11025" xr:uid="{00000000-0005-0000-0000-0000022B0000}"/>
    <cellStyle name="movimentação 2 4 2" xfId="11026" xr:uid="{00000000-0005-0000-0000-0000032B0000}"/>
    <cellStyle name="movimentação 2 4 2 2" xfId="11027" xr:uid="{00000000-0005-0000-0000-0000042B0000}"/>
    <cellStyle name="movimentação 3" xfId="11028" xr:uid="{00000000-0005-0000-0000-0000052B0000}"/>
    <cellStyle name="movimentação 3 10" xfId="11029" xr:uid="{00000000-0005-0000-0000-0000062B0000}"/>
    <cellStyle name="movimentação 3 10 2" xfId="11030" xr:uid="{00000000-0005-0000-0000-0000072B0000}"/>
    <cellStyle name="movimentação 3 10 2 2" xfId="11031" xr:uid="{00000000-0005-0000-0000-0000082B0000}"/>
    <cellStyle name="movimentação 3 2" xfId="11032" xr:uid="{00000000-0005-0000-0000-0000092B0000}"/>
    <cellStyle name="movimentação 3 2 2" xfId="11033" xr:uid="{00000000-0005-0000-0000-00000A2B0000}"/>
    <cellStyle name="movimentação 3 2 2 2" xfId="11034" xr:uid="{00000000-0005-0000-0000-00000B2B0000}"/>
    <cellStyle name="movimentação 3 2 2 2 2" xfId="11035" xr:uid="{00000000-0005-0000-0000-00000C2B0000}"/>
    <cellStyle name="movimentação 3 2 2 2 2 2" xfId="11036" xr:uid="{00000000-0005-0000-0000-00000D2B0000}"/>
    <cellStyle name="movimentação 3 2 3" xfId="11037" xr:uid="{00000000-0005-0000-0000-00000E2B0000}"/>
    <cellStyle name="movimentação 3 2 3 2" xfId="11038" xr:uid="{00000000-0005-0000-0000-00000F2B0000}"/>
    <cellStyle name="movimentação 3 2 3 2 2" xfId="11039" xr:uid="{00000000-0005-0000-0000-0000102B0000}"/>
    <cellStyle name="movimentação 3 3" xfId="11040" xr:uid="{00000000-0005-0000-0000-0000112B0000}"/>
    <cellStyle name="movimentação 3 3 2" xfId="11041" xr:uid="{00000000-0005-0000-0000-0000122B0000}"/>
    <cellStyle name="movimentação 3 3 2 2" xfId="11042" xr:uid="{00000000-0005-0000-0000-0000132B0000}"/>
    <cellStyle name="movimentação 3 3 2 2 2" xfId="11043" xr:uid="{00000000-0005-0000-0000-0000142B0000}"/>
    <cellStyle name="movimentação 3 3 2 2 2 2" xfId="11044" xr:uid="{00000000-0005-0000-0000-0000152B0000}"/>
    <cellStyle name="movimentação 3 3 3" xfId="11045" xr:uid="{00000000-0005-0000-0000-0000162B0000}"/>
    <cellStyle name="movimentação 3 3 3 2" xfId="11046" xr:uid="{00000000-0005-0000-0000-0000172B0000}"/>
    <cellStyle name="movimentação 3 3 3 2 2" xfId="11047" xr:uid="{00000000-0005-0000-0000-0000182B0000}"/>
    <cellStyle name="movimentação 3 4" xfId="11048" xr:uid="{00000000-0005-0000-0000-0000192B0000}"/>
    <cellStyle name="movimentação 3 4 2" xfId="11049" xr:uid="{00000000-0005-0000-0000-00001A2B0000}"/>
    <cellStyle name="movimentação 3 4 2 2" xfId="11050" xr:uid="{00000000-0005-0000-0000-00001B2B0000}"/>
    <cellStyle name="movimentação 3 4 2 2 2" xfId="11051" xr:uid="{00000000-0005-0000-0000-00001C2B0000}"/>
    <cellStyle name="movimentação 3 5" xfId="11052" xr:uid="{00000000-0005-0000-0000-00001D2B0000}"/>
    <cellStyle name="movimentação 3 5 2" xfId="11053" xr:uid="{00000000-0005-0000-0000-00001E2B0000}"/>
    <cellStyle name="movimentação 3 5 2 2" xfId="11054" xr:uid="{00000000-0005-0000-0000-00001F2B0000}"/>
    <cellStyle name="movimentação 3 6" xfId="11055" xr:uid="{00000000-0005-0000-0000-0000202B0000}"/>
    <cellStyle name="movimentação 3 6 2" xfId="11056" xr:uid="{00000000-0005-0000-0000-0000212B0000}"/>
    <cellStyle name="movimentação 3 6 2 2" xfId="11057" xr:uid="{00000000-0005-0000-0000-0000222B0000}"/>
    <cellStyle name="movimentação 3 7" xfId="11058" xr:uid="{00000000-0005-0000-0000-0000232B0000}"/>
    <cellStyle name="movimentação 3 7 2" xfId="11059" xr:uid="{00000000-0005-0000-0000-0000242B0000}"/>
    <cellStyle name="movimentação 3 7 2 2" xfId="11060" xr:uid="{00000000-0005-0000-0000-0000252B0000}"/>
    <cellStyle name="movimentação 3 8" xfId="11061" xr:uid="{00000000-0005-0000-0000-0000262B0000}"/>
    <cellStyle name="movimentação 3 8 2" xfId="11062" xr:uid="{00000000-0005-0000-0000-0000272B0000}"/>
    <cellStyle name="movimentação 3 8 2 2" xfId="11063" xr:uid="{00000000-0005-0000-0000-0000282B0000}"/>
    <cellStyle name="movimentação 3 9" xfId="11064" xr:uid="{00000000-0005-0000-0000-0000292B0000}"/>
    <cellStyle name="movimentação 3 9 2" xfId="11065" xr:uid="{00000000-0005-0000-0000-00002A2B0000}"/>
    <cellStyle name="movimentação 3 9 2 2" xfId="11066" xr:uid="{00000000-0005-0000-0000-00002B2B0000}"/>
    <cellStyle name="movimentação 4" xfId="11067" xr:uid="{00000000-0005-0000-0000-00002C2B0000}"/>
    <cellStyle name="movimentação 4 10" xfId="11068" xr:uid="{00000000-0005-0000-0000-00002D2B0000}"/>
    <cellStyle name="movimentação 4 10 2" xfId="11069" xr:uid="{00000000-0005-0000-0000-00002E2B0000}"/>
    <cellStyle name="movimentação 4 10 2 2" xfId="11070" xr:uid="{00000000-0005-0000-0000-00002F2B0000}"/>
    <cellStyle name="movimentação 4 11" xfId="11071" xr:uid="{00000000-0005-0000-0000-0000302B0000}"/>
    <cellStyle name="movimentação 4 11 2" xfId="11072" xr:uid="{00000000-0005-0000-0000-0000312B0000}"/>
    <cellStyle name="movimentação 4 11 2 2" xfId="11073" xr:uid="{00000000-0005-0000-0000-0000322B0000}"/>
    <cellStyle name="movimentação 4 12" xfId="11074" xr:uid="{00000000-0005-0000-0000-0000332B0000}"/>
    <cellStyle name="movimentação 4 12 2" xfId="11075" xr:uid="{00000000-0005-0000-0000-0000342B0000}"/>
    <cellStyle name="movimentação 4 12 2 2" xfId="11076" xr:uid="{00000000-0005-0000-0000-0000352B0000}"/>
    <cellStyle name="movimentação 4 13" xfId="11077" xr:uid="{00000000-0005-0000-0000-0000362B0000}"/>
    <cellStyle name="movimentação 4 13 2" xfId="11078" xr:uid="{00000000-0005-0000-0000-0000372B0000}"/>
    <cellStyle name="movimentação 4 13 2 2" xfId="11079" xr:uid="{00000000-0005-0000-0000-0000382B0000}"/>
    <cellStyle name="movimentação 4 14" xfId="11080" xr:uid="{00000000-0005-0000-0000-0000392B0000}"/>
    <cellStyle name="movimentação 4 14 2" xfId="11081" xr:uid="{00000000-0005-0000-0000-00003A2B0000}"/>
    <cellStyle name="movimentação 4 14 2 2" xfId="11082" xr:uid="{00000000-0005-0000-0000-00003B2B0000}"/>
    <cellStyle name="movimentação 4 2" xfId="11083" xr:uid="{00000000-0005-0000-0000-00003C2B0000}"/>
    <cellStyle name="movimentação 4 2 2" xfId="11084" xr:uid="{00000000-0005-0000-0000-00003D2B0000}"/>
    <cellStyle name="movimentação 4 2 2 2" xfId="11085" xr:uid="{00000000-0005-0000-0000-00003E2B0000}"/>
    <cellStyle name="movimentação 4 2 2 2 2" xfId="11086" xr:uid="{00000000-0005-0000-0000-00003F2B0000}"/>
    <cellStyle name="movimentação 4 2 2 2 2 2" xfId="11087" xr:uid="{00000000-0005-0000-0000-0000402B0000}"/>
    <cellStyle name="movimentação 4 2 3" xfId="11088" xr:uid="{00000000-0005-0000-0000-0000412B0000}"/>
    <cellStyle name="movimentação 4 2 3 2" xfId="11089" xr:uid="{00000000-0005-0000-0000-0000422B0000}"/>
    <cellStyle name="movimentação 4 2 3 2 2" xfId="11090" xr:uid="{00000000-0005-0000-0000-0000432B0000}"/>
    <cellStyle name="movimentação 4 3" xfId="11091" xr:uid="{00000000-0005-0000-0000-0000442B0000}"/>
    <cellStyle name="movimentação 4 3 2" xfId="11092" xr:uid="{00000000-0005-0000-0000-0000452B0000}"/>
    <cellStyle name="movimentação 4 3 2 2" xfId="11093" xr:uid="{00000000-0005-0000-0000-0000462B0000}"/>
    <cellStyle name="movimentação 4 3 2 2 2" xfId="11094" xr:uid="{00000000-0005-0000-0000-0000472B0000}"/>
    <cellStyle name="movimentação 4 3 2 2 2 2" xfId="11095" xr:uid="{00000000-0005-0000-0000-0000482B0000}"/>
    <cellStyle name="movimentação 4 3 3" xfId="11096" xr:uid="{00000000-0005-0000-0000-0000492B0000}"/>
    <cellStyle name="movimentação 4 3 3 2" xfId="11097" xr:uid="{00000000-0005-0000-0000-00004A2B0000}"/>
    <cellStyle name="movimentação 4 3 3 2 2" xfId="11098" xr:uid="{00000000-0005-0000-0000-00004B2B0000}"/>
    <cellStyle name="movimentação 4 4" xfId="11099" xr:uid="{00000000-0005-0000-0000-00004C2B0000}"/>
    <cellStyle name="movimentação 4 4 2" xfId="11100" xr:uid="{00000000-0005-0000-0000-00004D2B0000}"/>
    <cellStyle name="movimentação 4 4 2 2" xfId="11101" xr:uid="{00000000-0005-0000-0000-00004E2B0000}"/>
    <cellStyle name="movimentação 4 4 2 2 2" xfId="11102" xr:uid="{00000000-0005-0000-0000-00004F2B0000}"/>
    <cellStyle name="movimentação 4 5" xfId="11103" xr:uid="{00000000-0005-0000-0000-0000502B0000}"/>
    <cellStyle name="movimentação 4 5 2" xfId="11104" xr:uid="{00000000-0005-0000-0000-0000512B0000}"/>
    <cellStyle name="movimentação 4 5 2 2" xfId="11105" xr:uid="{00000000-0005-0000-0000-0000522B0000}"/>
    <cellStyle name="movimentação 4 6" xfId="11106" xr:uid="{00000000-0005-0000-0000-0000532B0000}"/>
    <cellStyle name="movimentação 4 6 2" xfId="11107" xr:uid="{00000000-0005-0000-0000-0000542B0000}"/>
    <cellStyle name="movimentação 4 6 2 2" xfId="11108" xr:uid="{00000000-0005-0000-0000-0000552B0000}"/>
    <cellStyle name="movimentação 4 7" xfId="11109" xr:uid="{00000000-0005-0000-0000-0000562B0000}"/>
    <cellStyle name="movimentação 4 7 2" xfId="11110" xr:uid="{00000000-0005-0000-0000-0000572B0000}"/>
    <cellStyle name="movimentação 4 7 2 2" xfId="11111" xr:uid="{00000000-0005-0000-0000-0000582B0000}"/>
    <cellStyle name="movimentação 4 8" xfId="11112" xr:uid="{00000000-0005-0000-0000-0000592B0000}"/>
    <cellStyle name="movimentação 4 8 2" xfId="11113" xr:uid="{00000000-0005-0000-0000-00005A2B0000}"/>
    <cellStyle name="movimentação 4 8 2 2" xfId="11114" xr:uid="{00000000-0005-0000-0000-00005B2B0000}"/>
    <cellStyle name="movimentação 4 9" xfId="11115" xr:uid="{00000000-0005-0000-0000-00005C2B0000}"/>
    <cellStyle name="movimentação 4 9 2" xfId="11116" xr:uid="{00000000-0005-0000-0000-00005D2B0000}"/>
    <cellStyle name="movimentação 4 9 2 2" xfId="11117" xr:uid="{00000000-0005-0000-0000-00005E2B0000}"/>
    <cellStyle name="movimentação 5" xfId="11118" xr:uid="{00000000-0005-0000-0000-00005F2B0000}"/>
    <cellStyle name="movimentação 5 10" xfId="11119" xr:uid="{00000000-0005-0000-0000-0000602B0000}"/>
    <cellStyle name="movimentação 5 10 2" xfId="11120" xr:uid="{00000000-0005-0000-0000-0000612B0000}"/>
    <cellStyle name="movimentação 5 10 2 2" xfId="11121" xr:uid="{00000000-0005-0000-0000-0000622B0000}"/>
    <cellStyle name="movimentação 5 11" xfId="11122" xr:uid="{00000000-0005-0000-0000-0000632B0000}"/>
    <cellStyle name="movimentação 5 11 2" xfId="11123" xr:uid="{00000000-0005-0000-0000-0000642B0000}"/>
    <cellStyle name="movimentação 5 11 2 2" xfId="11124" xr:uid="{00000000-0005-0000-0000-0000652B0000}"/>
    <cellStyle name="movimentação 5 12" xfId="11125" xr:uid="{00000000-0005-0000-0000-0000662B0000}"/>
    <cellStyle name="movimentação 5 12 2" xfId="11126" xr:uid="{00000000-0005-0000-0000-0000672B0000}"/>
    <cellStyle name="movimentação 5 12 2 2" xfId="11127" xr:uid="{00000000-0005-0000-0000-0000682B0000}"/>
    <cellStyle name="movimentação 5 13" xfId="11128" xr:uid="{00000000-0005-0000-0000-0000692B0000}"/>
    <cellStyle name="movimentação 5 13 2" xfId="11129" xr:uid="{00000000-0005-0000-0000-00006A2B0000}"/>
    <cellStyle name="movimentação 5 13 2 2" xfId="11130" xr:uid="{00000000-0005-0000-0000-00006B2B0000}"/>
    <cellStyle name="movimentação 5 14" xfId="11131" xr:uid="{00000000-0005-0000-0000-00006C2B0000}"/>
    <cellStyle name="movimentação 5 14 2" xfId="11132" xr:uid="{00000000-0005-0000-0000-00006D2B0000}"/>
    <cellStyle name="movimentação 5 14 2 2" xfId="11133" xr:uid="{00000000-0005-0000-0000-00006E2B0000}"/>
    <cellStyle name="movimentação 5 2" xfId="11134" xr:uid="{00000000-0005-0000-0000-00006F2B0000}"/>
    <cellStyle name="movimentação 5 2 2" xfId="11135" xr:uid="{00000000-0005-0000-0000-0000702B0000}"/>
    <cellStyle name="movimentação 5 2 2 2" xfId="11136" xr:uid="{00000000-0005-0000-0000-0000712B0000}"/>
    <cellStyle name="movimentação 5 3" xfId="11137" xr:uid="{00000000-0005-0000-0000-0000722B0000}"/>
    <cellStyle name="movimentação 5 3 2" xfId="11138" xr:uid="{00000000-0005-0000-0000-0000732B0000}"/>
    <cellStyle name="movimentação 5 3 2 2" xfId="11139" xr:uid="{00000000-0005-0000-0000-0000742B0000}"/>
    <cellStyle name="movimentação 5 4" xfId="11140" xr:uid="{00000000-0005-0000-0000-0000752B0000}"/>
    <cellStyle name="movimentação 5 4 2" xfId="11141" xr:uid="{00000000-0005-0000-0000-0000762B0000}"/>
    <cellStyle name="movimentação 5 4 2 2" xfId="11142" xr:uid="{00000000-0005-0000-0000-0000772B0000}"/>
    <cellStyle name="movimentação 5 5" xfId="11143" xr:uid="{00000000-0005-0000-0000-0000782B0000}"/>
    <cellStyle name="movimentação 5 5 2" xfId="11144" xr:uid="{00000000-0005-0000-0000-0000792B0000}"/>
    <cellStyle name="movimentação 5 5 2 2" xfId="11145" xr:uid="{00000000-0005-0000-0000-00007A2B0000}"/>
    <cellStyle name="movimentação 5 6" xfId="11146" xr:uid="{00000000-0005-0000-0000-00007B2B0000}"/>
    <cellStyle name="movimentação 5 6 2" xfId="11147" xr:uid="{00000000-0005-0000-0000-00007C2B0000}"/>
    <cellStyle name="movimentação 5 6 2 2" xfId="11148" xr:uid="{00000000-0005-0000-0000-00007D2B0000}"/>
    <cellStyle name="movimentação 5 7" xfId="11149" xr:uid="{00000000-0005-0000-0000-00007E2B0000}"/>
    <cellStyle name="movimentação 5 7 2" xfId="11150" xr:uid="{00000000-0005-0000-0000-00007F2B0000}"/>
    <cellStyle name="movimentação 5 7 2 2" xfId="11151" xr:uid="{00000000-0005-0000-0000-0000802B0000}"/>
    <cellStyle name="movimentação 5 8" xfId="11152" xr:uid="{00000000-0005-0000-0000-0000812B0000}"/>
    <cellStyle name="movimentação 5 8 2" xfId="11153" xr:uid="{00000000-0005-0000-0000-0000822B0000}"/>
    <cellStyle name="movimentação 5 8 2 2" xfId="11154" xr:uid="{00000000-0005-0000-0000-0000832B0000}"/>
    <cellStyle name="movimentação 5 9" xfId="11155" xr:uid="{00000000-0005-0000-0000-0000842B0000}"/>
    <cellStyle name="movimentação 5 9 2" xfId="11156" xr:uid="{00000000-0005-0000-0000-0000852B0000}"/>
    <cellStyle name="movimentação 5 9 2 2" xfId="11157" xr:uid="{00000000-0005-0000-0000-0000862B0000}"/>
    <cellStyle name="movimentação 6" xfId="11158" xr:uid="{00000000-0005-0000-0000-0000872B0000}"/>
    <cellStyle name="movimentação 6 2" xfId="11159" xr:uid="{00000000-0005-0000-0000-0000882B0000}"/>
    <cellStyle name="movimentação 6 2 2" xfId="11160" xr:uid="{00000000-0005-0000-0000-0000892B0000}"/>
    <cellStyle name="movimentação 7" xfId="11161" xr:uid="{00000000-0005-0000-0000-00008A2B0000}"/>
    <cellStyle name="movimentação 7 2" xfId="11162" xr:uid="{00000000-0005-0000-0000-00008B2B0000}"/>
    <cellStyle name="movimentação 7 2 2" xfId="11163" xr:uid="{00000000-0005-0000-0000-00008C2B0000}"/>
    <cellStyle name="movimentação 8" xfId="11164" xr:uid="{00000000-0005-0000-0000-00008D2B0000}"/>
    <cellStyle name="movimentação 8 2" xfId="11165" xr:uid="{00000000-0005-0000-0000-00008E2B0000}"/>
    <cellStyle name="movimentação 8 2 2" xfId="11166" xr:uid="{00000000-0005-0000-0000-00008F2B0000}"/>
    <cellStyle name="movimentação 9" xfId="11167" xr:uid="{00000000-0005-0000-0000-0000902B0000}"/>
    <cellStyle name="movimentação 9 2" xfId="11168" xr:uid="{00000000-0005-0000-0000-0000912B0000}"/>
    <cellStyle name="movimentação 9 2 2" xfId="11169" xr:uid="{00000000-0005-0000-0000-0000922B0000}"/>
    <cellStyle name="Muliple" xfId="11170" xr:uid="{00000000-0005-0000-0000-0000932B0000}"/>
    <cellStyle name="Mult No x" xfId="11171" xr:uid="{00000000-0005-0000-0000-0000942B0000}"/>
    <cellStyle name="Mult No x 10" xfId="11172" xr:uid="{00000000-0005-0000-0000-0000952B0000}"/>
    <cellStyle name="Mult No x 10 2" xfId="11173" xr:uid="{00000000-0005-0000-0000-0000962B0000}"/>
    <cellStyle name="Mult No x 10 2 2" xfId="11174" xr:uid="{00000000-0005-0000-0000-0000972B0000}"/>
    <cellStyle name="Mult No x 11" xfId="11175" xr:uid="{00000000-0005-0000-0000-0000982B0000}"/>
    <cellStyle name="Mult No x 11 2" xfId="11176" xr:uid="{00000000-0005-0000-0000-0000992B0000}"/>
    <cellStyle name="Mult No x 11 2 2" xfId="11177" xr:uid="{00000000-0005-0000-0000-00009A2B0000}"/>
    <cellStyle name="Mult No x 2" xfId="11178" xr:uid="{00000000-0005-0000-0000-00009B2B0000}"/>
    <cellStyle name="Mult No x 2 2" xfId="11179" xr:uid="{00000000-0005-0000-0000-00009C2B0000}"/>
    <cellStyle name="Mult No x 2 2 10" xfId="11180" xr:uid="{00000000-0005-0000-0000-00009D2B0000}"/>
    <cellStyle name="Mult No x 2 2 10 2" xfId="11181" xr:uid="{00000000-0005-0000-0000-00009E2B0000}"/>
    <cellStyle name="Mult No x 2 2 10 2 2" xfId="11182" xr:uid="{00000000-0005-0000-0000-00009F2B0000}"/>
    <cellStyle name="Mult No x 2 2 11" xfId="11183" xr:uid="{00000000-0005-0000-0000-0000A02B0000}"/>
    <cellStyle name="Mult No x 2 2 11 2" xfId="11184" xr:uid="{00000000-0005-0000-0000-0000A12B0000}"/>
    <cellStyle name="Mult No x 2 2 11 2 2" xfId="11185" xr:uid="{00000000-0005-0000-0000-0000A22B0000}"/>
    <cellStyle name="Mult No x 2 2 12" xfId="11186" xr:uid="{00000000-0005-0000-0000-0000A32B0000}"/>
    <cellStyle name="Mult No x 2 2 12 2" xfId="11187" xr:uid="{00000000-0005-0000-0000-0000A42B0000}"/>
    <cellStyle name="Mult No x 2 2 12 2 2" xfId="11188" xr:uid="{00000000-0005-0000-0000-0000A52B0000}"/>
    <cellStyle name="Mult No x 2 2 13" xfId="11189" xr:uid="{00000000-0005-0000-0000-0000A62B0000}"/>
    <cellStyle name="Mult No x 2 2 13 2" xfId="11190" xr:uid="{00000000-0005-0000-0000-0000A72B0000}"/>
    <cellStyle name="Mult No x 2 2 13 2 2" xfId="11191" xr:uid="{00000000-0005-0000-0000-0000A82B0000}"/>
    <cellStyle name="Mult No x 2 2 14" xfId="11192" xr:uid="{00000000-0005-0000-0000-0000A92B0000}"/>
    <cellStyle name="Mult No x 2 2 14 2" xfId="11193" xr:uid="{00000000-0005-0000-0000-0000AA2B0000}"/>
    <cellStyle name="Mult No x 2 2 14 2 2" xfId="11194" xr:uid="{00000000-0005-0000-0000-0000AB2B0000}"/>
    <cellStyle name="Mult No x 2 2 15" xfId="11195" xr:uid="{00000000-0005-0000-0000-0000AC2B0000}"/>
    <cellStyle name="Mult No x 2 2 15 2" xfId="11196" xr:uid="{00000000-0005-0000-0000-0000AD2B0000}"/>
    <cellStyle name="Mult No x 2 2 2" xfId="11197" xr:uid="{00000000-0005-0000-0000-0000AE2B0000}"/>
    <cellStyle name="Mult No x 2 2 2 2" xfId="11198" xr:uid="{00000000-0005-0000-0000-0000AF2B0000}"/>
    <cellStyle name="Mult No x 2 2 2 2 2" xfId="11199" xr:uid="{00000000-0005-0000-0000-0000B02B0000}"/>
    <cellStyle name="Mult No x 2 2 3" xfId="11200" xr:uid="{00000000-0005-0000-0000-0000B12B0000}"/>
    <cellStyle name="Mult No x 2 2 3 2" xfId="11201" xr:uid="{00000000-0005-0000-0000-0000B22B0000}"/>
    <cellStyle name="Mult No x 2 2 3 2 2" xfId="11202" xr:uid="{00000000-0005-0000-0000-0000B32B0000}"/>
    <cellStyle name="Mult No x 2 2 4" xfId="11203" xr:uid="{00000000-0005-0000-0000-0000B42B0000}"/>
    <cellStyle name="Mult No x 2 2 4 2" xfId="11204" xr:uid="{00000000-0005-0000-0000-0000B52B0000}"/>
    <cellStyle name="Mult No x 2 2 4 2 2" xfId="11205" xr:uid="{00000000-0005-0000-0000-0000B62B0000}"/>
    <cellStyle name="Mult No x 2 2 5" xfId="11206" xr:uid="{00000000-0005-0000-0000-0000B72B0000}"/>
    <cellStyle name="Mult No x 2 2 5 2" xfId="11207" xr:uid="{00000000-0005-0000-0000-0000B82B0000}"/>
    <cellStyle name="Mult No x 2 2 5 2 2" xfId="11208" xr:uid="{00000000-0005-0000-0000-0000B92B0000}"/>
    <cellStyle name="Mult No x 2 2 6" xfId="11209" xr:uid="{00000000-0005-0000-0000-0000BA2B0000}"/>
    <cellStyle name="Mult No x 2 2 6 2" xfId="11210" xr:uid="{00000000-0005-0000-0000-0000BB2B0000}"/>
    <cellStyle name="Mult No x 2 2 6 2 2" xfId="11211" xr:uid="{00000000-0005-0000-0000-0000BC2B0000}"/>
    <cellStyle name="Mult No x 2 2 7" xfId="11212" xr:uid="{00000000-0005-0000-0000-0000BD2B0000}"/>
    <cellStyle name="Mult No x 2 2 7 2" xfId="11213" xr:uid="{00000000-0005-0000-0000-0000BE2B0000}"/>
    <cellStyle name="Mult No x 2 2 7 2 2" xfId="11214" xr:uid="{00000000-0005-0000-0000-0000BF2B0000}"/>
    <cellStyle name="Mult No x 2 2 8" xfId="11215" xr:uid="{00000000-0005-0000-0000-0000C02B0000}"/>
    <cellStyle name="Mult No x 2 2 8 2" xfId="11216" xr:uid="{00000000-0005-0000-0000-0000C12B0000}"/>
    <cellStyle name="Mult No x 2 2 8 2 2" xfId="11217" xr:uid="{00000000-0005-0000-0000-0000C22B0000}"/>
    <cellStyle name="Mult No x 2 2 9" xfId="11218" xr:uid="{00000000-0005-0000-0000-0000C32B0000}"/>
    <cellStyle name="Mult No x 2 2 9 2" xfId="11219" xr:uid="{00000000-0005-0000-0000-0000C42B0000}"/>
    <cellStyle name="Mult No x 2 2 9 2 2" xfId="11220" xr:uid="{00000000-0005-0000-0000-0000C52B0000}"/>
    <cellStyle name="Mult No x 2 3" xfId="11221" xr:uid="{00000000-0005-0000-0000-0000C62B0000}"/>
    <cellStyle name="Mult No x 2 3 2" xfId="11222" xr:uid="{00000000-0005-0000-0000-0000C72B0000}"/>
    <cellStyle name="Mult No x 2 3 2 2" xfId="11223" xr:uid="{00000000-0005-0000-0000-0000C82B0000}"/>
    <cellStyle name="Mult No x 2 4" xfId="11224" xr:uid="{00000000-0005-0000-0000-0000C92B0000}"/>
    <cellStyle name="Mult No x 2 4 2" xfId="11225" xr:uid="{00000000-0005-0000-0000-0000CA2B0000}"/>
    <cellStyle name="Mult No x 2 4 2 2" xfId="11226" xr:uid="{00000000-0005-0000-0000-0000CB2B0000}"/>
    <cellStyle name="Mult No x 3" xfId="11227" xr:uid="{00000000-0005-0000-0000-0000CC2B0000}"/>
    <cellStyle name="Mult No x 3 10" xfId="11228" xr:uid="{00000000-0005-0000-0000-0000CD2B0000}"/>
    <cellStyle name="Mult No x 3 10 2" xfId="11229" xr:uid="{00000000-0005-0000-0000-0000CE2B0000}"/>
    <cellStyle name="Mult No x 3 10 2 2" xfId="11230" xr:uid="{00000000-0005-0000-0000-0000CF2B0000}"/>
    <cellStyle name="Mult No x 3 2" xfId="11231" xr:uid="{00000000-0005-0000-0000-0000D02B0000}"/>
    <cellStyle name="Mult No x 3 2 2" xfId="11232" xr:uid="{00000000-0005-0000-0000-0000D12B0000}"/>
    <cellStyle name="Mult No x 3 2 2 2" xfId="11233" xr:uid="{00000000-0005-0000-0000-0000D22B0000}"/>
    <cellStyle name="Mult No x 3 2 2 2 2" xfId="11234" xr:uid="{00000000-0005-0000-0000-0000D32B0000}"/>
    <cellStyle name="Mult No x 3 2 2 2 2 2" xfId="11235" xr:uid="{00000000-0005-0000-0000-0000D42B0000}"/>
    <cellStyle name="Mult No x 3 2 3" xfId="11236" xr:uid="{00000000-0005-0000-0000-0000D52B0000}"/>
    <cellStyle name="Mult No x 3 2 3 2" xfId="11237" xr:uid="{00000000-0005-0000-0000-0000D62B0000}"/>
    <cellStyle name="Mult No x 3 2 3 2 2" xfId="11238" xr:uid="{00000000-0005-0000-0000-0000D72B0000}"/>
    <cellStyle name="Mult No x 3 3" xfId="11239" xr:uid="{00000000-0005-0000-0000-0000D82B0000}"/>
    <cellStyle name="Mult No x 3 3 2" xfId="11240" xr:uid="{00000000-0005-0000-0000-0000D92B0000}"/>
    <cellStyle name="Mult No x 3 3 2 2" xfId="11241" xr:uid="{00000000-0005-0000-0000-0000DA2B0000}"/>
    <cellStyle name="Mult No x 3 3 2 2 2" xfId="11242" xr:uid="{00000000-0005-0000-0000-0000DB2B0000}"/>
    <cellStyle name="Mult No x 3 3 2 2 2 2" xfId="11243" xr:uid="{00000000-0005-0000-0000-0000DC2B0000}"/>
    <cellStyle name="Mult No x 3 3 3" xfId="11244" xr:uid="{00000000-0005-0000-0000-0000DD2B0000}"/>
    <cellStyle name="Mult No x 3 3 3 2" xfId="11245" xr:uid="{00000000-0005-0000-0000-0000DE2B0000}"/>
    <cellStyle name="Mult No x 3 3 3 2 2" xfId="11246" xr:uid="{00000000-0005-0000-0000-0000DF2B0000}"/>
    <cellStyle name="Mult No x 3 4" xfId="11247" xr:uid="{00000000-0005-0000-0000-0000E02B0000}"/>
    <cellStyle name="Mult No x 3 4 2" xfId="11248" xr:uid="{00000000-0005-0000-0000-0000E12B0000}"/>
    <cellStyle name="Mult No x 3 4 2 2" xfId="11249" xr:uid="{00000000-0005-0000-0000-0000E22B0000}"/>
    <cellStyle name="Mult No x 3 4 2 2 2" xfId="11250" xr:uid="{00000000-0005-0000-0000-0000E32B0000}"/>
    <cellStyle name="Mult No x 3 5" xfId="11251" xr:uid="{00000000-0005-0000-0000-0000E42B0000}"/>
    <cellStyle name="Mult No x 3 5 2" xfId="11252" xr:uid="{00000000-0005-0000-0000-0000E52B0000}"/>
    <cellStyle name="Mult No x 3 5 2 2" xfId="11253" xr:uid="{00000000-0005-0000-0000-0000E62B0000}"/>
    <cellStyle name="Mult No x 3 6" xfId="11254" xr:uid="{00000000-0005-0000-0000-0000E72B0000}"/>
    <cellStyle name="Mult No x 3 6 2" xfId="11255" xr:uid="{00000000-0005-0000-0000-0000E82B0000}"/>
    <cellStyle name="Mult No x 3 6 2 2" xfId="11256" xr:uid="{00000000-0005-0000-0000-0000E92B0000}"/>
    <cellStyle name="Mult No x 3 7" xfId="11257" xr:uid="{00000000-0005-0000-0000-0000EA2B0000}"/>
    <cellStyle name="Mult No x 3 7 2" xfId="11258" xr:uid="{00000000-0005-0000-0000-0000EB2B0000}"/>
    <cellStyle name="Mult No x 3 7 2 2" xfId="11259" xr:uid="{00000000-0005-0000-0000-0000EC2B0000}"/>
    <cellStyle name="Mult No x 3 8" xfId="11260" xr:uid="{00000000-0005-0000-0000-0000ED2B0000}"/>
    <cellStyle name="Mult No x 3 8 2" xfId="11261" xr:uid="{00000000-0005-0000-0000-0000EE2B0000}"/>
    <cellStyle name="Mult No x 3 8 2 2" xfId="11262" xr:uid="{00000000-0005-0000-0000-0000EF2B0000}"/>
    <cellStyle name="Mult No x 3 9" xfId="11263" xr:uid="{00000000-0005-0000-0000-0000F02B0000}"/>
    <cellStyle name="Mult No x 3 9 2" xfId="11264" xr:uid="{00000000-0005-0000-0000-0000F12B0000}"/>
    <cellStyle name="Mult No x 3 9 2 2" xfId="11265" xr:uid="{00000000-0005-0000-0000-0000F22B0000}"/>
    <cellStyle name="Mult No x 4" xfId="11266" xr:uid="{00000000-0005-0000-0000-0000F32B0000}"/>
    <cellStyle name="Mult No x 4 10" xfId="11267" xr:uid="{00000000-0005-0000-0000-0000F42B0000}"/>
    <cellStyle name="Mult No x 4 10 2" xfId="11268" xr:uid="{00000000-0005-0000-0000-0000F52B0000}"/>
    <cellStyle name="Mult No x 4 10 2 2" xfId="11269" xr:uid="{00000000-0005-0000-0000-0000F62B0000}"/>
    <cellStyle name="Mult No x 4 11" xfId="11270" xr:uid="{00000000-0005-0000-0000-0000F72B0000}"/>
    <cellStyle name="Mult No x 4 11 2" xfId="11271" xr:uid="{00000000-0005-0000-0000-0000F82B0000}"/>
    <cellStyle name="Mult No x 4 11 2 2" xfId="11272" xr:uid="{00000000-0005-0000-0000-0000F92B0000}"/>
    <cellStyle name="Mult No x 4 12" xfId="11273" xr:uid="{00000000-0005-0000-0000-0000FA2B0000}"/>
    <cellStyle name="Mult No x 4 12 2" xfId="11274" xr:uid="{00000000-0005-0000-0000-0000FB2B0000}"/>
    <cellStyle name="Mult No x 4 12 2 2" xfId="11275" xr:uid="{00000000-0005-0000-0000-0000FC2B0000}"/>
    <cellStyle name="Mult No x 4 13" xfId="11276" xr:uid="{00000000-0005-0000-0000-0000FD2B0000}"/>
    <cellStyle name="Mult No x 4 13 2" xfId="11277" xr:uid="{00000000-0005-0000-0000-0000FE2B0000}"/>
    <cellStyle name="Mult No x 4 13 2 2" xfId="11278" xr:uid="{00000000-0005-0000-0000-0000FF2B0000}"/>
    <cellStyle name="Mult No x 4 14" xfId="11279" xr:uid="{00000000-0005-0000-0000-0000002C0000}"/>
    <cellStyle name="Mult No x 4 14 2" xfId="11280" xr:uid="{00000000-0005-0000-0000-0000012C0000}"/>
    <cellStyle name="Mult No x 4 14 2 2" xfId="11281" xr:uid="{00000000-0005-0000-0000-0000022C0000}"/>
    <cellStyle name="Mult No x 4 2" xfId="11282" xr:uid="{00000000-0005-0000-0000-0000032C0000}"/>
    <cellStyle name="Mult No x 4 2 2" xfId="11283" xr:uid="{00000000-0005-0000-0000-0000042C0000}"/>
    <cellStyle name="Mult No x 4 2 2 2" xfId="11284" xr:uid="{00000000-0005-0000-0000-0000052C0000}"/>
    <cellStyle name="Mult No x 4 2 2 2 2" xfId="11285" xr:uid="{00000000-0005-0000-0000-0000062C0000}"/>
    <cellStyle name="Mult No x 4 2 2 2 2 2" xfId="11286" xr:uid="{00000000-0005-0000-0000-0000072C0000}"/>
    <cellStyle name="Mult No x 4 2 3" xfId="11287" xr:uid="{00000000-0005-0000-0000-0000082C0000}"/>
    <cellStyle name="Mult No x 4 2 3 2" xfId="11288" xr:uid="{00000000-0005-0000-0000-0000092C0000}"/>
    <cellStyle name="Mult No x 4 2 3 2 2" xfId="11289" xr:uid="{00000000-0005-0000-0000-00000A2C0000}"/>
    <cellStyle name="Mult No x 4 3" xfId="11290" xr:uid="{00000000-0005-0000-0000-00000B2C0000}"/>
    <cellStyle name="Mult No x 4 3 2" xfId="11291" xr:uid="{00000000-0005-0000-0000-00000C2C0000}"/>
    <cellStyle name="Mult No x 4 3 2 2" xfId="11292" xr:uid="{00000000-0005-0000-0000-00000D2C0000}"/>
    <cellStyle name="Mult No x 4 3 2 2 2" xfId="11293" xr:uid="{00000000-0005-0000-0000-00000E2C0000}"/>
    <cellStyle name="Mult No x 4 3 2 2 2 2" xfId="11294" xr:uid="{00000000-0005-0000-0000-00000F2C0000}"/>
    <cellStyle name="Mult No x 4 3 3" xfId="11295" xr:uid="{00000000-0005-0000-0000-0000102C0000}"/>
    <cellStyle name="Mult No x 4 3 3 2" xfId="11296" xr:uid="{00000000-0005-0000-0000-0000112C0000}"/>
    <cellStyle name="Mult No x 4 3 3 2 2" xfId="11297" xr:uid="{00000000-0005-0000-0000-0000122C0000}"/>
    <cellStyle name="Mult No x 4 4" xfId="11298" xr:uid="{00000000-0005-0000-0000-0000132C0000}"/>
    <cellStyle name="Mult No x 4 4 2" xfId="11299" xr:uid="{00000000-0005-0000-0000-0000142C0000}"/>
    <cellStyle name="Mult No x 4 4 2 2" xfId="11300" xr:uid="{00000000-0005-0000-0000-0000152C0000}"/>
    <cellStyle name="Mult No x 4 4 2 2 2" xfId="11301" xr:uid="{00000000-0005-0000-0000-0000162C0000}"/>
    <cellStyle name="Mult No x 4 5" xfId="11302" xr:uid="{00000000-0005-0000-0000-0000172C0000}"/>
    <cellStyle name="Mult No x 4 5 2" xfId="11303" xr:uid="{00000000-0005-0000-0000-0000182C0000}"/>
    <cellStyle name="Mult No x 4 5 2 2" xfId="11304" xr:uid="{00000000-0005-0000-0000-0000192C0000}"/>
    <cellStyle name="Mult No x 4 6" xfId="11305" xr:uid="{00000000-0005-0000-0000-00001A2C0000}"/>
    <cellStyle name="Mult No x 4 6 2" xfId="11306" xr:uid="{00000000-0005-0000-0000-00001B2C0000}"/>
    <cellStyle name="Mult No x 4 6 2 2" xfId="11307" xr:uid="{00000000-0005-0000-0000-00001C2C0000}"/>
    <cellStyle name="Mult No x 4 7" xfId="11308" xr:uid="{00000000-0005-0000-0000-00001D2C0000}"/>
    <cellStyle name="Mult No x 4 7 2" xfId="11309" xr:uid="{00000000-0005-0000-0000-00001E2C0000}"/>
    <cellStyle name="Mult No x 4 7 2 2" xfId="11310" xr:uid="{00000000-0005-0000-0000-00001F2C0000}"/>
    <cellStyle name="Mult No x 4 8" xfId="11311" xr:uid="{00000000-0005-0000-0000-0000202C0000}"/>
    <cellStyle name="Mult No x 4 8 2" xfId="11312" xr:uid="{00000000-0005-0000-0000-0000212C0000}"/>
    <cellStyle name="Mult No x 4 8 2 2" xfId="11313" xr:uid="{00000000-0005-0000-0000-0000222C0000}"/>
    <cellStyle name="Mult No x 4 9" xfId="11314" xr:uid="{00000000-0005-0000-0000-0000232C0000}"/>
    <cellStyle name="Mult No x 4 9 2" xfId="11315" xr:uid="{00000000-0005-0000-0000-0000242C0000}"/>
    <cellStyle name="Mult No x 4 9 2 2" xfId="11316" xr:uid="{00000000-0005-0000-0000-0000252C0000}"/>
    <cellStyle name="Mult No x 5" xfId="11317" xr:uid="{00000000-0005-0000-0000-0000262C0000}"/>
    <cellStyle name="Mult No x 5 10" xfId="11318" xr:uid="{00000000-0005-0000-0000-0000272C0000}"/>
    <cellStyle name="Mult No x 5 10 2" xfId="11319" xr:uid="{00000000-0005-0000-0000-0000282C0000}"/>
    <cellStyle name="Mult No x 5 10 2 2" xfId="11320" xr:uid="{00000000-0005-0000-0000-0000292C0000}"/>
    <cellStyle name="Mult No x 5 11" xfId="11321" xr:uid="{00000000-0005-0000-0000-00002A2C0000}"/>
    <cellStyle name="Mult No x 5 11 2" xfId="11322" xr:uid="{00000000-0005-0000-0000-00002B2C0000}"/>
    <cellStyle name="Mult No x 5 11 2 2" xfId="11323" xr:uid="{00000000-0005-0000-0000-00002C2C0000}"/>
    <cellStyle name="Mult No x 5 12" xfId="11324" xr:uid="{00000000-0005-0000-0000-00002D2C0000}"/>
    <cellStyle name="Mult No x 5 12 2" xfId="11325" xr:uid="{00000000-0005-0000-0000-00002E2C0000}"/>
    <cellStyle name="Mult No x 5 12 2 2" xfId="11326" xr:uid="{00000000-0005-0000-0000-00002F2C0000}"/>
    <cellStyle name="Mult No x 5 13" xfId="11327" xr:uid="{00000000-0005-0000-0000-0000302C0000}"/>
    <cellStyle name="Mult No x 5 13 2" xfId="11328" xr:uid="{00000000-0005-0000-0000-0000312C0000}"/>
    <cellStyle name="Mult No x 5 13 2 2" xfId="11329" xr:uid="{00000000-0005-0000-0000-0000322C0000}"/>
    <cellStyle name="Mult No x 5 14" xfId="11330" xr:uid="{00000000-0005-0000-0000-0000332C0000}"/>
    <cellStyle name="Mult No x 5 14 2" xfId="11331" xr:uid="{00000000-0005-0000-0000-0000342C0000}"/>
    <cellStyle name="Mult No x 5 14 2 2" xfId="11332" xr:uid="{00000000-0005-0000-0000-0000352C0000}"/>
    <cellStyle name="Mult No x 5 2" xfId="11333" xr:uid="{00000000-0005-0000-0000-0000362C0000}"/>
    <cellStyle name="Mult No x 5 2 2" xfId="11334" xr:uid="{00000000-0005-0000-0000-0000372C0000}"/>
    <cellStyle name="Mult No x 5 2 2 2" xfId="11335" xr:uid="{00000000-0005-0000-0000-0000382C0000}"/>
    <cellStyle name="Mult No x 5 3" xfId="11336" xr:uid="{00000000-0005-0000-0000-0000392C0000}"/>
    <cellStyle name="Mult No x 5 3 2" xfId="11337" xr:uid="{00000000-0005-0000-0000-00003A2C0000}"/>
    <cellStyle name="Mult No x 5 3 2 2" xfId="11338" xr:uid="{00000000-0005-0000-0000-00003B2C0000}"/>
    <cellStyle name="Mult No x 5 4" xfId="11339" xr:uid="{00000000-0005-0000-0000-00003C2C0000}"/>
    <cellStyle name="Mult No x 5 4 2" xfId="11340" xr:uid="{00000000-0005-0000-0000-00003D2C0000}"/>
    <cellStyle name="Mult No x 5 4 2 2" xfId="11341" xr:uid="{00000000-0005-0000-0000-00003E2C0000}"/>
    <cellStyle name="Mult No x 5 5" xfId="11342" xr:uid="{00000000-0005-0000-0000-00003F2C0000}"/>
    <cellStyle name="Mult No x 5 5 2" xfId="11343" xr:uid="{00000000-0005-0000-0000-0000402C0000}"/>
    <cellStyle name="Mult No x 5 5 2 2" xfId="11344" xr:uid="{00000000-0005-0000-0000-0000412C0000}"/>
    <cellStyle name="Mult No x 5 6" xfId="11345" xr:uid="{00000000-0005-0000-0000-0000422C0000}"/>
    <cellStyle name="Mult No x 5 6 2" xfId="11346" xr:uid="{00000000-0005-0000-0000-0000432C0000}"/>
    <cellStyle name="Mult No x 5 6 2 2" xfId="11347" xr:uid="{00000000-0005-0000-0000-0000442C0000}"/>
    <cellStyle name="Mult No x 5 7" xfId="11348" xr:uid="{00000000-0005-0000-0000-0000452C0000}"/>
    <cellStyle name="Mult No x 5 7 2" xfId="11349" xr:uid="{00000000-0005-0000-0000-0000462C0000}"/>
    <cellStyle name="Mult No x 5 7 2 2" xfId="11350" xr:uid="{00000000-0005-0000-0000-0000472C0000}"/>
    <cellStyle name="Mult No x 5 8" xfId="11351" xr:uid="{00000000-0005-0000-0000-0000482C0000}"/>
    <cellStyle name="Mult No x 5 8 2" xfId="11352" xr:uid="{00000000-0005-0000-0000-0000492C0000}"/>
    <cellStyle name="Mult No x 5 8 2 2" xfId="11353" xr:uid="{00000000-0005-0000-0000-00004A2C0000}"/>
    <cellStyle name="Mult No x 5 9" xfId="11354" xr:uid="{00000000-0005-0000-0000-00004B2C0000}"/>
    <cellStyle name="Mult No x 5 9 2" xfId="11355" xr:uid="{00000000-0005-0000-0000-00004C2C0000}"/>
    <cellStyle name="Mult No x 5 9 2 2" xfId="11356" xr:uid="{00000000-0005-0000-0000-00004D2C0000}"/>
    <cellStyle name="Mult No x 6" xfId="11357" xr:uid="{00000000-0005-0000-0000-00004E2C0000}"/>
    <cellStyle name="Mult No x 6 2" xfId="11358" xr:uid="{00000000-0005-0000-0000-00004F2C0000}"/>
    <cellStyle name="Mult No x 6 2 2" xfId="11359" xr:uid="{00000000-0005-0000-0000-0000502C0000}"/>
    <cellStyle name="Mult No x 7" xfId="11360" xr:uid="{00000000-0005-0000-0000-0000512C0000}"/>
    <cellStyle name="Mult No x 7 2" xfId="11361" xr:uid="{00000000-0005-0000-0000-0000522C0000}"/>
    <cellStyle name="Mult No x 7 2 2" xfId="11362" xr:uid="{00000000-0005-0000-0000-0000532C0000}"/>
    <cellStyle name="Mult No x 8" xfId="11363" xr:uid="{00000000-0005-0000-0000-0000542C0000}"/>
    <cellStyle name="Mult No x 8 2" xfId="11364" xr:uid="{00000000-0005-0000-0000-0000552C0000}"/>
    <cellStyle name="Mult No x 8 2 2" xfId="11365" xr:uid="{00000000-0005-0000-0000-0000562C0000}"/>
    <cellStyle name="Mult No x 9" xfId="11366" xr:uid="{00000000-0005-0000-0000-0000572C0000}"/>
    <cellStyle name="Mult No x 9 2" xfId="11367" xr:uid="{00000000-0005-0000-0000-0000582C0000}"/>
    <cellStyle name="Mult No x 9 2 2" xfId="11368" xr:uid="{00000000-0005-0000-0000-0000592C0000}"/>
    <cellStyle name="Mult With x" xfId="11369" xr:uid="{00000000-0005-0000-0000-00005A2C0000}"/>
    <cellStyle name="Mult With x 10" xfId="11370" xr:uid="{00000000-0005-0000-0000-00005B2C0000}"/>
    <cellStyle name="Mult With x 10 2" xfId="11371" xr:uid="{00000000-0005-0000-0000-00005C2C0000}"/>
    <cellStyle name="Mult With x 10 2 2" xfId="11372" xr:uid="{00000000-0005-0000-0000-00005D2C0000}"/>
    <cellStyle name="Mult With x 11" xfId="11373" xr:uid="{00000000-0005-0000-0000-00005E2C0000}"/>
    <cellStyle name="Mult With x 11 2" xfId="11374" xr:uid="{00000000-0005-0000-0000-00005F2C0000}"/>
    <cellStyle name="Mult With x 11 2 2" xfId="11375" xr:uid="{00000000-0005-0000-0000-0000602C0000}"/>
    <cellStyle name="Mult With x 2" xfId="11376" xr:uid="{00000000-0005-0000-0000-0000612C0000}"/>
    <cellStyle name="Mult With x 2 2" xfId="11377" xr:uid="{00000000-0005-0000-0000-0000622C0000}"/>
    <cellStyle name="Mult With x 2 2 10" xfId="11378" xr:uid="{00000000-0005-0000-0000-0000632C0000}"/>
    <cellStyle name="Mult With x 2 2 10 2" xfId="11379" xr:uid="{00000000-0005-0000-0000-0000642C0000}"/>
    <cellStyle name="Mult With x 2 2 10 2 2" xfId="11380" xr:uid="{00000000-0005-0000-0000-0000652C0000}"/>
    <cellStyle name="Mult With x 2 2 11" xfId="11381" xr:uid="{00000000-0005-0000-0000-0000662C0000}"/>
    <cellStyle name="Mult With x 2 2 11 2" xfId="11382" xr:uid="{00000000-0005-0000-0000-0000672C0000}"/>
    <cellStyle name="Mult With x 2 2 11 2 2" xfId="11383" xr:uid="{00000000-0005-0000-0000-0000682C0000}"/>
    <cellStyle name="Mult With x 2 2 12" xfId="11384" xr:uid="{00000000-0005-0000-0000-0000692C0000}"/>
    <cellStyle name="Mult With x 2 2 12 2" xfId="11385" xr:uid="{00000000-0005-0000-0000-00006A2C0000}"/>
    <cellStyle name="Mult With x 2 2 12 2 2" xfId="11386" xr:uid="{00000000-0005-0000-0000-00006B2C0000}"/>
    <cellStyle name="Mult With x 2 2 13" xfId="11387" xr:uid="{00000000-0005-0000-0000-00006C2C0000}"/>
    <cellStyle name="Mult With x 2 2 13 2" xfId="11388" xr:uid="{00000000-0005-0000-0000-00006D2C0000}"/>
    <cellStyle name="Mult With x 2 2 13 2 2" xfId="11389" xr:uid="{00000000-0005-0000-0000-00006E2C0000}"/>
    <cellStyle name="Mult With x 2 2 14" xfId="11390" xr:uid="{00000000-0005-0000-0000-00006F2C0000}"/>
    <cellStyle name="Mult With x 2 2 14 2" xfId="11391" xr:uid="{00000000-0005-0000-0000-0000702C0000}"/>
    <cellStyle name="Mult With x 2 2 14 2 2" xfId="11392" xr:uid="{00000000-0005-0000-0000-0000712C0000}"/>
    <cellStyle name="Mult With x 2 2 15" xfId="11393" xr:uid="{00000000-0005-0000-0000-0000722C0000}"/>
    <cellStyle name="Mult With x 2 2 15 2" xfId="11394" xr:uid="{00000000-0005-0000-0000-0000732C0000}"/>
    <cellStyle name="Mult With x 2 2 2" xfId="11395" xr:uid="{00000000-0005-0000-0000-0000742C0000}"/>
    <cellStyle name="Mult With x 2 2 2 2" xfId="11396" xr:uid="{00000000-0005-0000-0000-0000752C0000}"/>
    <cellStyle name="Mult With x 2 2 2 2 2" xfId="11397" xr:uid="{00000000-0005-0000-0000-0000762C0000}"/>
    <cellStyle name="Mult With x 2 2 3" xfId="11398" xr:uid="{00000000-0005-0000-0000-0000772C0000}"/>
    <cellStyle name="Mult With x 2 2 3 2" xfId="11399" xr:uid="{00000000-0005-0000-0000-0000782C0000}"/>
    <cellStyle name="Mult With x 2 2 3 2 2" xfId="11400" xr:uid="{00000000-0005-0000-0000-0000792C0000}"/>
    <cellStyle name="Mult With x 2 2 4" xfId="11401" xr:uid="{00000000-0005-0000-0000-00007A2C0000}"/>
    <cellStyle name="Mult With x 2 2 4 2" xfId="11402" xr:uid="{00000000-0005-0000-0000-00007B2C0000}"/>
    <cellStyle name="Mult With x 2 2 4 2 2" xfId="11403" xr:uid="{00000000-0005-0000-0000-00007C2C0000}"/>
    <cellStyle name="Mult With x 2 2 5" xfId="11404" xr:uid="{00000000-0005-0000-0000-00007D2C0000}"/>
    <cellStyle name="Mult With x 2 2 5 2" xfId="11405" xr:uid="{00000000-0005-0000-0000-00007E2C0000}"/>
    <cellStyle name="Mult With x 2 2 5 2 2" xfId="11406" xr:uid="{00000000-0005-0000-0000-00007F2C0000}"/>
    <cellStyle name="Mult With x 2 2 6" xfId="11407" xr:uid="{00000000-0005-0000-0000-0000802C0000}"/>
    <cellStyle name="Mult With x 2 2 6 2" xfId="11408" xr:uid="{00000000-0005-0000-0000-0000812C0000}"/>
    <cellStyle name="Mult With x 2 2 6 2 2" xfId="11409" xr:uid="{00000000-0005-0000-0000-0000822C0000}"/>
    <cellStyle name="Mult With x 2 2 7" xfId="11410" xr:uid="{00000000-0005-0000-0000-0000832C0000}"/>
    <cellStyle name="Mult With x 2 2 7 2" xfId="11411" xr:uid="{00000000-0005-0000-0000-0000842C0000}"/>
    <cellStyle name="Mult With x 2 2 7 2 2" xfId="11412" xr:uid="{00000000-0005-0000-0000-0000852C0000}"/>
    <cellStyle name="Mult With x 2 2 8" xfId="11413" xr:uid="{00000000-0005-0000-0000-0000862C0000}"/>
    <cellStyle name="Mult With x 2 2 8 2" xfId="11414" xr:uid="{00000000-0005-0000-0000-0000872C0000}"/>
    <cellStyle name="Mult With x 2 2 8 2 2" xfId="11415" xr:uid="{00000000-0005-0000-0000-0000882C0000}"/>
    <cellStyle name="Mult With x 2 2 9" xfId="11416" xr:uid="{00000000-0005-0000-0000-0000892C0000}"/>
    <cellStyle name="Mult With x 2 2 9 2" xfId="11417" xr:uid="{00000000-0005-0000-0000-00008A2C0000}"/>
    <cellStyle name="Mult With x 2 2 9 2 2" xfId="11418" xr:uid="{00000000-0005-0000-0000-00008B2C0000}"/>
    <cellStyle name="Mult With x 2 3" xfId="11419" xr:uid="{00000000-0005-0000-0000-00008C2C0000}"/>
    <cellStyle name="Mult With x 2 3 2" xfId="11420" xr:uid="{00000000-0005-0000-0000-00008D2C0000}"/>
    <cellStyle name="Mult With x 2 3 2 2" xfId="11421" xr:uid="{00000000-0005-0000-0000-00008E2C0000}"/>
    <cellStyle name="Mult With x 2 4" xfId="11422" xr:uid="{00000000-0005-0000-0000-00008F2C0000}"/>
    <cellStyle name="Mult With x 2 4 2" xfId="11423" xr:uid="{00000000-0005-0000-0000-0000902C0000}"/>
    <cellStyle name="Mult With x 2 4 2 2" xfId="11424" xr:uid="{00000000-0005-0000-0000-0000912C0000}"/>
    <cellStyle name="Mult With x 3" xfId="11425" xr:uid="{00000000-0005-0000-0000-0000922C0000}"/>
    <cellStyle name="Mult With x 3 10" xfId="11426" xr:uid="{00000000-0005-0000-0000-0000932C0000}"/>
    <cellStyle name="Mult With x 3 10 2" xfId="11427" xr:uid="{00000000-0005-0000-0000-0000942C0000}"/>
    <cellStyle name="Mult With x 3 10 2 2" xfId="11428" xr:uid="{00000000-0005-0000-0000-0000952C0000}"/>
    <cellStyle name="Mult With x 3 2" xfId="11429" xr:uid="{00000000-0005-0000-0000-0000962C0000}"/>
    <cellStyle name="Mult With x 3 2 2" xfId="11430" xr:uid="{00000000-0005-0000-0000-0000972C0000}"/>
    <cellStyle name="Mult With x 3 2 2 2" xfId="11431" xr:uid="{00000000-0005-0000-0000-0000982C0000}"/>
    <cellStyle name="Mult With x 3 2 2 2 2" xfId="11432" xr:uid="{00000000-0005-0000-0000-0000992C0000}"/>
    <cellStyle name="Mult With x 3 2 2 2 2 2" xfId="11433" xr:uid="{00000000-0005-0000-0000-00009A2C0000}"/>
    <cellStyle name="Mult With x 3 2 3" xfId="11434" xr:uid="{00000000-0005-0000-0000-00009B2C0000}"/>
    <cellStyle name="Mult With x 3 2 3 2" xfId="11435" xr:uid="{00000000-0005-0000-0000-00009C2C0000}"/>
    <cellStyle name="Mult With x 3 2 3 2 2" xfId="11436" xr:uid="{00000000-0005-0000-0000-00009D2C0000}"/>
    <cellStyle name="Mult With x 3 3" xfId="11437" xr:uid="{00000000-0005-0000-0000-00009E2C0000}"/>
    <cellStyle name="Mult With x 3 3 2" xfId="11438" xr:uid="{00000000-0005-0000-0000-00009F2C0000}"/>
    <cellStyle name="Mult With x 3 3 2 2" xfId="11439" xr:uid="{00000000-0005-0000-0000-0000A02C0000}"/>
    <cellStyle name="Mult With x 3 3 2 2 2" xfId="11440" xr:uid="{00000000-0005-0000-0000-0000A12C0000}"/>
    <cellStyle name="Mult With x 3 3 2 2 2 2" xfId="11441" xr:uid="{00000000-0005-0000-0000-0000A22C0000}"/>
    <cellStyle name="Mult With x 3 3 3" xfId="11442" xr:uid="{00000000-0005-0000-0000-0000A32C0000}"/>
    <cellStyle name="Mult With x 3 3 3 2" xfId="11443" xr:uid="{00000000-0005-0000-0000-0000A42C0000}"/>
    <cellStyle name="Mult With x 3 3 3 2 2" xfId="11444" xr:uid="{00000000-0005-0000-0000-0000A52C0000}"/>
    <cellStyle name="Mult With x 3 4" xfId="11445" xr:uid="{00000000-0005-0000-0000-0000A62C0000}"/>
    <cellStyle name="Mult With x 3 4 2" xfId="11446" xr:uid="{00000000-0005-0000-0000-0000A72C0000}"/>
    <cellStyle name="Mult With x 3 4 2 2" xfId="11447" xr:uid="{00000000-0005-0000-0000-0000A82C0000}"/>
    <cellStyle name="Mult With x 3 4 2 2 2" xfId="11448" xr:uid="{00000000-0005-0000-0000-0000A92C0000}"/>
    <cellStyle name="Mult With x 3 5" xfId="11449" xr:uid="{00000000-0005-0000-0000-0000AA2C0000}"/>
    <cellStyle name="Mult With x 3 5 2" xfId="11450" xr:uid="{00000000-0005-0000-0000-0000AB2C0000}"/>
    <cellStyle name="Mult With x 3 5 2 2" xfId="11451" xr:uid="{00000000-0005-0000-0000-0000AC2C0000}"/>
    <cellStyle name="Mult With x 3 6" xfId="11452" xr:uid="{00000000-0005-0000-0000-0000AD2C0000}"/>
    <cellStyle name="Mult With x 3 6 2" xfId="11453" xr:uid="{00000000-0005-0000-0000-0000AE2C0000}"/>
    <cellStyle name="Mult With x 3 6 2 2" xfId="11454" xr:uid="{00000000-0005-0000-0000-0000AF2C0000}"/>
    <cellStyle name="Mult With x 3 7" xfId="11455" xr:uid="{00000000-0005-0000-0000-0000B02C0000}"/>
    <cellStyle name="Mult With x 3 7 2" xfId="11456" xr:uid="{00000000-0005-0000-0000-0000B12C0000}"/>
    <cellStyle name="Mult With x 3 7 2 2" xfId="11457" xr:uid="{00000000-0005-0000-0000-0000B22C0000}"/>
    <cellStyle name="Mult With x 3 8" xfId="11458" xr:uid="{00000000-0005-0000-0000-0000B32C0000}"/>
    <cellStyle name="Mult With x 3 8 2" xfId="11459" xr:uid="{00000000-0005-0000-0000-0000B42C0000}"/>
    <cellStyle name="Mult With x 3 8 2 2" xfId="11460" xr:uid="{00000000-0005-0000-0000-0000B52C0000}"/>
    <cellStyle name="Mult With x 3 9" xfId="11461" xr:uid="{00000000-0005-0000-0000-0000B62C0000}"/>
    <cellStyle name="Mult With x 3 9 2" xfId="11462" xr:uid="{00000000-0005-0000-0000-0000B72C0000}"/>
    <cellStyle name="Mult With x 3 9 2 2" xfId="11463" xr:uid="{00000000-0005-0000-0000-0000B82C0000}"/>
    <cellStyle name="Mult With x 4" xfId="11464" xr:uid="{00000000-0005-0000-0000-0000B92C0000}"/>
    <cellStyle name="Mult With x 4 10" xfId="11465" xr:uid="{00000000-0005-0000-0000-0000BA2C0000}"/>
    <cellStyle name="Mult With x 4 10 2" xfId="11466" xr:uid="{00000000-0005-0000-0000-0000BB2C0000}"/>
    <cellStyle name="Mult With x 4 10 2 2" xfId="11467" xr:uid="{00000000-0005-0000-0000-0000BC2C0000}"/>
    <cellStyle name="Mult With x 4 11" xfId="11468" xr:uid="{00000000-0005-0000-0000-0000BD2C0000}"/>
    <cellStyle name="Mult With x 4 11 2" xfId="11469" xr:uid="{00000000-0005-0000-0000-0000BE2C0000}"/>
    <cellStyle name="Mult With x 4 11 2 2" xfId="11470" xr:uid="{00000000-0005-0000-0000-0000BF2C0000}"/>
    <cellStyle name="Mult With x 4 12" xfId="11471" xr:uid="{00000000-0005-0000-0000-0000C02C0000}"/>
    <cellStyle name="Mult With x 4 12 2" xfId="11472" xr:uid="{00000000-0005-0000-0000-0000C12C0000}"/>
    <cellStyle name="Mult With x 4 12 2 2" xfId="11473" xr:uid="{00000000-0005-0000-0000-0000C22C0000}"/>
    <cellStyle name="Mult With x 4 13" xfId="11474" xr:uid="{00000000-0005-0000-0000-0000C32C0000}"/>
    <cellStyle name="Mult With x 4 13 2" xfId="11475" xr:uid="{00000000-0005-0000-0000-0000C42C0000}"/>
    <cellStyle name="Mult With x 4 13 2 2" xfId="11476" xr:uid="{00000000-0005-0000-0000-0000C52C0000}"/>
    <cellStyle name="Mult With x 4 14" xfId="11477" xr:uid="{00000000-0005-0000-0000-0000C62C0000}"/>
    <cellStyle name="Mult With x 4 14 2" xfId="11478" xr:uid="{00000000-0005-0000-0000-0000C72C0000}"/>
    <cellStyle name="Mult With x 4 14 2 2" xfId="11479" xr:uid="{00000000-0005-0000-0000-0000C82C0000}"/>
    <cellStyle name="Mult With x 4 2" xfId="11480" xr:uid="{00000000-0005-0000-0000-0000C92C0000}"/>
    <cellStyle name="Mult With x 4 2 2" xfId="11481" xr:uid="{00000000-0005-0000-0000-0000CA2C0000}"/>
    <cellStyle name="Mult With x 4 2 2 2" xfId="11482" xr:uid="{00000000-0005-0000-0000-0000CB2C0000}"/>
    <cellStyle name="Mult With x 4 2 2 2 2" xfId="11483" xr:uid="{00000000-0005-0000-0000-0000CC2C0000}"/>
    <cellStyle name="Mult With x 4 2 2 2 2 2" xfId="11484" xr:uid="{00000000-0005-0000-0000-0000CD2C0000}"/>
    <cellStyle name="Mult With x 4 2 3" xfId="11485" xr:uid="{00000000-0005-0000-0000-0000CE2C0000}"/>
    <cellStyle name="Mult With x 4 2 3 2" xfId="11486" xr:uid="{00000000-0005-0000-0000-0000CF2C0000}"/>
    <cellStyle name="Mult With x 4 2 3 2 2" xfId="11487" xr:uid="{00000000-0005-0000-0000-0000D02C0000}"/>
    <cellStyle name="Mult With x 4 3" xfId="11488" xr:uid="{00000000-0005-0000-0000-0000D12C0000}"/>
    <cellStyle name="Mult With x 4 3 2" xfId="11489" xr:uid="{00000000-0005-0000-0000-0000D22C0000}"/>
    <cellStyle name="Mult With x 4 3 2 2" xfId="11490" xr:uid="{00000000-0005-0000-0000-0000D32C0000}"/>
    <cellStyle name="Mult With x 4 3 2 2 2" xfId="11491" xr:uid="{00000000-0005-0000-0000-0000D42C0000}"/>
    <cellStyle name="Mult With x 4 3 2 2 2 2" xfId="11492" xr:uid="{00000000-0005-0000-0000-0000D52C0000}"/>
    <cellStyle name="Mult With x 4 3 3" xfId="11493" xr:uid="{00000000-0005-0000-0000-0000D62C0000}"/>
    <cellStyle name="Mult With x 4 3 3 2" xfId="11494" xr:uid="{00000000-0005-0000-0000-0000D72C0000}"/>
    <cellStyle name="Mult With x 4 3 3 2 2" xfId="11495" xr:uid="{00000000-0005-0000-0000-0000D82C0000}"/>
    <cellStyle name="Mult With x 4 4" xfId="11496" xr:uid="{00000000-0005-0000-0000-0000D92C0000}"/>
    <cellStyle name="Mult With x 4 4 2" xfId="11497" xr:uid="{00000000-0005-0000-0000-0000DA2C0000}"/>
    <cellStyle name="Mult With x 4 4 2 2" xfId="11498" xr:uid="{00000000-0005-0000-0000-0000DB2C0000}"/>
    <cellStyle name="Mult With x 4 4 2 2 2" xfId="11499" xr:uid="{00000000-0005-0000-0000-0000DC2C0000}"/>
    <cellStyle name="Mult With x 4 5" xfId="11500" xr:uid="{00000000-0005-0000-0000-0000DD2C0000}"/>
    <cellStyle name="Mult With x 4 5 2" xfId="11501" xr:uid="{00000000-0005-0000-0000-0000DE2C0000}"/>
    <cellStyle name="Mult With x 4 5 2 2" xfId="11502" xr:uid="{00000000-0005-0000-0000-0000DF2C0000}"/>
    <cellStyle name="Mult With x 4 6" xfId="11503" xr:uid="{00000000-0005-0000-0000-0000E02C0000}"/>
    <cellStyle name="Mult With x 4 6 2" xfId="11504" xr:uid="{00000000-0005-0000-0000-0000E12C0000}"/>
    <cellStyle name="Mult With x 4 6 2 2" xfId="11505" xr:uid="{00000000-0005-0000-0000-0000E22C0000}"/>
    <cellStyle name="Mult With x 4 7" xfId="11506" xr:uid="{00000000-0005-0000-0000-0000E32C0000}"/>
    <cellStyle name="Mult With x 4 7 2" xfId="11507" xr:uid="{00000000-0005-0000-0000-0000E42C0000}"/>
    <cellStyle name="Mult With x 4 7 2 2" xfId="11508" xr:uid="{00000000-0005-0000-0000-0000E52C0000}"/>
    <cellStyle name="Mult With x 4 8" xfId="11509" xr:uid="{00000000-0005-0000-0000-0000E62C0000}"/>
    <cellStyle name="Mult With x 4 8 2" xfId="11510" xr:uid="{00000000-0005-0000-0000-0000E72C0000}"/>
    <cellStyle name="Mult With x 4 8 2 2" xfId="11511" xr:uid="{00000000-0005-0000-0000-0000E82C0000}"/>
    <cellStyle name="Mult With x 4 9" xfId="11512" xr:uid="{00000000-0005-0000-0000-0000E92C0000}"/>
    <cellStyle name="Mult With x 4 9 2" xfId="11513" xr:uid="{00000000-0005-0000-0000-0000EA2C0000}"/>
    <cellStyle name="Mult With x 4 9 2 2" xfId="11514" xr:uid="{00000000-0005-0000-0000-0000EB2C0000}"/>
    <cellStyle name="Mult With x 5" xfId="11515" xr:uid="{00000000-0005-0000-0000-0000EC2C0000}"/>
    <cellStyle name="Mult With x 5 10" xfId="11516" xr:uid="{00000000-0005-0000-0000-0000ED2C0000}"/>
    <cellStyle name="Mult With x 5 10 2" xfId="11517" xr:uid="{00000000-0005-0000-0000-0000EE2C0000}"/>
    <cellStyle name="Mult With x 5 10 2 2" xfId="11518" xr:uid="{00000000-0005-0000-0000-0000EF2C0000}"/>
    <cellStyle name="Mult With x 5 11" xfId="11519" xr:uid="{00000000-0005-0000-0000-0000F02C0000}"/>
    <cellStyle name="Mult With x 5 11 2" xfId="11520" xr:uid="{00000000-0005-0000-0000-0000F12C0000}"/>
    <cellStyle name="Mult With x 5 11 2 2" xfId="11521" xr:uid="{00000000-0005-0000-0000-0000F22C0000}"/>
    <cellStyle name="Mult With x 5 12" xfId="11522" xr:uid="{00000000-0005-0000-0000-0000F32C0000}"/>
    <cellStyle name="Mult With x 5 12 2" xfId="11523" xr:uid="{00000000-0005-0000-0000-0000F42C0000}"/>
    <cellStyle name="Mult With x 5 12 2 2" xfId="11524" xr:uid="{00000000-0005-0000-0000-0000F52C0000}"/>
    <cellStyle name="Mult With x 5 13" xfId="11525" xr:uid="{00000000-0005-0000-0000-0000F62C0000}"/>
    <cellStyle name="Mult With x 5 13 2" xfId="11526" xr:uid="{00000000-0005-0000-0000-0000F72C0000}"/>
    <cellStyle name="Mult With x 5 13 2 2" xfId="11527" xr:uid="{00000000-0005-0000-0000-0000F82C0000}"/>
    <cellStyle name="Mult With x 5 14" xfId="11528" xr:uid="{00000000-0005-0000-0000-0000F92C0000}"/>
    <cellStyle name="Mult With x 5 14 2" xfId="11529" xr:uid="{00000000-0005-0000-0000-0000FA2C0000}"/>
    <cellStyle name="Mult With x 5 14 2 2" xfId="11530" xr:uid="{00000000-0005-0000-0000-0000FB2C0000}"/>
    <cellStyle name="Mult With x 5 2" xfId="11531" xr:uid="{00000000-0005-0000-0000-0000FC2C0000}"/>
    <cellStyle name="Mult With x 5 2 2" xfId="11532" xr:uid="{00000000-0005-0000-0000-0000FD2C0000}"/>
    <cellStyle name="Mult With x 5 2 2 2" xfId="11533" xr:uid="{00000000-0005-0000-0000-0000FE2C0000}"/>
    <cellStyle name="Mult With x 5 3" xfId="11534" xr:uid="{00000000-0005-0000-0000-0000FF2C0000}"/>
    <cellStyle name="Mult With x 5 3 2" xfId="11535" xr:uid="{00000000-0005-0000-0000-0000002D0000}"/>
    <cellStyle name="Mult With x 5 3 2 2" xfId="11536" xr:uid="{00000000-0005-0000-0000-0000012D0000}"/>
    <cellStyle name="Mult With x 5 4" xfId="11537" xr:uid="{00000000-0005-0000-0000-0000022D0000}"/>
    <cellStyle name="Mult With x 5 4 2" xfId="11538" xr:uid="{00000000-0005-0000-0000-0000032D0000}"/>
    <cellStyle name="Mult With x 5 4 2 2" xfId="11539" xr:uid="{00000000-0005-0000-0000-0000042D0000}"/>
    <cellStyle name="Mult With x 5 5" xfId="11540" xr:uid="{00000000-0005-0000-0000-0000052D0000}"/>
    <cellStyle name="Mult With x 5 5 2" xfId="11541" xr:uid="{00000000-0005-0000-0000-0000062D0000}"/>
    <cellStyle name="Mult With x 5 5 2 2" xfId="11542" xr:uid="{00000000-0005-0000-0000-0000072D0000}"/>
    <cellStyle name="Mult With x 5 6" xfId="11543" xr:uid="{00000000-0005-0000-0000-0000082D0000}"/>
    <cellStyle name="Mult With x 5 6 2" xfId="11544" xr:uid="{00000000-0005-0000-0000-0000092D0000}"/>
    <cellStyle name="Mult With x 5 6 2 2" xfId="11545" xr:uid="{00000000-0005-0000-0000-00000A2D0000}"/>
    <cellStyle name="Mult With x 5 7" xfId="11546" xr:uid="{00000000-0005-0000-0000-00000B2D0000}"/>
    <cellStyle name="Mult With x 5 7 2" xfId="11547" xr:uid="{00000000-0005-0000-0000-00000C2D0000}"/>
    <cellStyle name="Mult With x 5 7 2 2" xfId="11548" xr:uid="{00000000-0005-0000-0000-00000D2D0000}"/>
    <cellStyle name="Mult With x 5 8" xfId="11549" xr:uid="{00000000-0005-0000-0000-00000E2D0000}"/>
    <cellStyle name="Mult With x 5 8 2" xfId="11550" xr:uid="{00000000-0005-0000-0000-00000F2D0000}"/>
    <cellStyle name="Mult With x 5 8 2 2" xfId="11551" xr:uid="{00000000-0005-0000-0000-0000102D0000}"/>
    <cellStyle name="Mult With x 5 9" xfId="11552" xr:uid="{00000000-0005-0000-0000-0000112D0000}"/>
    <cellStyle name="Mult With x 5 9 2" xfId="11553" xr:uid="{00000000-0005-0000-0000-0000122D0000}"/>
    <cellStyle name="Mult With x 5 9 2 2" xfId="11554" xr:uid="{00000000-0005-0000-0000-0000132D0000}"/>
    <cellStyle name="Mult With x 6" xfId="11555" xr:uid="{00000000-0005-0000-0000-0000142D0000}"/>
    <cellStyle name="Mult With x 6 2" xfId="11556" xr:uid="{00000000-0005-0000-0000-0000152D0000}"/>
    <cellStyle name="Mult With x 6 2 2" xfId="11557" xr:uid="{00000000-0005-0000-0000-0000162D0000}"/>
    <cellStyle name="Mult With x 7" xfId="11558" xr:uid="{00000000-0005-0000-0000-0000172D0000}"/>
    <cellStyle name="Mult With x 7 2" xfId="11559" xr:uid="{00000000-0005-0000-0000-0000182D0000}"/>
    <cellStyle name="Mult With x 7 2 2" xfId="11560" xr:uid="{00000000-0005-0000-0000-0000192D0000}"/>
    <cellStyle name="Mult With x 8" xfId="11561" xr:uid="{00000000-0005-0000-0000-00001A2D0000}"/>
    <cellStyle name="Mult With x 8 2" xfId="11562" xr:uid="{00000000-0005-0000-0000-00001B2D0000}"/>
    <cellStyle name="Mult With x 8 2 2" xfId="11563" xr:uid="{00000000-0005-0000-0000-00001C2D0000}"/>
    <cellStyle name="Mult With x 9" xfId="11564" xr:uid="{00000000-0005-0000-0000-00001D2D0000}"/>
    <cellStyle name="Mult With x 9 2" xfId="11565" xr:uid="{00000000-0005-0000-0000-00001E2D0000}"/>
    <cellStyle name="Mult With x 9 2 2" xfId="11566" xr:uid="{00000000-0005-0000-0000-00001F2D0000}"/>
    <cellStyle name="Multiple" xfId="11567" xr:uid="{00000000-0005-0000-0000-0000202D0000}"/>
    <cellStyle name="Multiple (no x)" xfId="11568" xr:uid="{00000000-0005-0000-0000-0000212D0000}"/>
    <cellStyle name="Multiple (x)" xfId="11569" xr:uid="{00000000-0005-0000-0000-0000222D0000}"/>
    <cellStyle name="Multiple [0]" xfId="11570" xr:uid="{00000000-0005-0000-0000-0000232D0000}"/>
    <cellStyle name="Multiple [1]" xfId="11571" xr:uid="{00000000-0005-0000-0000-0000242D0000}"/>
    <cellStyle name="Multiple_120939_1" xfId="11572" xr:uid="{00000000-0005-0000-0000-0000252D0000}"/>
    <cellStyle name="Multiple1" xfId="11573" xr:uid="{00000000-0005-0000-0000-0000262D0000}"/>
    <cellStyle name="Multiple-Special" xfId="11574" xr:uid="{00000000-0005-0000-0000-0000272D0000}"/>
    <cellStyle name="NA is zero" xfId="11575" xr:uid="{00000000-0005-0000-0000-0000282D0000}"/>
    <cellStyle name="Name" xfId="11576" xr:uid="{00000000-0005-0000-0000-0000292D0000}"/>
    <cellStyle name="Neutra 10" xfId="11577" xr:uid="{00000000-0005-0000-0000-00002B2D0000}"/>
    <cellStyle name="Neutra 11" xfId="11578" xr:uid="{00000000-0005-0000-0000-00002C2D0000}"/>
    <cellStyle name="Neutra 12" xfId="11579" xr:uid="{00000000-0005-0000-0000-00002D2D0000}"/>
    <cellStyle name="Neutra 13" xfId="11580" xr:uid="{00000000-0005-0000-0000-00002E2D0000}"/>
    <cellStyle name="Neutra 14" xfId="11581" xr:uid="{00000000-0005-0000-0000-00002F2D0000}"/>
    <cellStyle name="Neutra 15" xfId="11582" xr:uid="{00000000-0005-0000-0000-0000302D0000}"/>
    <cellStyle name="Neutra 16" xfId="11583" xr:uid="{00000000-0005-0000-0000-0000312D0000}"/>
    <cellStyle name="Neutra 17" xfId="11584" xr:uid="{00000000-0005-0000-0000-0000322D0000}"/>
    <cellStyle name="Neutra 18" xfId="11585" xr:uid="{00000000-0005-0000-0000-0000332D0000}"/>
    <cellStyle name="Neutra 19" xfId="11586" xr:uid="{00000000-0005-0000-0000-0000342D0000}"/>
    <cellStyle name="Neutra 2" xfId="11587" xr:uid="{00000000-0005-0000-0000-0000352D0000}"/>
    <cellStyle name="Neutra 20" xfId="11588" xr:uid="{00000000-0005-0000-0000-0000362D0000}"/>
    <cellStyle name="Neutra 21" xfId="11589" xr:uid="{00000000-0005-0000-0000-0000372D0000}"/>
    <cellStyle name="Neutra 22" xfId="11590" xr:uid="{00000000-0005-0000-0000-0000382D0000}"/>
    <cellStyle name="Neutra 23" xfId="11591" xr:uid="{00000000-0005-0000-0000-0000392D0000}"/>
    <cellStyle name="Neutra 24" xfId="11592" xr:uid="{00000000-0005-0000-0000-00003A2D0000}"/>
    <cellStyle name="Neutra 25" xfId="11593" xr:uid="{00000000-0005-0000-0000-00003B2D0000}"/>
    <cellStyle name="Neutra 26" xfId="11594" xr:uid="{00000000-0005-0000-0000-00003C2D0000}"/>
    <cellStyle name="Neutra 27" xfId="11595" xr:uid="{00000000-0005-0000-0000-00003D2D0000}"/>
    <cellStyle name="Neutra 28" xfId="11596" xr:uid="{00000000-0005-0000-0000-00003E2D0000}"/>
    <cellStyle name="Neutra 29" xfId="11597" xr:uid="{00000000-0005-0000-0000-00003F2D0000}"/>
    <cellStyle name="Neutra 3" xfId="11598" xr:uid="{00000000-0005-0000-0000-0000402D0000}"/>
    <cellStyle name="Neutra 30" xfId="11599" xr:uid="{00000000-0005-0000-0000-0000412D0000}"/>
    <cellStyle name="Neutra 31" xfId="11600" xr:uid="{00000000-0005-0000-0000-0000422D0000}"/>
    <cellStyle name="Neutra 32" xfId="11601" xr:uid="{00000000-0005-0000-0000-0000432D0000}"/>
    <cellStyle name="Neutra 33" xfId="11602" xr:uid="{00000000-0005-0000-0000-0000442D0000}"/>
    <cellStyle name="Neutra 34" xfId="11603" xr:uid="{00000000-0005-0000-0000-0000452D0000}"/>
    <cellStyle name="Neutra 35" xfId="11604" xr:uid="{00000000-0005-0000-0000-0000462D0000}"/>
    <cellStyle name="Neutra 36" xfId="11605" xr:uid="{00000000-0005-0000-0000-0000472D0000}"/>
    <cellStyle name="Neutra 37" xfId="11606" xr:uid="{00000000-0005-0000-0000-0000482D0000}"/>
    <cellStyle name="Neutra 38" xfId="11607" xr:uid="{00000000-0005-0000-0000-0000492D0000}"/>
    <cellStyle name="Neutra 39" xfId="11608" xr:uid="{00000000-0005-0000-0000-00004A2D0000}"/>
    <cellStyle name="Neutra 4" xfId="11609" xr:uid="{00000000-0005-0000-0000-00004B2D0000}"/>
    <cellStyle name="Neutra 40" xfId="11610" xr:uid="{00000000-0005-0000-0000-00004C2D0000}"/>
    <cellStyle name="Neutra 5" xfId="11611" xr:uid="{00000000-0005-0000-0000-00004D2D0000}"/>
    <cellStyle name="Neutra 6" xfId="11612" xr:uid="{00000000-0005-0000-0000-00004E2D0000}"/>
    <cellStyle name="Neutra 7" xfId="11613" xr:uid="{00000000-0005-0000-0000-00004F2D0000}"/>
    <cellStyle name="Neutra 8" xfId="11614" xr:uid="{00000000-0005-0000-0000-0000502D0000}"/>
    <cellStyle name="Neutra 9" xfId="11615" xr:uid="{00000000-0005-0000-0000-0000512D0000}"/>
    <cellStyle name="Neutral 2" xfId="11616" xr:uid="{00000000-0005-0000-0000-0000522D0000}"/>
    <cellStyle name="Neutro 2" xfId="44" xr:uid="{00000000-0005-0000-0000-0000692D0000}"/>
    <cellStyle name="NewAcct" xfId="11617" xr:uid="{00000000-0005-0000-0000-0000532D0000}"/>
    <cellStyle name="no dec" xfId="11618" xr:uid="{00000000-0005-0000-0000-0000542D0000}"/>
    <cellStyle name="No-definido" xfId="11619" xr:uid="{00000000-0005-0000-0000-0000552D0000}"/>
    <cellStyle name="nonmultiple" xfId="11620" xr:uid="{00000000-0005-0000-0000-0000562D0000}"/>
    <cellStyle name="Normal" xfId="0" builtinId="0"/>
    <cellStyle name="Normal--" xfId="11621" xr:uid="{00000000-0005-0000-0000-0000582D0000}"/>
    <cellStyle name="Normal - Style1" xfId="11622" xr:uid="{00000000-0005-0000-0000-0000592D0000}"/>
    <cellStyle name="Normal - Style1 2" xfId="11623" xr:uid="{00000000-0005-0000-0000-00005A2D0000}"/>
    <cellStyle name="Normal - Style1_HRT O&amp;G" xfId="11624" xr:uid="{00000000-0005-0000-0000-00005B2D0000}"/>
    <cellStyle name="Normal (%)" xfId="11625" xr:uid="{00000000-0005-0000-0000-00005C2D0000}"/>
    <cellStyle name="Normal (£m)" xfId="11626" xr:uid="{00000000-0005-0000-0000-00005D2D0000}"/>
    <cellStyle name="Normal (B)" xfId="11627" xr:uid="{00000000-0005-0000-0000-00005E2D0000}"/>
    <cellStyle name="Normal (G)" xfId="11628" xr:uid="{00000000-0005-0000-0000-00005F2D0000}"/>
    <cellStyle name="Normal (No)" xfId="11629" xr:uid="{00000000-0005-0000-0000-0000602D0000}"/>
    <cellStyle name="Normal (x)" xfId="11630" xr:uid="{00000000-0005-0000-0000-0000612D0000}"/>
    <cellStyle name="Normal [0]" xfId="11631" xr:uid="{00000000-0005-0000-0000-0000622D0000}"/>
    <cellStyle name="Normal [1]" xfId="11632" xr:uid="{00000000-0005-0000-0000-0000632D0000}"/>
    <cellStyle name="Normal [2]" xfId="11633" xr:uid="{00000000-0005-0000-0000-0000642D0000}"/>
    <cellStyle name="Normal [3]" xfId="11634" xr:uid="{00000000-0005-0000-0000-0000652D0000}"/>
    <cellStyle name="Normal 10" xfId="11635" xr:uid="{00000000-0005-0000-0000-0000662D0000}"/>
    <cellStyle name="Normal 10 2" xfId="11636" xr:uid="{00000000-0005-0000-0000-0000672D0000}"/>
    <cellStyle name="Normal 10 3" xfId="11637" xr:uid="{00000000-0005-0000-0000-0000682D0000}"/>
    <cellStyle name="Normal 10_HRT O&amp;G" xfId="11638" xr:uid="{00000000-0005-0000-0000-0000692D0000}"/>
    <cellStyle name="Normal 11" xfId="11639" xr:uid="{00000000-0005-0000-0000-00006A2D0000}"/>
    <cellStyle name="Normal 11 2" xfId="11640" xr:uid="{00000000-0005-0000-0000-00006B2D0000}"/>
    <cellStyle name="Normal 11 2 2" xfId="11641" xr:uid="{00000000-0005-0000-0000-00006C2D0000}"/>
    <cellStyle name="Normal 11 2 2 2" xfId="11642" xr:uid="{00000000-0005-0000-0000-00006D2D0000}"/>
    <cellStyle name="Normal 11 2 2 3" xfId="11643" xr:uid="{00000000-0005-0000-0000-00006E2D0000}"/>
    <cellStyle name="Normal 11 2 2 4" xfId="11644" xr:uid="{00000000-0005-0000-0000-00006F2D0000}"/>
    <cellStyle name="Normal 11 2 2 5" xfId="11645" xr:uid="{00000000-0005-0000-0000-0000702D0000}"/>
    <cellStyle name="Normal 11 2 3" xfId="11646" xr:uid="{00000000-0005-0000-0000-0000712D0000}"/>
    <cellStyle name="Normal 11 2 4" xfId="11647" xr:uid="{00000000-0005-0000-0000-0000722D0000}"/>
    <cellStyle name="Normal 11 2 5" xfId="11648" xr:uid="{00000000-0005-0000-0000-0000732D0000}"/>
    <cellStyle name="Normal 11 2 6" xfId="11649" xr:uid="{00000000-0005-0000-0000-0000742D0000}"/>
    <cellStyle name="Normal 11 2 7" xfId="11650" xr:uid="{00000000-0005-0000-0000-0000752D0000}"/>
    <cellStyle name="Normal 11 3" xfId="11651" xr:uid="{00000000-0005-0000-0000-0000762D0000}"/>
    <cellStyle name="Normal 11 3 2" xfId="11652" xr:uid="{00000000-0005-0000-0000-0000772D0000}"/>
    <cellStyle name="Normal 11 3 3" xfId="11653" xr:uid="{00000000-0005-0000-0000-0000782D0000}"/>
    <cellStyle name="Normal 11 3 4" xfId="11654" xr:uid="{00000000-0005-0000-0000-0000792D0000}"/>
    <cellStyle name="Normal 11 3 5" xfId="11655" xr:uid="{00000000-0005-0000-0000-00007A2D0000}"/>
    <cellStyle name="Normal 11 4" xfId="11656" xr:uid="{00000000-0005-0000-0000-00007B2D0000}"/>
    <cellStyle name="Normal 11 5" xfId="11657" xr:uid="{00000000-0005-0000-0000-00007C2D0000}"/>
    <cellStyle name="Normal 11 6" xfId="11658" xr:uid="{00000000-0005-0000-0000-00007D2D0000}"/>
    <cellStyle name="Normal 11 7" xfId="11659" xr:uid="{00000000-0005-0000-0000-00007E2D0000}"/>
    <cellStyle name="Normal 12" xfId="11660" xr:uid="{00000000-0005-0000-0000-00007F2D0000}"/>
    <cellStyle name="Normal 12 2" xfId="11661" xr:uid="{00000000-0005-0000-0000-0000802D0000}"/>
    <cellStyle name="Normal 12 2 2" xfId="11662" xr:uid="{00000000-0005-0000-0000-0000812D0000}"/>
    <cellStyle name="Normal 12 2 2 2" xfId="11663" xr:uid="{00000000-0005-0000-0000-0000822D0000}"/>
    <cellStyle name="Normal 12 2 2 3" xfId="11664" xr:uid="{00000000-0005-0000-0000-0000832D0000}"/>
    <cellStyle name="Normal 12 2 2 4" xfId="11665" xr:uid="{00000000-0005-0000-0000-0000842D0000}"/>
    <cellStyle name="Normal 12 2 2 5" xfId="11666" xr:uid="{00000000-0005-0000-0000-0000852D0000}"/>
    <cellStyle name="Normal 12 2 3" xfId="11667" xr:uid="{00000000-0005-0000-0000-0000862D0000}"/>
    <cellStyle name="Normal 12 2 4" xfId="11668" xr:uid="{00000000-0005-0000-0000-0000872D0000}"/>
    <cellStyle name="Normal 12 2 5" xfId="11669" xr:uid="{00000000-0005-0000-0000-0000882D0000}"/>
    <cellStyle name="Normal 12 2 6" xfId="11670" xr:uid="{00000000-0005-0000-0000-0000892D0000}"/>
    <cellStyle name="Normal 12 2 7" xfId="11671" xr:uid="{00000000-0005-0000-0000-00008A2D0000}"/>
    <cellStyle name="Normal 12 3" xfId="11672" xr:uid="{00000000-0005-0000-0000-00008B2D0000}"/>
    <cellStyle name="Normal 12 3 2" xfId="11673" xr:uid="{00000000-0005-0000-0000-00008C2D0000}"/>
    <cellStyle name="Normal 12 3 3" xfId="11674" xr:uid="{00000000-0005-0000-0000-00008D2D0000}"/>
    <cellStyle name="Normal 12 3 4" xfId="11675" xr:uid="{00000000-0005-0000-0000-00008E2D0000}"/>
    <cellStyle name="Normal 12 3 5" xfId="11676" xr:uid="{00000000-0005-0000-0000-00008F2D0000}"/>
    <cellStyle name="Normal 12 4" xfId="11677" xr:uid="{00000000-0005-0000-0000-0000902D0000}"/>
    <cellStyle name="Normal 12 5" xfId="11678" xr:uid="{00000000-0005-0000-0000-0000912D0000}"/>
    <cellStyle name="Normal 12 6" xfId="11679" xr:uid="{00000000-0005-0000-0000-0000922D0000}"/>
    <cellStyle name="Normal 12 7" xfId="11680" xr:uid="{00000000-0005-0000-0000-0000932D0000}"/>
    <cellStyle name="Normal 13" xfId="11681" xr:uid="{00000000-0005-0000-0000-0000942D0000}"/>
    <cellStyle name="Normal 13 2" xfId="11682" xr:uid="{00000000-0005-0000-0000-0000952D0000}"/>
    <cellStyle name="Normal 13 2 2" xfId="11683" xr:uid="{00000000-0005-0000-0000-0000962D0000}"/>
    <cellStyle name="Normal 13 2 3" xfId="11684" xr:uid="{00000000-0005-0000-0000-0000972D0000}"/>
    <cellStyle name="Normal 13 2 4" xfId="11685" xr:uid="{00000000-0005-0000-0000-0000982D0000}"/>
    <cellStyle name="Normal 13 2 5" xfId="11686" xr:uid="{00000000-0005-0000-0000-0000992D0000}"/>
    <cellStyle name="Normal 13 2 6" xfId="11687" xr:uid="{00000000-0005-0000-0000-00009A2D0000}"/>
    <cellStyle name="Normal 13 3" xfId="11688" xr:uid="{00000000-0005-0000-0000-00009B2D0000}"/>
    <cellStyle name="Normal 13 4" xfId="11689" xr:uid="{00000000-0005-0000-0000-00009C2D0000}"/>
    <cellStyle name="Normal 13 5" xfId="11690" xr:uid="{00000000-0005-0000-0000-00009D2D0000}"/>
    <cellStyle name="Normal 13 6" xfId="11691" xr:uid="{00000000-0005-0000-0000-00009E2D0000}"/>
    <cellStyle name="Normal 14" xfId="11692" xr:uid="{00000000-0005-0000-0000-00009F2D0000}"/>
    <cellStyle name="Normal 14 2" xfId="11693" xr:uid="{00000000-0005-0000-0000-0000A02D0000}"/>
    <cellStyle name="Normal 15" xfId="11694" xr:uid="{00000000-0005-0000-0000-0000A12D0000}"/>
    <cellStyle name="Normal 15 2" xfId="11695" xr:uid="{00000000-0005-0000-0000-0000A22D0000}"/>
    <cellStyle name="Normal 15 2 2" xfId="11696" xr:uid="{00000000-0005-0000-0000-0000A32D0000}"/>
    <cellStyle name="Normal 15 3" xfId="11697" xr:uid="{00000000-0005-0000-0000-0000A42D0000}"/>
    <cellStyle name="Normal 15 4" xfId="11698" xr:uid="{00000000-0005-0000-0000-0000A52D0000}"/>
    <cellStyle name="Normal 15 5" xfId="11699" xr:uid="{00000000-0005-0000-0000-0000A62D0000}"/>
    <cellStyle name="Normal 16" xfId="11700" xr:uid="{00000000-0005-0000-0000-0000A72D0000}"/>
    <cellStyle name="Normal 16 2" xfId="11701" xr:uid="{00000000-0005-0000-0000-0000A82D0000}"/>
    <cellStyle name="Normal 16_HRT O&amp;G" xfId="11702" xr:uid="{00000000-0005-0000-0000-0000A92D0000}"/>
    <cellStyle name="Normal 17" xfId="11703" xr:uid="{00000000-0005-0000-0000-0000AA2D0000}"/>
    <cellStyle name="Normal 18" xfId="11704" xr:uid="{00000000-0005-0000-0000-0000AB2D0000}"/>
    <cellStyle name="Normal 19" xfId="11705" xr:uid="{00000000-0005-0000-0000-0000AC2D0000}"/>
    <cellStyle name="Normal 19 2" xfId="11706" xr:uid="{00000000-0005-0000-0000-0000AD2D0000}"/>
    <cellStyle name="Normal 19 3" xfId="11707" xr:uid="{00000000-0005-0000-0000-0000AE2D0000}"/>
    <cellStyle name="Normal 19_HRT O&amp;G" xfId="11708" xr:uid="{00000000-0005-0000-0000-0000AF2D0000}"/>
    <cellStyle name="Normal 2" xfId="46" xr:uid="{00000000-0005-0000-0000-0000B02D0000}"/>
    <cellStyle name="Normal 2 10" xfId="11709" xr:uid="{00000000-0005-0000-0000-0000B12D0000}"/>
    <cellStyle name="Normal 2 11" xfId="11710" xr:uid="{00000000-0005-0000-0000-0000B22D0000}"/>
    <cellStyle name="Normal 2 12" xfId="11711" xr:uid="{00000000-0005-0000-0000-0000B32D0000}"/>
    <cellStyle name="Normal 2 13" xfId="16866" xr:uid="{625C1FA5-AF6C-4460-A29A-96C203B6B9D1}"/>
    <cellStyle name="Normal 2 2" xfId="11712" xr:uid="{00000000-0005-0000-0000-0000B42D0000}"/>
    <cellStyle name="Normal 2 2 2" xfId="11713" xr:uid="{00000000-0005-0000-0000-0000B52D0000}"/>
    <cellStyle name="Normal 2 2 2 2" xfId="11714" xr:uid="{00000000-0005-0000-0000-0000B62D0000}"/>
    <cellStyle name="Normal 2 2 2 2 2" xfId="11715" xr:uid="{00000000-0005-0000-0000-0000B72D0000}"/>
    <cellStyle name="Normal 2 2 2 2_HRT O&amp;G" xfId="11716" xr:uid="{00000000-0005-0000-0000-0000B82D0000}"/>
    <cellStyle name="Normal 2 2 2_HRT O&amp;G" xfId="11717" xr:uid="{00000000-0005-0000-0000-0000B92D0000}"/>
    <cellStyle name="Normal 2 2 3" xfId="11718" xr:uid="{00000000-0005-0000-0000-0000BA2D0000}"/>
    <cellStyle name="Normal 2 2 3 2" xfId="11719" xr:uid="{00000000-0005-0000-0000-0000BB2D0000}"/>
    <cellStyle name="Normal 2 2 3_HRT O&amp;G" xfId="11720" xr:uid="{00000000-0005-0000-0000-0000BC2D0000}"/>
    <cellStyle name="Normal 2 2 4" xfId="11721" xr:uid="{00000000-0005-0000-0000-0000BD2D0000}"/>
    <cellStyle name="Normal 2 2 5" xfId="11722" xr:uid="{00000000-0005-0000-0000-0000BE2D0000}"/>
    <cellStyle name="Normal 2 2_HRT O&amp;G" xfId="11723" xr:uid="{00000000-0005-0000-0000-0000BF2D0000}"/>
    <cellStyle name="Normal 2 3" xfId="11724" xr:uid="{00000000-0005-0000-0000-0000C02D0000}"/>
    <cellStyle name="Normal 2 3 2" xfId="11725" xr:uid="{00000000-0005-0000-0000-0000C12D0000}"/>
    <cellStyle name="Normal 2 3 3" xfId="11726" xr:uid="{00000000-0005-0000-0000-0000C22D0000}"/>
    <cellStyle name="Normal 2 3 4" xfId="11727" xr:uid="{00000000-0005-0000-0000-0000C32D0000}"/>
    <cellStyle name="Normal 2 3 5" xfId="11728" xr:uid="{00000000-0005-0000-0000-0000C42D0000}"/>
    <cellStyle name="Normal 2 3 6" xfId="11729" xr:uid="{00000000-0005-0000-0000-0000C52D0000}"/>
    <cellStyle name="Normal 2 3_HRT O&amp;G" xfId="11730" xr:uid="{00000000-0005-0000-0000-0000C62D0000}"/>
    <cellStyle name="Normal 2 4" xfId="11731" xr:uid="{00000000-0005-0000-0000-0000C72D0000}"/>
    <cellStyle name="Normal 2 4 2" xfId="11732" xr:uid="{00000000-0005-0000-0000-0000C82D0000}"/>
    <cellStyle name="Normal 2 4_HRT O&amp;G" xfId="11733" xr:uid="{00000000-0005-0000-0000-0000C92D0000}"/>
    <cellStyle name="Normal 2 5" xfId="11734" xr:uid="{00000000-0005-0000-0000-0000CA2D0000}"/>
    <cellStyle name="Normal 2 5 2" xfId="11735" xr:uid="{00000000-0005-0000-0000-0000CB2D0000}"/>
    <cellStyle name="Normal 2 5_HRT O&amp;G" xfId="11736" xr:uid="{00000000-0005-0000-0000-0000CC2D0000}"/>
    <cellStyle name="Normal 2 6" xfId="11737" xr:uid="{00000000-0005-0000-0000-0000CD2D0000}"/>
    <cellStyle name="Normal 2 6 2" xfId="11738" xr:uid="{00000000-0005-0000-0000-0000CE2D0000}"/>
    <cellStyle name="Normal 2 6_HRT O&amp;G" xfId="11739" xr:uid="{00000000-0005-0000-0000-0000CF2D0000}"/>
    <cellStyle name="Normal 2 7" xfId="11740" xr:uid="{00000000-0005-0000-0000-0000D02D0000}"/>
    <cellStyle name="Normal 2 7 2" xfId="11741" xr:uid="{00000000-0005-0000-0000-0000D12D0000}"/>
    <cellStyle name="Normal 2 7_HRT O&amp;G" xfId="11742" xr:uid="{00000000-0005-0000-0000-0000D22D0000}"/>
    <cellStyle name="Normal 2 8" xfId="11743" xr:uid="{00000000-0005-0000-0000-0000D32D0000}"/>
    <cellStyle name="Normal 2 8 2" xfId="11744" xr:uid="{00000000-0005-0000-0000-0000D42D0000}"/>
    <cellStyle name="Normal 2 8_HRT O&amp;G" xfId="11745" xr:uid="{00000000-0005-0000-0000-0000D52D0000}"/>
    <cellStyle name="Normal 2 9" xfId="11746" xr:uid="{00000000-0005-0000-0000-0000D62D0000}"/>
    <cellStyle name="Normal 2 9 2" xfId="11747" xr:uid="{00000000-0005-0000-0000-0000D72D0000}"/>
    <cellStyle name="Normal 2 9_HRT O&amp;G" xfId="11748" xr:uid="{00000000-0005-0000-0000-0000D82D0000}"/>
    <cellStyle name="Normal 2_Copy of Relatório de Medição_Rev02" xfId="11749" xr:uid="{00000000-0005-0000-0000-0000D92D0000}"/>
    <cellStyle name="Normal 20" xfId="11750" xr:uid="{00000000-0005-0000-0000-0000DA2D0000}"/>
    <cellStyle name="Normal 21" xfId="11751" xr:uid="{00000000-0005-0000-0000-0000DB2D0000}"/>
    <cellStyle name="Normal 22" xfId="11752" xr:uid="{00000000-0005-0000-0000-0000DC2D0000}"/>
    <cellStyle name="Normal 23" xfId="11753" xr:uid="{00000000-0005-0000-0000-0000DD2D0000}"/>
    <cellStyle name="Normal 24" xfId="11754" xr:uid="{00000000-0005-0000-0000-0000DE2D0000}"/>
    <cellStyle name="Normal 25" xfId="11755" xr:uid="{00000000-0005-0000-0000-0000DF2D0000}"/>
    <cellStyle name="Normal 26" xfId="11756" xr:uid="{00000000-0005-0000-0000-0000E02D0000}"/>
    <cellStyle name="Normal 27" xfId="11757" xr:uid="{00000000-0005-0000-0000-0000E12D0000}"/>
    <cellStyle name="Normal 28" xfId="11758" xr:uid="{00000000-0005-0000-0000-0000E22D0000}"/>
    <cellStyle name="Normal 29" xfId="11759" xr:uid="{00000000-0005-0000-0000-0000E32D0000}"/>
    <cellStyle name="Normal 3" xfId="11760" xr:uid="{00000000-0005-0000-0000-0000E42D0000}"/>
    <cellStyle name="Normal 3 2" xfId="11761" xr:uid="{00000000-0005-0000-0000-0000E52D0000}"/>
    <cellStyle name="Normal 3 2 2" xfId="11762" xr:uid="{00000000-0005-0000-0000-0000E62D0000}"/>
    <cellStyle name="Normal 3 2_HRT O&amp;G" xfId="11763" xr:uid="{00000000-0005-0000-0000-0000E72D0000}"/>
    <cellStyle name="Normal 3 3" xfId="11764" xr:uid="{00000000-0005-0000-0000-0000E82D0000}"/>
    <cellStyle name="Normal 3 4" xfId="11765" xr:uid="{00000000-0005-0000-0000-0000E92D0000}"/>
    <cellStyle name="Normal 3_HRT O&amp;G" xfId="11766" xr:uid="{00000000-0005-0000-0000-0000EA2D0000}"/>
    <cellStyle name="Normal 30" xfId="11767" xr:uid="{00000000-0005-0000-0000-0000EB2D0000}"/>
    <cellStyle name="Normal 31" xfId="11768" xr:uid="{00000000-0005-0000-0000-0000EC2D0000}"/>
    <cellStyle name="Normal 32" xfId="11769" xr:uid="{00000000-0005-0000-0000-0000ED2D0000}"/>
    <cellStyle name="Normal 33" xfId="11770" xr:uid="{00000000-0005-0000-0000-0000EE2D0000}"/>
    <cellStyle name="Normal 34" xfId="11771" xr:uid="{00000000-0005-0000-0000-0000EF2D0000}"/>
    <cellStyle name="Normal 35" xfId="11772" xr:uid="{00000000-0005-0000-0000-0000F02D0000}"/>
    <cellStyle name="Normal 36" xfId="11773" xr:uid="{00000000-0005-0000-0000-0000F12D0000}"/>
    <cellStyle name="Normal 36 2" xfId="11774" xr:uid="{00000000-0005-0000-0000-0000F22D0000}"/>
    <cellStyle name="Normal 36 3" xfId="11775" xr:uid="{00000000-0005-0000-0000-0000F32D0000}"/>
    <cellStyle name="Normal 37" xfId="11776" xr:uid="{00000000-0005-0000-0000-0000F42D0000}"/>
    <cellStyle name="Normal 37 2" xfId="11777" xr:uid="{00000000-0005-0000-0000-0000F52D0000}"/>
    <cellStyle name="Normal 37 3" xfId="11778" xr:uid="{00000000-0005-0000-0000-0000F62D0000}"/>
    <cellStyle name="Normal 38" xfId="11779" xr:uid="{00000000-0005-0000-0000-0000F72D0000}"/>
    <cellStyle name="Normal 39" xfId="11780" xr:uid="{00000000-0005-0000-0000-0000F82D0000}"/>
    <cellStyle name="Normal 4" xfId="11781" xr:uid="{00000000-0005-0000-0000-0000F92D0000}"/>
    <cellStyle name="Normal 4 10" xfId="11782" xr:uid="{00000000-0005-0000-0000-0000FA2D0000}"/>
    <cellStyle name="Normal 4 10 2" xfId="11783" xr:uid="{00000000-0005-0000-0000-0000FB2D0000}"/>
    <cellStyle name="Normal 4 10 2 2" xfId="11784" xr:uid="{00000000-0005-0000-0000-0000FC2D0000}"/>
    <cellStyle name="Normal 4 10 2 3" xfId="11785" xr:uid="{00000000-0005-0000-0000-0000FD2D0000}"/>
    <cellStyle name="Normal 4 10 2 4" xfId="11786" xr:uid="{00000000-0005-0000-0000-0000FE2D0000}"/>
    <cellStyle name="Normal 4 10 2 5" xfId="11787" xr:uid="{00000000-0005-0000-0000-0000FF2D0000}"/>
    <cellStyle name="Normal 4 10 3" xfId="11788" xr:uid="{00000000-0005-0000-0000-0000002E0000}"/>
    <cellStyle name="Normal 4 10 4" xfId="11789" xr:uid="{00000000-0005-0000-0000-0000012E0000}"/>
    <cellStyle name="Normal 4 10 5" xfId="11790" xr:uid="{00000000-0005-0000-0000-0000022E0000}"/>
    <cellStyle name="Normal 4 10 6" xfId="11791" xr:uid="{00000000-0005-0000-0000-0000032E0000}"/>
    <cellStyle name="Normal 4 11" xfId="11792" xr:uid="{00000000-0005-0000-0000-0000042E0000}"/>
    <cellStyle name="Normal 4 11 2" xfId="11793" xr:uid="{00000000-0005-0000-0000-0000052E0000}"/>
    <cellStyle name="Normal 4 11 3" xfId="11794" xr:uid="{00000000-0005-0000-0000-0000062E0000}"/>
    <cellStyle name="Normal 4 11 4" xfId="11795" xr:uid="{00000000-0005-0000-0000-0000072E0000}"/>
    <cellStyle name="Normal 4 11 5" xfId="11796" xr:uid="{00000000-0005-0000-0000-0000082E0000}"/>
    <cellStyle name="Normal 4 12" xfId="11797" xr:uid="{00000000-0005-0000-0000-0000092E0000}"/>
    <cellStyle name="Normal 4 12 2" xfId="11798" xr:uid="{00000000-0005-0000-0000-00000A2E0000}"/>
    <cellStyle name="Normal 4 13" xfId="11799" xr:uid="{00000000-0005-0000-0000-00000B2E0000}"/>
    <cellStyle name="Normal 4 14" xfId="11800" xr:uid="{00000000-0005-0000-0000-00000C2E0000}"/>
    <cellStyle name="Normal 4 15" xfId="11801" xr:uid="{00000000-0005-0000-0000-00000D2E0000}"/>
    <cellStyle name="Normal 4 16" xfId="11802" xr:uid="{00000000-0005-0000-0000-00000E2E0000}"/>
    <cellStyle name="Normal 4 2" xfId="11803" xr:uid="{00000000-0005-0000-0000-00000F2E0000}"/>
    <cellStyle name="Normal 4 2 10" xfId="11804" xr:uid="{00000000-0005-0000-0000-0000102E0000}"/>
    <cellStyle name="Normal 4 2 11" xfId="11805" xr:uid="{00000000-0005-0000-0000-0000112E0000}"/>
    <cellStyle name="Normal 4 2 12" xfId="11806" xr:uid="{00000000-0005-0000-0000-0000122E0000}"/>
    <cellStyle name="Normal 4 2 2" xfId="11807" xr:uid="{00000000-0005-0000-0000-0000132E0000}"/>
    <cellStyle name="Normal 4 2 2 10" xfId="11808" xr:uid="{00000000-0005-0000-0000-0000142E0000}"/>
    <cellStyle name="Normal 4 2 2 11" xfId="11809" xr:uid="{00000000-0005-0000-0000-0000152E0000}"/>
    <cellStyle name="Normal 4 2 2 2" xfId="11810" xr:uid="{00000000-0005-0000-0000-0000162E0000}"/>
    <cellStyle name="Normal 4 2 2 2 2" xfId="11811" xr:uid="{00000000-0005-0000-0000-0000172E0000}"/>
    <cellStyle name="Normal 4 2 2 2 2 2" xfId="11812" xr:uid="{00000000-0005-0000-0000-0000182E0000}"/>
    <cellStyle name="Normal 4 2 2 2 2 2 2" xfId="11813" xr:uid="{00000000-0005-0000-0000-0000192E0000}"/>
    <cellStyle name="Normal 4 2 2 2 2 2 2 2" xfId="11814" xr:uid="{00000000-0005-0000-0000-00001A2E0000}"/>
    <cellStyle name="Normal 4 2 2 2 2 2 2 3" xfId="11815" xr:uid="{00000000-0005-0000-0000-00001B2E0000}"/>
    <cellStyle name="Normal 4 2 2 2 2 2 2 4" xfId="11816" xr:uid="{00000000-0005-0000-0000-00001C2E0000}"/>
    <cellStyle name="Normal 4 2 2 2 2 2 2 5" xfId="11817" xr:uid="{00000000-0005-0000-0000-00001D2E0000}"/>
    <cellStyle name="Normal 4 2 2 2 2 2 3" xfId="11818" xr:uid="{00000000-0005-0000-0000-00001E2E0000}"/>
    <cellStyle name="Normal 4 2 2 2 2 2 4" xfId="11819" xr:uid="{00000000-0005-0000-0000-00001F2E0000}"/>
    <cellStyle name="Normal 4 2 2 2 2 2 5" xfId="11820" xr:uid="{00000000-0005-0000-0000-0000202E0000}"/>
    <cellStyle name="Normal 4 2 2 2 2 2 6" xfId="11821" xr:uid="{00000000-0005-0000-0000-0000212E0000}"/>
    <cellStyle name="Normal 4 2 2 2 2 3" xfId="11822" xr:uid="{00000000-0005-0000-0000-0000222E0000}"/>
    <cellStyle name="Normal 4 2 2 2 2 3 2" xfId="11823" xr:uid="{00000000-0005-0000-0000-0000232E0000}"/>
    <cellStyle name="Normal 4 2 2 2 2 3 3" xfId="11824" xr:uid="{00000000-0005-0000-0000-0000242E0000}"/>
    <cellStyle name="Normal 4 2 2 2 2 3 4" xfId="11825" xr:uid="{00000000-0005-0000-0000-0000252E0000}"/>
    <cellStyle name="Normal 4 2 2 2 2 3 5" xfId="11826" xr:uid="{00000000-0005-0000-0000-0000262E0000}"/>
    <cellStyle name="Normal 4 2 2 2 2 4" xfId="11827" xr:uid="{00000000-0005-0000-0000-0000272E0000}"/>
    <cellStyle name="Normal 4 2 2 2 2 5" xfId="11828" xr:uid="{00000000-0005-0000-0000-0000282E0000}"/>
    <cellStyle name="Normal 4 2 2 2 2 6" xfId="11829" xr:uid="{00000000-0005-0000-0000-0000292E0000}"/>
    <cellStyle name="Normal 4 2 2 2 2 7" xfId="11830" xr:uid="{00000000-0005-0000-0000-00002A2E0000}"/>
    <cellStyle name="Normal 4 2 2 2 3" xfId="11831" xr:uid="{00000000-0005-0000-0000-00002B2E0000}"/>
    <cellStyle name="Normal 4 2 2 2 3 2" xfId="11832" xr:uid="{00000000-0005-0000-0000-00002C2E0000}"/>
    <cellStyle name="Normal 4 2 2 2 3 2 2" xfId="11833" xr:uid="{00000000-0005-0000-0000-00002D2E0000}"/>
    <cellStyle name="Normal 4 2 2 2 3 2 2 2" xfId="11834" xr:uid="{00000000-0005-0000-0000-00002E2E0000}"/>
    <cellStyle name="Normal 4 2 2 2 3 2 2 3" xfId="11835" xr:uid="{00000000-0005-0000-0000-00002F2E0000}"/>
    <cellStyle name="Normal 4 2 2 2 3 2 2 4" xfId="11836" xr:uid="{00000000-0005-0000-0000-0000302E0000}"/>
    <cellStyle name="Normal 4 2 2 2 3 2 2 5" xfId="11837" xr:uid="{00000000-0005-0000-0000-0000312E0000}"/>
    <cellStyle name="Normal 4 2 2 2 3 2 3" xfId="11838" xr:uid="{00000000-0005-0000-0000-0000322E0000}"/>
    <cellStyle name="Normal 4 2 2 2 3 2 4" xfId="11839" xr:uid="{00000000-0005-0000-0000-0000332E0000}"/>
    <cellStyle name="Normal 4 2 2 2 3 2 5" xfId="11840" xr:uid="{00000000-0005-0000-0000-0000342E0000}"/>
    <cellStyle name="Normal 4 2 2 2 3 2 6" xfId="11841" xr:uid="{00000000-0005-0000-0000-0000352E0000}"/>
    <cellStyle name="Normal 4 2 2 2 3 3" xfId="11842" xr:uid="{00000000-0005-0000-0000-0000362E0000}"/>
    <cellStyle name="Normal 4 2 2 2 3 3 2" xfId="11843" xr:uid="{00000000-0005-0000-0000-0000372E0000}"/>
    <cellStyle name="Normal 4 2 2 2 3 3 3" xfId="11844" xr:uid="{00000000-0005-0000-0000-0000382E0000}"/>
    <cellStyle name="Normal 4 2 2 2 3 3 4" xfId="11845" xr:uid="{00000000-0005-0000-0000-0000392E0000}"/>
    <cellStyle name="Normal 4 2 2 2 3 3 5" xfId="11846" xr:uid="{00000000-0005-0000-0000-00003A2E0000}"/>
    <cellStyle name="Normal 4 2 2 2 3 4" xfId="11847" xr:uid="{00000000-0005-0000-0000-00003B2E0000}"/>
    <cellStyle name="Normal 4 2 2 2 3 5" xfId="11848" xr:uid="{00000000-0005-0000-0000-00003C2E0000}"/>
    <cellStyle name="Normal 4 2 2 2 3 6" xfId="11849" xr:uid="{00000000-0005-0000-0000-00003D2E0000}"/>
    <cellStyle name="Normal 4 2 2 2 3 7" xfId="11850" xr:uid="{00000000-0005-0000-0000-00003E2E0000}"/>
    <cellStyle name="Normal 4 2 2 2 4" xfId="11851" xr:uid="{00000000-0005-0000-0000-00003F2E0000}"/>
    <cellStyle name="Normal 4 2 2 2 4 2" xfId="11852" xr:uid="{00000000-0005-0000-0000-0000402E0000}"/>
    <cellStyle name="Normal 4 2 2 2 4 2 2" xfId="11853" xr:uid="{00000000-0005-0000-0000-0000412E0000}"/>
    <cellStyle name="Normal 4 2 2 2 4 2 3" xfId="11854" xr:uid="{00000000-0005-0000-0000-0000422E0000}"/>
    <cellStyle name="Normal 4 2 2 2 4 2 4" xfId="11855" xr:uid="{00000000-0005-0000-0000-0000432E0000}"/>
    <cellStyle name="Normal 4 2 2 2 4 2 5" xfId="11856" xr:uid="{00000000-0005-0000-0000-0000442E0000}"/>
    <cellStyle name="Normal 4 2 2 2 4 3" xfId="11857" xr:uid="{00000000-0005-0000-0000-0000452E0000}"/>
    <cellStyle name="Normal 4 2 2 2 4 4" xfId="11858" xr:uid="{00000000-0005-0000-0000-0000462E0000}"/>
    <cellStyle name="Normal 4 2 2 2 4 5" xfId="11859" xr:uid="{00000000-0005-0000-0000-0000472E0000}"/>
    <cellStyle name="Normal 4 2 2 2 4 6" xfId="11860" xr:uid="{00000000-0005-0000-0000-0000482E0000}"/>
    <cellStyle name="Normal 4 2 2 2 5" xfId="11861" xr:uid="{00000000-0005-0000-0000-0000492E0000}"/>
    <cellStyle name="Normal 4 2 2 2 5 2" xfId="11862" xr:uid="{00000000-0005-0000-0000-00004A2E0000}"/>
    <cellStyle name="Normal 4 2 2 2 5 3" xfId="11863" xr:uid="{00000000-0005-0000-0000-00004B2E0000}"/>
    <cellStyle name="Normal 4 2 2 2 5 4" xfId="11864" xr:uid="{00000000-0005-0000-0000-00004C2E0000}"/>
    <cellStyle name="Normal 4 2 2 2 5 5" xfId="11865" xr:uid="{00000000-0005-0000-0000-00004D2E0000}"/>
    <cellStyle name="Normal 4 2 2 2 6" xfId="11866" xr:uid="{00000000-0005-0000-0000-00004E2E0000}"/>
    <cellStyle name="Normal 4 2 2 2 7" xfId="11867" xr:uid="{00000000-0005-0000-0000-00004F2E0000}"/>
    <cellStyle name="Normal 4 2 2 2 8" xfId="11868" xr:uid="{00000000-0005-0000-0000-0000502E0000}"/>
    <cellStyle name="Normal 4 2 2 2 9" xfId="11869" xr:uid="{00000000-0005-0000-0000-0000512E0000}"/>
    <cellStyle name="Normal 4 2 2 3" xfId="11870" xr:uid="{00000000-0005-0000-0000-0000522E0000}"/>
    <cellStyle name="Normal 4 2 2 3 2" xfId="11871" xr:uid="{00000000-0005-0000-0000-0000532E0000}"/>
    <cellStyle name="Normal 4 2 2 3 2 2" xfId="11872" xr:uid="{00000000-0005-0000-0000-0000542E0000}"/>
    <cellStyle name="Normal 4 2 2 3 2 2 2" xfId="11873" xr:uid="{00000000-0005-0000-0000-0000552E0000}"/>
    <cellStyle name="Normal 4 2 2 3 2 2 2 2" xfId="11874" xr:uid="{00000000-0005-0000-0000-0000562E0000}"/>
    <cellStyle name="Normal 4 2 2 3 2 2 2 3" xfId="11875" xr:uid="{00000000-0005-0000-0000-0000572E0000}"/>
    <cellStyle name="Normal 4 2 2 3 2 2 2 4" xfId="11876" xr:uid="{00000000-0005-0000-0000-0000582E0000}"/>
    <cellStyle name="Normal 4 2 2 3 2 2 2 5" xfId="11877" xr:uid="{00000000-0005-0000-0000-0000592E0000}"/>
    <cellStyle name="Normal 4 2 2 3 2 2 3" xfId="11878" xr:uid="{00000000-0005-0000-0000-00005A2E0000}"/>
    <cellStyle name="Normal 4 2 2 3 2 2 4" xfId="11879" xr:uid="{00000000-0005-0000-0000-00005B2E0000}"/>
    <cellStyle name="Normal 4 2 2 3 2 2 5" xfId="11880" xr:uid="{00000000-0005-0000-0000-00005C2E0000}"/>
    <cellStyle name="Normal 4 2 2 3 2 2 6" xfId="11881" xr:uid="{00000000-0005-0000-0000-00005D2E0000}"/>
    <cellStyle name="Normal 4 2 2 3 2 3" xfId="11882" xr:uid="{00000000-0005-0000-0000-00005E2E0000}"/>
    <cellStyle name="Normal 4 2 2 3 2 3 2" xfId="11883" xr:uid="{00000000-0005-0000-0000-00005F2E0000}"/>
    <cellStyle name="Normal 4 2 2 3 2 3 3" xfId="11884" xr:uid="{00000000-0005-0000-0000-0000602E0000}"/>
    <cellStyle name="Normal 4 2 2 3 2 3 4" xfId="11885" xr:uid="{00000000-0005-0000-0000-0000612E0000}"/>
    <cellStyle name="Normal 4 2 2 3 2 3 5" xfId="11886" xr:uid="{00000000-0005-0000-0000-0000622E0000}"/>
    <cellStyle name="Normal 4 2 2 3 2 4" xfId="11887" xr:uid="{00000000-0005-0000-0000-0000632E0000}"/>
    <cellStyle name="Normal 4 2 2 3 2 5" xfId="11888" xr:uid="{00000000-0005-0000-0000-0000642E0000}"/>
    <cellStyle name="Normal 4 2 2 3 2 6" xfId="11889" xr:uid="{00000000-0005-0000-0000-0000652E0000}"/>
    <cellStyle name="Normal 4 2 2 3 2 7" xfId="11890" xr:uid="{00000000-0005-0000-0000-0000662E0000}"/>
    <cellStyle name="Normal 4 2 2 3 3" xfId="11891" xr:uid="{00000000-0005-0000-0000-0000672E0000}"/>
    <cellStyle name="Normal 4 2 2 3 3 2" xfId="11892" xr:uid="{00000000-0005-0000-0000-0000682E0000}"/>
    <cellStyle name="Normal 4 2 2 3 3 2 2" xfId="11893" xr:uid="{00000000-0005-0000-0000-0000692E0000}"/>
    <cellStyle name="Normal 4 2 2 3 3 2 2 2" xfId="11894" xr:uid="{00000000-0005-0000-0000-00006A2E0000}"/>
    <cellStyle name="Normal 4 2 2 3 3 2 2 3" xfId="11895" xr:uid="{00000000-0005-0000-0000-00006B2E0000}"/>
    <cellStyle name="Normal 4 2 2 3 3 2 2 4" xfId="11896" xr:uid="{00000000-0005-0000-0000-00006C2E0000}"/>
    <cellStyle name="Normal 4 2 2 3 3 2 2 5" xfId="11897" xr:uid="{00000000-0005-0000-0000-00006D2E0000}"/>
    <cellStyle name="Normal 4 2 2 3 3 2 3" xfId="11898" xr:uid="{00000000-0005-0000-0000-00006E2E0000}"/>
    <cellStyle name="Normal 4 2 2 3 3 2 4" xfId="11899" xr:uid="{00000000-0005-0000-0000-00006F2E0000}"/>
    <cellStyle name="Normal 4 2 2 3 3 2 5" xfId="11900" xr:uid="{00000000-0005-0000-0000-0000702E0000}"/>
    <cellStyle name="Normal 4 2 2 3 3 2 6" xfId="11901" xr:uid="{00000000-0005-0000-0000-0000712E0000}"/>
    <cellStyle name="Normal 4 2 2 3 3 3" xfId="11902" xr:uid="{00000000-0005-0000-0000-0000722E0000}"/>
    <cellStyle name="Normal 4 2 2 3 3 3 2" xfId="11903" xr:uid="{00000000-0005-0000-0000-0000732E0000}"/>
    <cellStyle name="Normal 4 2 2 3 3 3 3" xfId="11904" xr:uid="{00000000-0005-0000-0000-0000742E0000}"/>
    <cellStyle name="Normal 4 2 2 3 3 3 4" xfId="11905" xr:uid="{00000000-0005-0000-0000-0000752E0000}"/>
    <cellStyle name="Normal 4 2 2 3 3 3 5" xfId="11906" xr:uid="{00000000-0005-0000-0000-0000762E0000}"/>
    <cellStyle name="Normal 4 2 2 3 3 4" xfId="11907" xr:uid="{00000000-0005-0000-0000-0000772E0000}"/>
    <cellStyle name="Normal 4 2 2 3 3 5" xfId="11908" xr:uid="{00000000-0005-0000-0000-0000782E0000}"/>
    <cellStyle name="Normal 4 2 2 3 3 6" xfId="11909" xr:uid="{00000000-0005-0000-0000-0000792E0000}"/>
    <cellStyle name="Normal 4 2 2 3 3 7" xfId="11910" xr:uid="{00000000-0005-0000-0000-00007A2E0000}"/>
    <cellStyle name="Normal 4 2 2 3 4" xfId="11911" xr:uid="{00000000-0005-0000-0000-00007B2E0000}"/>
    <cellStyle name="Normal 4 2 2 3 4 2" xfId="11912" xr:uid="{00000000-0005-0000-0000-00007C2E0000}"/>
    <cellStyle name="Normal 4 2 2 3 4 2 2" xfId="11913" xr:uid="{00000000-0005-0000-0000-00007D2E0000}"/>
    <cellStyle name="Normal 4 2 2 3 4 2 3" xfId="11914" xr:uid="{00000000-0005-0000-0000-00007E2E0000}"/>
    <cellStyle name="Normal 4 2 2 3 4 2 4" xfId="11915" xr:uid="{00000000-0005-0000-0000-00007F2E0000}"/>
    <cellStyle name="Normal 4 2 2 3 4 2 5" xfId="11916" xr:uid="{00000000-0005-0000-0000-0000802E0000}"/>
    <cellStyle name="Normal 4 2 2 3 4 3" xfId="11917" xr:uid="{00000000-0005-0000-0000-0000812E0000}"/>
    <cellStyle name="Normal 4 2 2 3 4 4" xfId="11918" xr:uid="{00000000-0005-0000-0000-0000822E0000}"/>
    <cellStyle name="Normal 4 2 2 3 4 5" xfId="11919" xr:uid="{00000000-0005-0000-0000-0000832E0000}"/>
    <cellStyle name="Normal 4 2 2 3 4 6" xfId="11920" xr:uid="{00000000-0005-0000-0000-0000842E0000}"/>
    <cellStyle name="Normal 4 2 2 3 5" xfId="11921" xr:uid="{00000000-0005-0000-0000-0000852E0000}"/>
    <cellStyle name="Normal 4 2 2 3 5 2" xfId="11922" xr:uid="{00000000-0005-0000-0000-0000862E0000}"/>
    <cellStyle name="Normal 4 2 2 3 5 3" xfId="11923" xr:uid="{00000000-0005-0000-0000-0000872E0000}"/>
    <cellStyle name="Normal 4 2 2 3 5 4" xfId="11924" xr:uid="{00000000-0005-0000-0000-0000882E0000}"/>
    <cellStyle name="Normal 4 2 2 3 5 5" xfId="11925" xr:uid="{00000000-0005-0000-0000-0000892E0000}"/>
    <cellStyle name="Normal 4 2 2 3 6" xfId="11926" xr:uid="{00000000-0005-0000-0000-00008A2E0000}"/>
    <cellStyle name="Normal 4 2 2 3 7" xfId="11927" xr:uid="{00000000-0005-0000-0000-00008B2E0000}"/>
    <cellStyle name="Normal 4 2 2 3 8" xfId="11928" xr:uid="{00000000-0005-0000-0000-00008C2E0000}"/>
    <cellStyle name="Normal 4 2 2 3 9" xfId="11929" xr:uid="{00000000-0005-0000-0000-00008D2E0000}"/>
    <cellStyle name="Normal 4 2 2 4" xfId="11930" xr:uid="{00000000-0005-0000-0000-00008E2E0000}"/>
    <cellStyle name="Normal 4 2 2 4 2" xfId="11931" xr:uid="{00000000-0005-0000-0000-00008F2E0000}"/>
    <cellStyle name="Normal 4 2 2 4 2 2" xfId="11932" xr:uid="{00000000-0005-0000-0000-0000902E0000}"/>
    <cellStyle name="Normal 4 2 2 4 2 2 2" xfId="11933" xr:uid="{00000000-0005-0000-0000-0000912E0000}"/>
    <cellStyle name="Normal 4 2 2 4 2 2 3" xfId="11934" xr:uid="{00000000-0005-0000-0000-0000922E0000}"/>
    <cellStyle name="Normal 4 2 2 4 2 2 4" xfId="11935" xr:uid="{00000000-0005-0000-0000-0000932E0000}"/>
    <cellStyle name="Normal 4 2 2 4 2 2 5" xfId="11936" xr:uid="{00000000-0005-0000-0000-0000942E0000}"/>
    <cellStyle name="Normal 4 2 2 4 2 3" xfId="11937" xr:uid="{00000000-0005-0000-0000-0000952E0000}"/>
    <cellStyle name="Normal 4 2 2 4 2 4" xfId="11938" xr:uid="{00000000-0005-0000-0000-0000962E0000}"/>
    <cellStyle name="Normal 4 2 2 4 2 5" xfId="11939" xr:uid="{00000000-0005-0000-0000-0000972E0000}"/>
    <cellStyle name="Normal 4 2 2 4 2 6" xfId="11940" xr:uid="{00000000-0005-0000-0000-0000982E0000}"/>
    <cellStyle name="Normal 4 2 2 4 3" xfId="11941" xr:uid="{00000000-0005-0000-0000-0000992E0000}"/>
    <cellStyle name="Normal 4 2 2 4 3 2" xfId="11942" xr:uid="{00000000-0005-0000-0000-00009A2E0000}"/>
    <cellStyle name="Normal 4 2 2 4 3 3" xfId="11943" xr:uid="{00000000-0005-0000-0000-00009B2E0000}"/>
    <cellStyle name="Normal 4 2 2 4 3 4" xfId="11944" xr:uid="{00000000-0005-0000-0000-00009C2E0000}"/>
    <cellStyle name="Normal 4 2 2 4 3 5" xfId="11945" xr:uid="{00000000-0005-0000-0000-00009D2E0000}"/>
    <cellStyle name="Normal 4 2 2 4 4" xfId="11946" xr:uid="{00000000-0005-0000-0000-00009E2E0000}"/>
    <cellStyle name="Normal 4 2 2 4 5" xfId="11947" xr:uid="{00000000-0005-0000-0000-00009F2E0000}"/>
    <cellStyle name="Normal 4 2 2 4 6" xfId="11948" xr:uid="{00000000-0005-0000-0000-0000A02E0000}"/>
    <cellStyle name="Normal 4 2 2 4 7" xfId="11949" xr:uid="{00000000-0005-0000-0000-0000A12E0000}"/>
    <cellStyle name="Normal 4 2 2 5" xfId="11950" xr:uid="{00000000-0005-0000-0000-0000A22E0000}"/>
    <cellStyle name="Normal 4 2 2 5 2" xfId="11951" xr:uid="{00000000-0005-0000-0000-0000A32E0000}"/>
    <cellStyle name="Normal 4 2 2 5 2 2" xfId="11952" xr:uid="{00000000-0005-0000-0000-0000A42E0000}"/>
    <cellStyle name="Normal 4 2 2 5 2 2 2" xfId="11953" xr:uid="{00000000-0005-0000-0000-0000A52E0000}"/>
    <cellStyle name="Normal 4 2 2 5 2 2 3" xfId="11954" xr:uid="{00000000-0005-0000-0000-0000A62E0000}"/>
    <cellStyle name="Normal 4 2 2 5 2 2 4" xfId="11955" xr:uid="{00000000-0005-0000-0000-0000A72E0000}"/>
    <cellStyle name="Normal 4 2 2 5 2 2 5" xfId="11956" xr:uid="{00000000-0005-0000-0000-0000A82E0000}"/>
    <cellStyle name="Normal 4 2 2 5 2 3" xfId="11957" xr:uid="{00000000-0005-0000-0000-0000A92E0000}"/>
    <cellStyle name="Normal 4 2 2 5 2 4" xfId="11958" xr:uid="{00000000-0005-0000-0000-0000AA2E0000}"/>
    <cellStyle name="Normal 4 2 2 5 2 5" xfId="11959" xr:uid="{00000000-0005-0000-0000-0000AB2E0000}"/>
    <cellStyle name="Normal 4 2 2 5 2 6" xfId="11960" xr:uid="{00000000-0005-0000-0000-0000AC2E0000}"/>
    <cellStyle name="Normal 4 2 2 5 3" xfId="11961" xr:uid="{00000000-0005-0000-0000-0000AD2E0000}"/>
    <cellStyle name="Normal 4 2 2 5 3 2" xfId="11962" xr:uid="{00000000-0005-0000-0000-0000AE2E0000}"/>
    <cellStyle name="Normal 4 2 2 5 3 3" xfId="11963" xr:uid="{00000000-0005-0000-0000-0000AF2E0000}"/>
    <cellStyle name="Normal 4 2 2 5 3 4" xfId="11964" xr:uid="{00000000-0005-0000-0000-0000B02E0000}"/>
    <cellStyle name="Normal 4 2 2 5 3 5" xfId="11965" xr:uid="{00000000-0005-0000-0000-0000B12E0000}"/>
    <cellStyle name="Normal 4 2 2 5 4" xfId="11966" xr:uid="{00000000-0005-0000-0000-0000B22E0000}"/>
    <cellStyle name="Normal 4 2 2 5 5" xfId="11967" xr:uid="{00000000-0005-0000-0000-0000B32E0000}"/>
    <cellStyle name="Normal 4 2 2 5 6" xfId="11968" xr:uid="{00000000-0005-0000-0000-0000B42E0000}"/>
    <cellStyle name="Normal 4 2 2 5 7" xfId="11969" xr:uid="{00000000-0005-0000-0000-0000B52E0000}"/>
    <cellStyle name="Normal 4 2 2 6" xfId="11970" xr:uid="{00000000-0005-0000-0000-0000B62E0000}"/>
    <cellStyle name="Normal 4 2 2 6 2" xfId="11971" xr:uid="{00000000-0005-0000-0000-0000B72E0000}"/>
    <cellStyle name="Normal 4 2 2 6 2 2" xfId="11972" xr:uid="{00000000-0005-0000-0000-0000B82E0000}"/>
    <cellStyle name="Normal 4 2 2 6 2 3" xfId="11973" xr:uid="{00000000-0005-0000-0000-0000B92E0000}"/>
    <cellStyle name="Normal 4 2 2 6 2 4" xfId="11974" xr:uid="{00000000-0005-0000-0000-0000BA2E0000}"/>
    <cellStyle name="Normal 4 2 2 6 2 5" xfId="11975" xr:uid="{00000000-0005-0000-0000-0000BB2E0000}"/>
    <cellStyle name="Normal 4 2 2 6 3" xfId="11976" xr:uid="{00000000-0005-0000-0000-0000BC2E0000}"/>
    <cellStyle name="Normal 4 2 2 6 4" xfId="11977" xr:uid="{00000000-0005-0000-0000-0000BD2E0000}"/>
    <cellStyle name="Normal 4 2 2 6 5" xfId="11978" xr:uid="{00000000-0005-0000-0000-0000BE2E0000}"/>
    <cellStyle name="Normal 4 2 2 6 6" xfId="11979" xr:uid="{00000000-0005-0000-0000-0000BF2E0000}"/>
    <cellStyle name="Normal 4 2 2 7" xfId="11980" xr:uid="{00000000-0005-0000-0000-0000C02E0000}"/>
    <cellStyle name="Normal 4 2 2 7 2" xfId="11981" xr:uid="{00000000-0005-0000-0000-0000C12E0000}"/>
    <cellStyle name="Normal 4 2 2 7 3" xfId="11982" xr:uid="{00000000-0005-0000-0000-0000C22E0000}"/>
    <cellStyle name="Normal 4 2 2 7 4" xfId="11983" xr:uid="{00000000-0005-0000-0000-0000C32E0000}"/>
    <cellStyle name="Normal 4 2 2 7 5" xfId="11984" xr:uid="{00000000-0005-0000-0000-0000C42E0000}"/>
    <cellStyle name="Normal 4 2 2 8" xfId="11985" xr:uid="{00000000-0005-0000-0000-0000C52E0000}"/>
    <cellStyle name="Normal 4 2 2 9" xfId="11986" xr:uid="{00000000-0005-0000-0000-0000C62E0000}"/>
    <cellStyle name="Normal 4 2 3" xfId="11987" xr:uid="{00000000-0005-0000-0000-0000C72E0000}"/>
    <cellStyle name="Normal 4 2 3 2" xfId="11988" xr:uid="{00000000-0005-0000-0000-0000C82E0000}"/>
    <cellStyle name="Normal 4 2 3 2 2" xfId="11989" xr:uid="{00000000-0005-0000-0000-0000C92E0000}"/>
    <cellStyle name="Normal 4 2 3 2 2 2" xfId="11990" xr:uid="{00000000-0005-0000-0000-0000CA2E0000}"/>
    <cellStyle name="Normal 4 2 3 2 2 2 2" xfId="11991" xr:uid="{00000000-0005-0000-0000-0000CB2E0000}"/>
    <cellStyle name="Normal 4 2 3 2 2 2 3" xfId="11992" xr:uid="{00000000-0005-0000-0000-0000CC2E0000}"/>
    <cellStyle name="Normal 4 2 3 2 2 2 4" xfId="11993" xr:uid="{00000000-0005-0000-0000-0000CD2E0000}"/>
    <cellStyle name="Normal 4 2 3 2 2 2 5" xfId="11994" xr:uid="{00000000-0005-0000-0000-0000CE2E0000}"/>
    <cellStyle name="Normal 4 2 3 2 2 3" xfId="11995" xr:uid="{00000000-0005-0000-0000-0000CF2E0000}"/>
    <cellStyle name="Normal 4 2 3 2 2 4" xfId="11996" xr:uid="{00000000-0005-0000-0000-0000D02E0000}"/>
    <cellStyle name="Normal 4 2 3 2 2 5" xfId="11997" xr:uid="{00000000-0005-0000-0000-0000D12E0000}"/>
    <cellStyle name="Normal 4 2 3 2 2 6" xfId="11998" xr:uid="{00000000-0005-0000-0000-0000D22E0000}"/>
    <cellStyle name="Normal 4 2 3 2 3" xfId="11999" xr:uid="{00000000-0005-0000-0000-0000D32E0000}"/>
    <cellStyle name="Normal 4 2 3 2 3 2" xfId="12000" xr:uid="{00000000-0005-0000-0000-0000D42E0000}"/>
    <cellStyle name="Normal 4 2 3 2 3 3" xfId="12001" xr:uid="{00000000-0005-0000-0000-0000D52E0000}"/>
    <cellStyle name="Normal 4 2 3 2 3 4" xfId="12002" xr:uid="{00000000-0005-0000-0000-0000D62E0000}"/>
    <cellStyle name="Normal 4 2 3 2 3 5" xfId="12003" xr:uid="{00000000-0005-0000-0000-0000D72E0000}"/>
    <cellStyle name="Normal 4 2 3 2 4" xfId="12004" xr:uid="{00000000-0005-0000-0000-0000D82E0000}"/>
    <cellStyle name="Normal 4 2 3 2 5" xfId="12005" xr:uid="{00000000-0005-0000-0000-0000D92E0000}"/>
    <cellStyle name="Normal 4 2 3 2 6" xfId="12006" xr:uid="{00000000-0005-0000-0000-0000DA2E0000}"/>
    <cellStyle name="Normal 4 2 3 2 7" xfId="12007" xr:uid="{00000000-0005-0000-0000-0000DB2E0000}"/>
    <cellStyle name="Normal 4 2 3 3" xfId="12008" xr:uid="{00000000-0005-0000-0000-0000DC2E0000}"/>
    <cellStyle name="Normal 4 2 3 3 2" xfId="12009" xr:uid="{00000000-0005-0000-0000-0000DD2E0000}"/>
    <cellStyle name="Normal 4 2 3 3 2 2" xfId="12010" xr:uid="{00000000-0005-0000-0000-0000DE2E0000}"/>
    <cellStyle name="Normal 4 2 3 3 2 2 2" xfId="12011" xr:uid="{00000000-0005-0000-0000-0000DF2E0000}"/>
    <cellStyle name="Normal 4 2 3 3 2 2 3" xfId="12012" xr:uid="{00000000-0005-0000-0000-0000E02E0000}"/>
    <cellStyle name="Normal 4 2 3 3 2 2 4" xfId="12013" xr:uid="{00000000-0005-0000-0000-0000E12E0000}"/>
    <cellStyle name="Normal 4 2 3 3 2 2 5" xfId="12014" xr:uid="{00000000-0005-0000-0000-0000E22E0000}"/>
    <cellStyle name="Normal 4 2 3 3 2 3" xfId="12015" xr:uid="{00000000-0005-0000-0000-0000E32E0000}"/>
    <cellStyle name="Normal 4 2 3 3 2 4" xfId="12016" xr:uid="{00000000-0005-0000-0000-0000E42E0000}"/>
    <cellStyle name="Normal 4 2 3 3 2 5" xfId="12017" xr:uid="{00000000-0005-0000-0000-0000E52E0000}"/>
    <cellStyle name="Normal 4 2 3 3 2 6" xfId="12018" xr:uid="{00000000-0005-0000-0000-0000E62E0000}"/>
    <cellStyle name="Normal 4 2 3 3 3" xfId="12019" xr:uid="{00000000-0005-0000-0000-0000E72E0000}"/>
    <cellStyle name="Normal 4 2 3 3 3 2" xfId="12020" xr:uid="{00000000-0005-0000-0000-0000E82E0000}"/>
    <cellStyle name="Normal 4 2 3 3 3 3" xfId="12021" xr:uid="{00000000-0005-0000-0000-0000E92E0000}"/>
    <cellStyle name="Normal 4 2 3 3 3 4" xfId="12022" xr:uid="{00000000-0005-0000-0000-0000EA2E0000}"/>
    <cellStyle name="Normal 4 2 3 3 3 5" xfId="12023" xr:uid="{00000000-0005-0000-0000-0000EB2E0000}"/>
    <cellStyle name="Normal 4 2 3 3 4" xfId="12024" xr:uid="{00000000-0005-0000-0000-0000EC2E0000}"/>
    <cellStyle name="Normal 4 2 3 3 5" xfId="12025" xr:uid="{00000000-0005-0000-0000-0000ED2E0000}"/>
    <cellStyle name="Normal 4 2 3 3 6" xfId="12026" xr:uid="{00000000-0005-0000-0000-0000EE2E0000}"/>
    <cellStyle name="Normal 4 2 3 3 7" xfId="12027" xr:uid="{00000000-0005-0000-0000-0000EF2E0000}"/>
    <cellStyle name="Normal 4 2 3 4" xfId="12028" xr:uid="{00000000-0005-0000-0000-0000F02E0000}"/>
    <cellStyle name="Normal 4 2 3 4 2" xfId="12029" xr:uid="{00000000-0005-0000-0000-0000F12E0000}"/>
    <cellStyle name="Normal 4 2 3 4 2 2" xfId="12030" xr:uid="{00000000-0005-0000-0000-0000F22E0000}"/>
    <cellStyle name="Normal 4 2 3 4 2 3" xfId="12031" xr:uid="{00000000-0005-0000-0000-0000F32E0000}"/>
    <cellStyle name="Normal 4 2 3 4 2 4" xfId="12032" xr:uid="{00000000-0005-0000-0000-0000F42E0000}"/>
    <cellStyle name="Normal 4 2 3 4 2 5" xfId="12033" xr:uid="{00000000-0005-0000-0000-0000F52E0000}"/>
    <cellStyle name="Normal 4 2 3 4 3" xfId="12034" xr:uid="{00000000-0005-0000-0000-0000F62E0000}"/>
    <cellStyle name="Normal 4 2 3 4 4" xfId="12035" xr:uid="{00000000-0005-0000-0000-0000F72E0000}"/>
    <cellStyle name="Normal 4 2 3 4 5" xfId="12036" xr:uid="{00000000-0005-0000-0000-0000F82E0000}"/>
    <cellStyle name="Normal 4 2 3 4 6" xfId="12037" xr:uid="{00000000-0005-0000-0000-0000F92E0000}"/>
    <cellStyle name="Normal 4 2 3 5" xfId="12038" xr:uid="{00000000-0005-0000-0000-0000FA2E0000}"/>
    <cellStyle name="Normal 4 2 3 5 2" xfId="12039" xr:uid="{00000000-0005-0000-0000-0000FB2E0000}"/>
    <cellStyle name="Normal 4 2 3 5 3" xfId="12040" xr:uid="{00000000-0005-0000-0000-0000FC2E0000}"/>
    <cellStyle name="Normal 4 2 3 5 4" xfId="12041" xr:uid="{00000000-0005-0000-0000-0000FD2E0000}"/>
    <cellStyle name="Normal 4 2 3 5 5" xfId="12042" xr:uid="{00000000-0005-0000-0000-0000FE2E0000}"/>
    <cellStyle name="Normal 4 2 3 6" xfId="12043" xr:uid="{00000000-0005-0000-0000-0000FF2E0000}"/>
    <cellStyle name="Normal 4 2 3 7" xfId="12044" xr:uid="{00000000-0005-0000-0000-0000002F0000}"/>
    <cellStyle name="Normal 4 2 3 8" xfId="12045" xr:uid="{00000000-0005-0000-0000-0000012F0000}"/>
    <cellStyle name="Normal 4 2 3 9" xfId="12046" xr:uid="{00000000-0005-0000-0000-0000022F0000}"/>
    <cellStyle name="Normal 4 2 4" xfId="12047" xr:uid="{00000000-0005-0000-0000-0000032F0000}"/>
    <cellStyle name="Normal 4 2 4 2" xfId="12048" xr:uid="{00000000-0005-0000-0000-0000042F0000}"/>
    <cellStyle name="Normal 4 2 4 2 2" xfId="12049" xr:uid="{00000000-0005-0000-0000-0000052F0000}"/>
    <cellStyle name="Normal 4 2 4 2 2 2" xfId="12050" xr:uid="{00000000-0005-0000-0000-0000062F0000}"/>
    <cellStyle name="Normal 4 2 4 2 2 2 2" xfId="12051" xr:uid="{00000000-0005-0000-0000-0000072F0000}"/>
    <cellStyle name="Normal 4 2 4 2 2 2 3" xfId="12052" xr:uid="{00000000-0005-0000-0000-0000082F0000}"/>
    <cellStyle name="Normal 4 2 4 2 2 2 4" xfId="12053" xr:uid="{00000000-0005-0000-0000-0000092F0000}"/>
    <cellStyle name="Normal 4 2 4 2 2 2 5" xfId="12054" xr:uid="{00000000-0005-0000-0000-00000A2F0000}"/>
    <cellStyle name="Normal 4 2 4 2 2 3" xfId="12055" xr:uid="{00000000-0005-0000-0000-00000B2F0000}"/>
    <cellStyle name="Normal 4 2 4 2 2 4" xfId="12056" xr:uid="{00000000-0005-0000-0000-00000C2F0000}"/>
    <cellStyle name="Normal 4 2 4 2 2 5" xfId="12057" xr:uid="{00000000-0005-0000-0000-00000D2F0000}"/>
    <cellStyle name="Normal 4 2 4 2 2 6" xfId="12058" xr:uid="{00000000-0005-0000-0000-00000E2F0000}"/>
    <cellStyle name="Normal 4 2 4 2 3" xfId="12059" xr:uid="{00000000-0005-0000-0000-00000F2F0000}"/>
    <cellStyle name="Normal 4 2 4 2 3 2" xfId="12060" xr:uid="{00000000-0005-0000-0000-0000102F0000}"/>
    <cellStyle name="Normal 4 2 4 2 3 3" xfId="12061" xr:uid="{00000000-0005-0000-0000-0000112F0000}"/>
    <cellStyle name="Normal 4 2 4 2 3 4" xfId="12062" xr:uid="{00000000-0005-0000-0000-0000122F0000}"/>
    <cellStyle name="Normal 4 2 4 2 3 5" xfId="12063" xr:uid="{00000000-0005-0000-0000-0000132F0000}"/>
    <cellStyle name="Normal 4 2 4 2 4" xfId="12064" xr:uid="{00000000-0005-0000-0000-0000142F0000}"/>
    <cellStyle name="Normal 4 2 4 2 5" xfId="12065" xr:uid="{00000000-0005-0000-0000-0000152F0000}"/>
    <cellStyle name="Normal 4 2 4 2 6" xfId="12066" xr:uid="{00000000-0005-0000-0000-0000162F0000}"/>
    <cellStyle name="Normal 4 2 4 2 7" xfId="12067" xr:uid="{00000000-0005-0000-0000-0000172F0000}"/>
    <cellStyle name="Normal 4 2 4 3" xfId="12068" xr:uid="{00000000-0005-0000-0000-0000182F0000}"/>
    <cellStyle name="Normal 4 2 4 3 2" xfId="12069" xr:uid="{00000000-0005-0000-0000-0000192F0000}"/>
    <cellStyle name="Normal 4 2 4 3 2 2" xfId="12070" xr:uid="{00000000-0005-0000-0000-00001A2F0000}"/>
    <cellStyle name="Normal 4 2 4 3 2 2 2" xfId="12071" xr:uid="{00000000-0005-0000-0000-00001B2F0000}"/>
    <cellStyle name="Normal 4 2 4 3 2 2 3" xfId="12072" xr:uid="{00000000-0005-0000-0000-00001C2F0000}"/>
    <cellStyle name="Normal 4 2 4 3 2 2 4" xfId="12073" xr:uid="{00000000-0005-0000-0000-00001D2F0000}"/>
    <cellStyle name="Normal 4 2 4 3 2 2 5" xfId="12074" xr:uid="{00000000-0005-0000-0000-00001E2F0000}"/>
    <cellStyle name="Normal 4 2 4 3 2 3" xfId="12075" xr:uid="{00000000-0005-0000-0000-00001F2F0000}"/>
    <cellStyle name="Normal 4 2 4 3 2 4" xfId="12076" xr:uid="{00000000-0005-0000-0000-0000202F0000}"/>
    <cellStyle name="Normal 4 2 4 3 2 5" xfId="12077" xr:uid="{00000000-0005-0000-0000-0000212F0000}"/>
    <cellStyle name="Normal 4 2 4 3 2 6" xfId="12078" xr:uid="{00000000-0005-0000-0000-0000222F0000}"/>
    <cellStyle name="Normal 4 2 4 3 3" xfId="12079" xr:uid="{00000000-0005-0000-0000-0000232F0000}"/>
    <cellStyle name="Normal 4 2 4 3 3 2" xfId="12080" xr:uid="{00000000-0005-0000-0000-0000242F0000}"/>
    <cellStyle name="Normal 4 2 4 3 3 3" xfId="12081" xr:uid="{00000000-0005-0000-0000-0000252F0000}"/>
    <cellStyle name="Normal 4 2 4 3 3 4" xfId="12082" xr:uid="{00000000-0005-0000-0000-0000262F0000}"/>
    <cellStyle name="Normal 4 2 4 3 3 5" xfId="12083" xr:uid="{00000000-0005-0000-0000-0000272F0000}"/>
    <cellStyle name="Normal 4 2 4 3 4" xfId="12084" xr:uid="{00000000-0005-0000-0000-0000282F0000}"/>
    <cellStyle name="Normal 4 2 4 3 5" xfId="12085" xr:uid="{00000000-0005-0000-0000-0000292F0000}"/>
    <cellStyle name="Normal 4 2 4 3 6" xfId="12086" xr:uid="{00000000-0005-0000-0000-00002A2F0000}"/>
    <cellStyle name="Normal 4 2 4 3 7" xfId="12087" xr:uid="{00000000-0005-0000-0000-00002B2F0000}"/>
    <cellStyle name="Normal 4 2 4 4" xfId="12088" xr:uid="{00000000-0005-0000-0000-00002C2F0000}"/>
    <cellStyle name="Normal 4 2 4 4 2" xfId="12089" xr:uid="{00000000-0005-0000-0000-00002D2F0000}"/>
    <cellStyle name="Normal 4 2 4 4 2 2" xfId="12090" xr:uid="{00000000-0005-0000-0000-00002E2F0000}"/>
    <cellStyle name="Normal 4 2 4 4 2 3" xfId="12091" xr:uid="{00000000-0005-0000-0000-00002F2F0000}"/>
    <cellStyle name="Normal 4 2 4 4 2 4" xfId="12092" xr:uid="{00000000-0005-0000-0000-0000302F0000}"/>
    <cellStyle name="Normal 4 2 4 4 2 5" xfId="12093" xr:uid="{00000000-0005-0000-0000-0000312F0000}"/>
    <cellStyle name="Normal 4 2 4 4 3" xfId="12094" xr:uid="{00000000-0005-0000-0000-0000322F0000}"/>
    <cellStyle name="Normal 4 2 4 4 4" xfId="12095" xr:uid="{00000000-0005-0000-0000-0000332F0000}"/>
    <cellStyle name="Normal 4 2 4 4 5" xfId="12096" xr:uid="{00000000-0005-0000-0000-0000342F0000}"/>
    <cellStyle name="Normal 4 2 4 4 6" xfId="12097" xr:uid="{00000000-0005-0000-0000-0000352F0000}"/>
    <cellStyle name="Normal 4 2 4 5" xfId="12098" xr:uid="{00000000-0005-0000-0000-0000362F0000}"/>
    <cellStyle name="Normal 4 2 4 5 2" xfId="12099" xr:uid="{00000000-0005-0000-0000-0000372F0000}"/>
    <cellStyle name="Normal 4 2 4 5 3" xfId="12100" xr:uid="{00000000-0005-0000-0000-0000382F0000}"/>
    <cellStyle name="Normal 4 2 4 5 4" xfId="12101" xr:uid="{00000000-0005-0000-0000-0000392F0000}"/>
    <cellStyle name="Normal 4 2 4 5 5" xfId="12102" xr:uid="{00000000-0005-0000-0000-00003A2F0000}"/>
    <cellStyle name="Normal 4 2 4 6" xfId="12103" xr:uid="{00000000-0005-0000-0000-00003B2F0000}"/>
    <cellStyle name="Normal 4 2 4 7" xfId="12104" xr:uid="{00000000-0005-0000-0000-00003C2F0000}"/>
    <cellStyle name="Normal 4 2 4 8" xfId="12105" xr:uid="{00000000-0005-0000-0000-00003D2F0000}"/>
    <cellStyle name="Normal 4 2 4 9" xfId="12106" xr:uid="{00000000-0005-0000-0000-00003E2F0000}"/>
    <cellStyle name="Normal 4 2 5" xfId="12107" xr:uid="{00000000-0005-0000-0000-00003F2F0000}"/>
    <cellStyle name="Normal 4 2 5 2" xfId="12108" xr:uid="{00000000-0005-0000-0000-0000402F0000}"/>
    <cellStyle name="Normal 4 2 5 2 2" xfId="12109" xr:uid="{00000000-0005-0000-0000-0000412F0000}"/>
    <cellStyle name="Normal 4 2 5 2 2 2" xfId="12110" xr:uid="{00000000-0005-0000-0000-0000422F0000}"/>
    <cellStyle name="Normal 4 2 5 2 2 3" xfId="12111" xr:uid="{00000000-0005-0000-0000-0000432F0000}"/>
    <cellStyle name="Normal 4 2 5 2 2 4" xfId="12112" xr:uid="{00000000-0005-0000-0000-0000442F0000}"/>
    <cellStyle name="Normal 4 2 5 2 2 5" xfId="12113" xr:uid="{00000000-0005-0000-0000-0000452F0000}"/>
    <cellStyle name="Normal 4 2 5 2 3" xfId="12114" xr:uid="{00000000-0005-0000-0000-0000462F0000}"/>
    <cellStyle name="Normal 4 2 5 2 4" xfId="12115" xr:uid="{00000000-0005-0000-0000-0000472F0000}"/>
    <cellStyle name="Normal 4 2 5 2 5" xfId="12116" xr:uid="{00000000-0005-0000-0000-0000482F0000}"/>
    <cellStyle name="Normal 4 2 5 2 6" xfId="12117" xr:uid="{00000000-0005-0000-0000-0000492F0000}"/>
    <cellStyle name="Normal 4 2 5 3" xfId="12118" xr:uid="{00000000-0005-0000-0000-00004A2F0000}"/>
    <cellStyle name="Normal 4 2 5 3 2" xfId="12119" xr:uid="{00000000-0005-0000-0000-00004B2F0000}"/>
    <cellStyle name="Normal 4 2 5 3 3" xfId="12120" xr:uid="{00000000-0005-0000-0000-00004C2F0000}"/>
    <cellStyle name="Normal 4 2 5 3 4" xfId="12121" xr:uid="{00000000-0005-0000-0000-00004D2F0000}"/>
    <cellStyle name="Normal 4 2 5 3 5" xfId="12122" xr:uid="{00000000-0005-0000-0000-00004E2F0000}"/>
    <cellStyle name="Normal 4 2 5 4" xfId="12123" xr:uid="{00000000-0005-0000-0000-00004F2F0000}"/>
    <cellStyle name="Normal 4 2 5 5" xfId="12124" xr:uid="{00000000-0005-0000-0000-0000502F0000}"/>
    <cellStyle name="Normal 4 2 5 6" xfId="12125" xr:uid="{00000000-0005-0000-0000-0000512F0000}"/>
    <cellStyle name="Normal 4 2 5 7" xfId="12126" xr:uid="{00000000-0005-0000-0000-0000522F0000}"/>
    <cellStyle name="Normal 4 2 6" xfId="12127" xr:uid="{00000000-0005-0000-0000-0000532F0000}"/>
    <cellStyle name="Normal 4 2 6 2" xfId="12128" xr:uid="{00000000-0005-0000-0000-0000542F0000}"/>
    <cellStyle name="Normal 4 2 6 2 2" xfId="12129" xr:uid="{00000000-0005-0000-0000-0000552F0000}"/>
    <cellStyle name="Normal 4 2 6 2 2 2" xfId="12130" xr:uid="{00000000-0005-0000-0000-0000562F0000}"/>
    <cellStyle name="Normal 4 2 6 2 2 3" xfId="12131" xr:uid="{00000000-0005-0000-0000-0000572F0000}"/>
    <cellStyle name="Normal 4 2 6 2 2 4" xfId="12132" xr:uid="{00000000-0005-0000-0000-0000582F0000}"/>
    <cellStyle name="Normal 4 2 6 2 2 5" xfId="12133" xr:uid="{00000000-0005-0000-0000-0000592F0000}"/>
    <cellStyle name="Normal 4 2 6 2 3" xfId="12134" xr:uid="{00000000-0005-0000-0000-00005A2F0000}"/>
    <cellStyle name="Normal 4 2 6 2 4" xfId="12135" xr:uid="{00000000-0005-0000-0000-00005B2F0000}"/>
    <cellStyle name="Normal 4 2 6 2 5" xfId="12136" xr:uid="{00000000-0005-0000-0000-00005C2F0000}"/>
    <cellStyle name="Normal 4 2 6 2 6" xfId="12137" xr:uid="{00000000-0005-0000-0000-00005D2F0000}"/>
    <cellStyle name="Normal 4 2 6 3" xfId="12138" xr:uid="{00000000-0005-0000-0000-00005E2F0000}"/>
    <cellStyle name="Normal 4 2 6 3 2" xfId="12139" xr:uid="{00000000-0005-0000-0000-00005F2F0000}"/>
    <cellStyle name="Normal 4 2 6 3 3" xfId="12140" xr:uid="{00000000-0005-0000-0000-0000602F0000}"/>
    <cellStyle name="Normal 4 2 6 3 4" xfId="12141" xr:uid="{00000000-0005-0000-0000-0000612F0000}"/>
    <cellStyle name="Normal 4 2 6 3 5" xfId="12142" xr:uid="{00000000-0005-0000-0000-0000622F0000}"/>
    <cellStyle name="Normal 4 2 6 4" xfId="12143" xr:uid="{00000000-0005-0000-0000-0000632F0000}"/>
    <cellStyle name="Normal 4 2 6 5" xfId="12144" xr:uid="{00000000-0005-0000-0000-0000642F0000}"/>
    <cellStyle name="Normal 4 2 6 6" xfId="12145" xr:uid="{00000000-0005-0000-0000-0000652F0000}"/>
    <cellStyle name="Normal 4 2 6 7" xfId="12146" xr:uid="{00000000-0005-0000-0000-0000662F0000}"/>
    <cellStyle name="Normal 4 2 7" xfId="12147" xr:uid="{00000000-0005-0000-0000-0000672F0000}"/>
    <cellStyle name="Normal 4 2 7 2" xfId="12148" xr:uid="{00000000-0005-0000-0000-0000682F0000}"/>
    <cellStyle name="Normal 4 2 7 2 2" xfId="12149" xr:uid="{00000000-0005-0000-0000-0000692F0000}"/>
    <cellStyle name="Normal 4 2 7 2 3" xfId="12150" xr:uid="{00000000-0005-0000-0000-00006A2F0000}"/>
    <cellStyle name="Normal 4 2 7 2 4" xfId="12151" xr:uid="{00000000-0005-0000-0000-00006B2F0000}"/>
    <cellStyle name="Normal 4 2 7 2 5" xfId="12152" xr:uid="{00000000-0005-0000-0000-00006C2F0000}"/>
    <cellStyle name="Normal 4 2 7 3" xfId="12153" xr:uid="{00000000-0005-0000-0000-00006D2F0000}"/>
    <cellStyle name="Normal 4 2 7 4" xfId="12154" xr:uid="{00000000-0005-0000-0000-00006E2F0000}"/>
    <cellStyle name="Normal 4 2 7 5" xfId="12155" xr:uid="{00000000-0005-0000-0000-00006F2F0000}"/>
    <cellStyle name="Normal 4 2 7 6" xfId="12156" xr:uid="{00000000-0005-0000-0000-0000702F0000}"/>
    <cellStyle name="Normal 4 2 8" xfId="12157" xr:uid="{00000000-0005-0000-0000-0000712F0000}"/>
    <cellStyle name="Normal 4 2 8 2" xfId="12158" xr:uid="{00000000-0005-0000-0000-0000722F0000}"/>
    <cellStyle name="Normal 4 2 8 3" xfId="12159" xr:uid="{00000000-0005-0000-0000-0000732F0000}"/>
    <cellStyle name="Normal 4 2 8 4" xfId="12160" xr:uid="{00000000-0005-0000-0000-0000742F0000}"/>
    <cellStyle name="Normal 4 2 8 5" xfId="12161" xr:uid="{00000000-0005-0000-0000-0000752F0000}"/>
    <cellStyle name="Normal 4 2 9" xfId="12162" xr:uid="{00000000-0005-0000-0000-0000762F0000}"/>
    <cellStyle name="Normal 4 2_HRT O&amp;G" xfId="12163" xr:uid="{00000000-0005-0000-0000-0000772F0000}"/>
    <cellStyle name="Normal 4 3" xfId="12164" xr:uid="{00000000-0005-0000-0000-0000782F0000}"/>
    <cellStyle name="Normal 4 3 10" xfId="12165" xr:uid="{00000000-0005-0000-0000-0000792F0000}"/>
    <cellStyle name="Normal 4 3 11" xfId="12166" xr:uid="{00000000-0005-0000-0000-00007A2F0000}"/>
    <cellStyle name="Normal 4 3 12" xfId="12167" xr:uid="{00000000-0005-0000-0000-00007B2F0000}"/>
    <cellStyle name="Normal 4 3 2" xfId="12168" xr:uid="{00000000-0005-0000-0000-00007C2F0000}"/>
    <cellStyle name="Normal 4 3 2 10" xfId="12169" xr:uid="{00000000-0005-0000-0000-00007D2F0000}"/>
    <cellStyle name="Normal 4 3 2 2" xfId="12170" xr:uid="{00000000-0005-0000-0000-00007E2F0000}"/>
    <cellStyle name="Normal 4 3 2 2 2" xfId="12171" xr:uid="{00000000-0005-0000-0000-00007F2F0000}"/>
    <cellStyle name="Normal 4 3 2 2 2 2" xfId="12172" xr:uid="{00000000-0005-0000-0000-0000802F0000}"/>
    <cellStyle name="Normal 4 3 2 2 2 2 2" xfId="12173" xr:uid="{00000000-0005-0000-0000-0000812F0000}"/>
    <cellStyle name="Normal 4 3 2 2 2 2 2 2" xfId="12174" xr:uid="{00000000-0005-0000-0000-0000822F0000}"/>
    <cellStyle name="Normal 4 3 2 2 2 2 2 3" xfId="12175" xr:uid="{00000000-0005-0000-0000-0000832F0000}"/>
    <cellStyle name="Normal 4 3 2 2 2 2 2 4" xfId="12176" xr:uid="{00000000-0005-0000-0000-0000842F0000}"/>
    <cellStyle name="Normal 4 3 2 2 2 2 2 5" xfId="12177" xr:uid="{00000000-0005-0000-0000-0000852F0000}"/>
    <cellStyle name="Normal 4 3 2 2 2 2 3" xfId="12178" xr:uid="{00000000-0005-0000-0000-0000862F0000}"/>
    <cellStyle name="Normal 4 3 2 2 2 2 4" xfId="12179" xr:uid="{00000000-0005-0000-0000-0000872F0000}"/>
    <cellStyle name="Normal 4 3 2 2 2 2 5" xfId="12180" xr:uid="{00000000-0005-0000-0000-0000882F0000}"/>
    <cellStyle name="Normal 4 3 2 2 2 2 6" xfId="12181" xr:uid="{00000000-0005-0000-0000-0000892F0000}"/>
    <cellStyle name="Normal 4 3 2 2 2 3" xfId="12182" xr:uid="{00000000-0005-0000-0000-00008A2F0000}"/>
    <cellStyle name="Normal 4 3 2 2 2 3 2" xfId="12183" xr:uid="{00000000-0005-0000-0000-00008B2F0000}"/>
    <cellStyle name="Normal 4 3 2 2 2 3 3" xfId="12184" xr:uid="{00000000-0005-0000-0000-00008C2F0000}"/>
    <cellStyle name="Normal 4 3 2 2 2 3 4" xfId="12185" xr:uid="{00000000-0005-0000-0000-00008D2F0000}"/>
    <cellStyle name="Normal 4 3 2 2 2 3 5" xfId="12186" xr:uid="{00000000-0005-0000-0000-00008E2F0000}"/>
    <cellStyle name="Normal 4 3 2 2 2 4" xfId="12187" xr:uid="{00000000-0005-0000-0000-00008F2F0000}"/>
    <cellStyle name="Normal 4 3 2 2 2 5" xfId="12188" xr:uid="{00000000-0005-0000-0000-0000902F0000}"/>
    <cellStyle name="Normal 4 3 2 2 2 6" xfId="12189" xr:uid="{00000000-0005-0000-0000-0000912F0000}"/>
    <cellStyle name="Normal 4 3 2 2 2 7" xfId="12190" xr:uid="{00000000-0005-0000-0000-0000922F0000}"/>
    <cellStyle name="Normal 4 3 2 2 3" xfId="12191" xr:uid="{00000000-0005-0000-0000-0000932F0000}"/>
    <cellStyle name="Normal 4 3 2 2 3 2" xfId="12192" xr:uid="{00000000-0005-0000-0000-0000942F0000}"/>
    <cellStyle name="Normal 4 3 2 2 3 2 2" xfId="12193" xr:uid="{00000000-0005-0000-0000-0000952F0000}"/>
    <cellStyle name="Normal 4 3 2 2 3 2 2 2" xfId="12194" xr:uid="{00000000-0005-0000-0000-0000962F0000}"/>
    <cellStyle name="Normal 4 3 2 2 3 2 2 3" xfId="12195" xr:uid="{00000000-0005-0000-0000-0000972F0000}"/>
    <cellStyle name="Normal 4 3 2 2 3 2 2 4" xfId="12196" xr:uid="{00000000-0005-0000-0000-0000982F0000}"/>
    <cellStyle name="Normal 4 3 2 2 3 2 2 5" xfId="12197" xr:uid="{00000000-0005-0000-0000-0000992F0000}"/>
    <cellStyle name="Normal 4 3 2 2 3 2 3" xfId="12198" xr:uid="{00000000-0005-0000-0000-00009A2F0000}"/>
    <cellStyle name="Normal 4 3 2 2 3 2 4" xfId="12199" xr:uid="{00000000-0005-0000-0000-00009B2F0000}"/>
    <cellStyle name="Normal 4 3 2 2 3 2 5" xfId="12200" xr:uid="{00000000-0005-0000-0000-00009C2F0000}"/>
    <cellStyle name="Normal 4 3 2 2 3 2 6" xfId="12201" xr:uid="{00000000-0005-0000-0000-00009D2F0000}"/>
    <cellStyle name="Normal 4 3 2 2 3 3" xfId="12202" xr:uid="{00000000-0005-0000-0000-00009E2F0000}"/>
    <cellStyle name="Normal 4 3 2 2 3 3 2" xfId="12203" xr:uid="{00000000-0005-0000-0000-00009F2F0000}"/>
    <cellStyle name="Normal 4 3 2 2 3 3 3" xfId="12204" xr:uid="{00000000-0005-0000-0000-0000A02F0000}"/>
    <cellStyle name="Normal 4 3 2 2 3 3 4" xfId="12205" xr:uid="{00000000-0005-0000-0000-0000A12F0000}"/>
    <cellStyle name="Normal 4 3 2 2 3 3 5" xfId="12206" xr:uid="{00000000-0005-0000-0000-0000A22F0000}"/>
    <cellStyle name="Normal 4 3 2 2 3 4" xfId="12207" xr:uid="{00000000-0005-0000-0000-0000A32F0000}"/>
    <cellStyle name="Normal 4 3 2 2 3 5" xfId="12208" xr:uid="{00000000-0005-0000-0000-0000A42F0000}"/>
    <cellStyle name="Normal 4 3 2 2 3 6" xfId="12209" xr:uid="{00000000-0005-0000-0000-0000A52F0000}"/>
    <cellStyle name="Normal 4 3 2 2 3 7" xfId="12210" xr:uid="{00000000-0005-0000-0000-0000A62F0000}"/>
    <cellStyle name="Normal 4 3 2 2 4" xfId="12211" xr:uid="{00000000-0005-0000-0000-0000A72F0000}"/>
    <cellStyle name="Normal 4 3 2 2 4 2" xfId="12212" xr:uid="{00000000-0005-0000-0000-0000A82F0000}"/>
    <cellStyle name="Normal 4 3 2 2 4 2 2" xfId="12213" xr:uid="{00000000-0005-0000-0000-0000A92F0000}"/>
    <cellStyle name="Normal 4 3 2 2 4 2 3" xfId="12214" xr:uid="{00000000-0005-0000-0000-0000AA2F0000}"/>
    <cellStyle name="Normal 4 3 2 2 4 2 4" xfId="12215" xr:uid="{00000000-0005-0000-0000-0000AB2F0000}"/>
    <cellStyle name="Normal 4 3 2 2 4 2 5" xfId="12216" xr:uid="{00000000-0005-0000-0000-0000AC2F0000}"/>
    <cellStyle name="Normal 4 3 2 2 4 3" xfId="12217" xr:uid="{00000000-0005-0000-0000-0000AD2F0000}"/>
    <cellStyle name="Normal 4 3 2 2 4 4" xfId="12218" xr:uid="{00000000-0005-0000-0000-0000AE2F0000}"/>
    <cellStyle name="Normal 4 3 2 2 4 5" xfId="12219" xr:uid="{00000000-0005-0000-0000-0000AF2F0000}"/>
    <cellStyle name="Normal 4 3 2 2 4 6" xfId="12220" xr:uid="{00000000-0005-0000-0000-0000B02F0000}"/>
    <cellStyle name="Normal 4 3 2 2 5" xfId="12221" xr:uid="{00000000-0005-0000-0000-0000B12F0000}"/>
    <cellStyle name="Normal 4 3 2 2 5 2" xfId="12222" xr:uid="{00000000-0005-0000-0000-0000B22F0000}"/>
    <cellStyle name="Normal 4 3 2 2 5 3" xfId="12223" xr:uid="{00000000-0005-0000-0000-0000B32F0000}"/>
    <cellStyle name="Normal 4 3 2 2 5 4" xfId="12224" xr:uid="{00000000-0005-0000-0000-0000B42F0000}"/>
    <cellStyle name="Normal 4 3 2 2 5 5" xfId="12225" xr:uid="{00000000-0005-0000-0000-0000B52F0000}"/>
    <cellStyle name="Normal 4 3 2 2 6" xfId="12226" xr:uid="{00000000-0005-0000-0000-0000B62F0000}"/>
    <cellStyle name="Normal 4 3 2 2 7" xfId="12227" xr:uid="{00000000-0005-0000-0000-0000B72F0000}"/>
    <cellStyle name="Normal 4 3 2 2 8" xfId="12228" xr:uid="{00000000-0005-0000-0000-0000B82F0000}"/>
    <cellStyle name="Normal 4 3 2 2 9" xfId="12229" xr:uid="{00000000-0005-0000-0000-0000B92F0000}"/>
    <cellStyle name="Normal 4 3 2 3" xfId="12230" xr:uid="{00000000-0005-0000-0000-0000BA2F0000}"/>
    <cellStyle name="Normal 4 3 2 3 2" xfId="12231" xr:uid="{00000000-0005-0000-0000-0000BB2F0000}"/>
    <cellStyle name="Normal 4 3 2 3 2 2" xfId="12232" xr:uid="{00000000-0005-0000-0000-0000BC2F0000}"/>
    <cellStyle name="Normal 4 3 2 3 2 2 2" xfId="12233" xr:uid="{00000000-0005-0000-0000-0000BD2F0000}"/>
    <cellStyle name="Normal 4 3 2 3 2 2 3" xfId="12234" xr:uid="{00000000-0005-0000-0000-0000BE2F0000}"/>
    <cellStyle name="Normal 4 3 2 3 2 2 4" xfId="12235" xr:uid="{00000000-0005-0000-0000-0000BF2F0000}"/>
    <cellStyle name="Normal 4 3 2 3 2 2 5" xfId="12236" xr:uid="{00000000-0005-0000-0000-0000C02F0000}"/>
    <cellStyle name="Normal 4 3 2 3 2 3" xfId="12237" xr:uid="{00000000-0005-0000-0000-0000C12F0000}"/>
    <cellStyle name="Normal 4 3 2 3 2 4" xfId="12238" xr:uid="{00000000-0005-0000-0000-0000C22F0000}"/>
    <cellStyle name="Normal 4 3 2 3 2 5" xfId="12239" xr:uid="{00000000-0005-0000-0000-0000C32F0000}"/>
    <cellStyle name="Normal 4 3 2 3 2 6" xfId="12240" xr:uid="{00000000-0005-0000-0000-0000C42F0000}"/>
    <cellStyle name="Normal 4 3 2 3 3" xfId="12241" xr:uid="{00000000-0005-0000-0000-0000C52F0000}"/>
    <cellStyle name="Normal 4 3 2 3 3 2" xfId="12242" xr:uid="{00000000-0005-0000-0000-0000C62F0000}"/>
    <cellStyle name="Normal 4 3 2 3 3 3" xfId="12243" xr:uid="{00000000-0005-0000-0000-0000C72F0000}"/>
    <cellStyle name="Normal 4 3 2 3 3 4" xfId="12244" xr:uid="{00000000-0005-0000-0000-0000C82F0000}"/>
    <cellStyle name="Normal 4 3 2 3 3 5" xfId="12245" xr:uid="{00000000-0005-0000-0000-0000C92F0000}"/>
    <cellStyle name="Normal 4 3 2 3 4" xfId="12246" xr:uid="{00000000-0005-0000-0000-0000CA2F0000}"/>
    <cellStyle name="Normal 4 3 2 3 5" xfId="12247" xr:uid="{00000000-0005-0000-0000-0000CB2F0000}"/>
    <cellStyle name="Normal 4 3 2 3 6" xfId="12248" xr:uid="{00000000-0005-0000-0000-0000CC2F0000}"/>
    <cellStyle name="Normal 4 3 2 3 7" xfId="12249" xr:uid="{00000000-0005-0000-0000-0000CD2F0000}"/>
    <cellStyle name="Normal 4 3 2 4" xfId="12250" xr:uid="{00000000-0005-0000-0000-0000CE2F0000}"/>
    <cellStyle name="Normal 4 3 2 4 2" xfId="12251" xr:uid="{00000000-0005-0000-0000-0000CF2F0000}"/>
    <cellStyle name="Normal 4 3 2 4 2 2" xfId="12252" xr:uid="{00000000-0005-0000-0000-0000D02F0000}"/>
    <cellStyle name="Normal 4 3 2 4 2 2 2" xfId="12253" xr:uid="{00000000-0005-0000-0000-0000D12F0000}"/>
    <cellStyle name="Normal 4 3 2 4 2 2 3" xfId="12254" xr:uid="{00000000-0005-0000-0000-0000D22F0000}"/>
    <cellStyle name="Normal 4 3 2 4 2 2 4" xfId="12255" xr:uid="{00000000-0005-0000-0000-0000D32F0000}"/>
    <cellStyle name="Normal 4 3 2 4 2 2 5" xfId="12256" xr:uid="{00000000-0005-0000-0000-0000D42F0000}"/>
    <cellStyle name="Normal 4 3 2 4 2 3" xfId="12257" xr:uid="{00000000-0005-0000-0000-0000D52F0000}"/>
    <cellStyle name="Normal 4 3 2 4 2 4" xfId="12258" xr:uid="{00000000-0005-0000-0000-0000D62F0000}"/>
    <cellStyle name="Normal 4 3 2 4 2 5" xfId="12259" xr:uid="{00000000-0005-0000-0000-0000D72F0000}"/>
    <cellStyle name="Normal 4 3 2 4 2 6" xfId="12260" xr:uid="{00000000-0005-0000-0000-0000D82F0000}"/>
    <cellStyle name="Normal 4 3 2 4 3" xfId="12261" xr:uid="{00000000-0005-0000-0000-0000D92F0000}"/>
    <cellStyle name="Normal 4 3 2 4 3 2" xfId="12262" xr:uid="{00000000-0005-0000-0000-0000DA2F0000}"/>
    <cellStyle name="Normal 4 3 2 4 3 3" xfId="12263" xr:uid="{00000000-0005-0000-0000-0000DB2F0000}"/>
    <cellStyle name="Normal 4 3 2 4 3 4" xfId="12264" xr:uid="{00000000-0005-0000-0000-0000DC2F0000}"/>
    <cellStyle name="Normal 4 3 2 4 3 5" xfId="12265" xr:uid="{00000000-0005-0000-0000-0000DD2F0000}"/>
    <cellStyle name="Normal 4 3 2 4 4" xfId="12266" xr:uid="{00000000-0005-0000-0000-0000DE2F0000}"/>
    <cellStyle name="Normal 4 3 2 4 5" xfId="12267" xr:uid="{00000000-0005-0000-0000-0000DF2F0000}"/>
    <cellStyle name="Normal 4 3 2 4 6" xfId="12268" xr:uid="{00000000-0005-0000-0000-0000E02F0000}"/>
    <cellStyle name="Normal 4 3 2 4 7" xfId="12269" xr:uid="{00000000-0005-0000-0000-0000E12F0000}"/>
    <cellStyle name="Normal 4 3 2 5" xfId="12270" xr:uid="{00000000-0005-0000-0000-0000E22F0000}"/>
    <cellStyle name="Normal 4 3 2 5 2" xfId="12271" xr:uid="{00000000-0005-0000-0000-0000E32F0000}"/>
    <cellStyle name="Normal 4 3 2 5 2 2" xfId="12272" xr:uid="{00000000-0005-0000-0000-0000E42F0000}"/>
    <cellStyle name="Normal 4 3 2 5 2 3" xfId="12273" xr:uid="{00000000-0005-0000-0000-0000E52F0000}"/>
    <cellStyle name="Normal 4 3 2 5 2 4" xfId="12274" xr:uid="{00000000-0005-0000-0000-0000E62F0000}"/>
    <cellStyle name="Normal 4 3 2 5 2 5" xfId="12275" xr:uid="{00000000-0005-0000-0000-0000E72F0000}"/>
    <cellStyle name="Normal 4 3 2 5 3" xfId="12276" xr:uid="{00000000-0005-0000-0000-0000E82F0000}"/>
    <cellStyle name="Normal 4 3 2 5 4" xfId="12277" xr:uid="{00000000-0005-0000-0000-0000E92F0000}"/>
    <cellStyle name="Normal 4 3 2 5 5" xfId="12278" xr:uid="{00000000-0005-0000-0000-0000EA2F0000}"/>
    <cellStyle name="Normal 4 3 2 5 6" xfId="12279" xr:uid="{00000000-0005-0000-0000-0000EB2F0000}"/>
    <cellStyle name="Normal 4 3 2 6" xfId="12280" xr:uid="{00000000-0005-0000-0000-0000EC2F0000}"/>
    <cellStyle name="Normal 4 3 2 6 2" xfId="12281" xr:uid="{00000000-0005-0000-0000-0000ED2F0000}"/>
    <cellStyle name="Normal 4 3 2 6 3" xfId="12282" xr:uid="{00000000-0005-0000-0000-0000EE2F0000}"/>
    <cellStyle name="Normal 4 3 2 6 4" xfId="12283" xr:uid="{00000000-0005-0000-0000-0000EF2F0000}"/>
    <cellStyle name="Normal 4 3 2 6 5" xfId="12284" xr:uid="{00000000-0005-0000-0000-0000F02F0000}"/>
    <cellStyle name="Normal 4 3 2 7" xfId="12285" xr:uid="{00000000-0005-0000-0000-0000F12F0000}"/>
    <cellStyle name="Normal 4 3 2 8" xfId="12286" xr:uid="{00000000-0005-0000-0000-0000F22F0000}"/>
    <cellStyle name="Normal 4 3 2 9" xfId="12287" xr:uid="{00000000-0005-0000-0000-0000F32F0000}"/>
    <cellStyle name="Normal 4 3 3" xfId="12288" xr:uid="{00000000-0005-0000-0000-0000F42F0000}"/>
    <cellStyle name="Normal 4 3 3 2" xfId="12289" xr:uid="{00000000-0005-0000-0000-0000F52F0000}"/>
    <cellStyle name="Normal 4 3 3 2 2" xfId="12290" xr:uid="{00000000-0005-0000-0000-0000F62F0000}"/>
    <cellStyle name="Normal 4 3 3 2 2 2" xfId="12291" xr:uid="{00000000-0005-0000-0000-0000F72F0000}"/>
    <cellStyle name="Normal 4 3 3 2 2 2 2" xfId="12292" xr:uid="{00000000-0005-0000-0000-0000F82F0000}"/>
    <cellStyle name="Normal 4 3 3 2 2 2 3" xfId="12293" xr:uid="{00000000-0005-0000-0000-0000F92F0000}"/>
    <cellStyle name="Normal 4 3 3 2 2 2 4" xfId="12294" xr:uid="{00000000-0005-0000-0000-0000FA2F0000}"/>
    <cellStyle name="Normal 4 3 3 2 2 2 5" xfId="12295" xr:uid="{00000000-0005-0000-0000-0000FB2F0000}"/>
    <cellStyle name="Normal 4 3 3 2 2 3" xfId="12296" xr:uid="{00000000-0005-0000-0000-0000FC2F0000}"/>
    <cellStyle name="Normal 4 3 3 2 2 4" xfId="12297" xr:uid="{00000000-0005-0000-0000-0000FD2F0000}"/>
    <cellStyle name="Normal 4 3 3 2 2 5" xfId="12298" xr:uid="{00000000-0005-0000-0000-0000FE2F0000}"/>
    <cellStyle name="Normal 4 3 3 2 2 6" xfId="12299" xr:uid="{00000000-0005-0000-0000-0000FF2F0000}"/>
    <cellStyle name="Normal 4 3 3 2 3" xfId="12300" xr:uid="{00000000-0005-0000-0000-000000300000}"/>
    <cellStyle name="Normal 4 3 3 2 3 2" xfId="12301" xr:uid="{00000000-0005-0000-0000-000001300000}"/>
    <cellStyle name="Normal 4 3 3 2 3 3" xfId="12302" xr:uid="{00000000-0005-0000-0000-000002300000}"/>
    <cellStyle name="Normal 4 3 3 2 3 4" xfId="12303" xr:uid="{00000000-0005-0000-0000-000003300000}"/>
    <cellStyle name="Normal 4 3 3 2 3 5" xfId="12304" xr:uid="{00000000-0005-0000-0000-000004300000}"/>
    <cellStyle name="Normal 4 3 3 2 4" xfId="12305" xr:uid="{00000000-0005-0000-0000-000005300000}"/>
    <cellStyle name="Normal 4 3 3 2 5" xfId="12306" xr:uid="{00000000-0005-0000-0000-000006300000}"/>
    <cellStyle name="Normal 4 3 3 2 6" xfId="12307" xr:uid="{00000000-0005-0000-0000-000007300000}"/>
    <cellStyle name="Normal 4 3 3 2 7" xfId="12308" xr:uid="{00000000-0005-0000-0000-000008300000}"/>
    <cellStyle name="Normal 4 3 3 3" xfId="12309" xr:uid="{00000000-0005-0000-0000-000009300000}"/>
    <cellStyle name="Normal 4 3 3 3 2" xfId="12310" xr:uid="{00000000-0005-0000-0000-00000A300000}"/>
    <cellStyle name="Normal 4 3 3 3 2 2" xfId="12311" xr:uid="{00000000-0005-0000-0000-00000B300000}"/>
    <cellStyle name="Normal 4 3 3 3 2 2 2" xfId="12312" xr:uid="{00000000-0005-0000-0000-00000C300000}"/>
    <cellStyle name="Normal 4 3 3 3 2 2 3" xfId="12313" xr:uid="{00000000-0005-0000-0000-00000D300000}"/>
    <cellStyle name="Normal 4 3 3 3 2 2 4" xfId="12314" xr:uid="{00000000-0005-0000-0000-00000E300000}"/>
    <cellStyle name="Normal 4 3 3 3 2 2 5" xfId="12315" xr:uid="{00000000-0005-0000-0000-00000F300000}"/>
    <cellStyle name="Normal 4 3 3 3 2 3" xfId="12316" xr:uid="{00000000-0005-0000-0000-000010300000}"/>
    <cellStyle name="Normal 4 3 3 3 2 4" xfId="12317" xr:uid="{00000000-0005-0000-0000-000011300000}"/>
    <cellStyle name="Normal 4 3 3 3 2 5" xfId="12318" xr:uid="{00000000-0005-0000-0000-000012300000}"/>
    <cellStyle name="Normal 4 3 3 3 2 6" xfId="12319" xr:uid="{00000000-0005-0000-0000-000013300000}"/>
    <cellStyle name="Normal 4 3 3 3 3" xfId="12320" xr:uid="{00000000-0005-0000-0000-000014300000}"/>
    <cellStyle name="Normal 4 3 3 3 3 2" xfId="12321" xr:uid="{00000000-0005-0000-0000-000015300000}"/>
    <cellStyle name="Normal 4 3 3 3 3 3" xfId="12322" xr:uid="{00000000-0005-0000-0000-000016300000}"/>
    <cellStyle name="Normal 4 3 3 3 3 4" xfId="12323" xr:uid="{00000000-0005-0000-0000-000017300000}"/>
    <cellStyle name="Normal 4 3 3 3 3 5" xfId="12324" xr:uid="{00000000-0005-0000-0000-000018300000}"/>
    <cellStyle name="Normal 4 3 3 3 4" xfId="12325" xr:uid="{00000000-0005-0000-0000-000019300000}"/>
    <cellStyle name="Normal 4 3 3 3 5" xfId="12326" xr:uid="{00000000-0005-0000-0000-00001A300000}"/>
    <cellStyle name="Normal 4 3 3 3 6" xfId="12327" xr:uid="{00000000-0005-0000-0000-00001B300000}"/>
    <cellStyle name="Normal 4 3 3 3 7" xfId="12328" xr:uid="{00000000-0005-0000-0000-00001C300000}"/>
    <cellStyle name="Normal 4 3 3 4" xfId="12329" xr:uid="{00000000-0005-0000-0000-00001D300000}"/>
    <cellStyle name="Normal 4 3 3 4 2" xfId="12330" xr:uid="{00000000-0005-0000-0000-00001E300000}"/>
    <cellStyle name="Normal 4 3 3 4 2 2" xfId="12331" xr:uid="{00000000-0005-0000-0000-00001F300000}"/>
    <cellStyle name="Normal 4 3 3 4 2 3" xfId="12332" xr:uid="{00000000-0005-0000-0000-000020300000}"/>
    <cellStyle name="Normal 4 3 3 4 2 4" xfId="12333" xr:uid="{00000000-0005-0000-0000-000021300000}"/>
    <cellStyle name="Normal 4 3 3 4 2 5" xfId="12334" xr:uid="{00000000-0005-0000-0000-000022300000}"/>
    <cellStyle name="Normal 4 3 3 4 3" xfId="12335" xr:uid="{00000000-0005-0000-0000-000023300000}"/>
    <cellStyle name="Normal 4 3 3 4 4" xfId="12336" xr:uid="{00000000-0005-0000-0000-000024300000}"/>
    <cellStyle name="Normal 4 3 3 4 5" xfId="12337" xr:uid="{00000000-0005-0000-0000-000025300000}"/>
    <cellStyle name="Normal 4 3 3 4 6" xfId="12338" xr:uid="{00000000-0005-0000-0000-000026300000}"/>
    <cellStyle name="Normal 4 3 3 5" xfId="12339" xr:uid="{00000000-0005-0000-0000-000027300000}"/>
    <cellStyle name="Normal 4 3 3 5 2" xfId="12340" xr:uid="{00000000-0005-0000-0000-000028300000}"/>
    <cellStyle name="Normal 4 3 3 5 3" xfId="12341" xr:uid="{00000000-0005-0000-0000-000029300000}"/>
    <cellStyle name="Normal 4 3 3 5 4" xfId="12342" xr:uid="{00000000-0005-0000-0000-00002A300000}"/>
    <cellStyle name="Normal 4 3 3 5 5" xfId="12343" xr:uid="{00000000-0005-0000-0000-00002B300000}"/>
    <cellStyle name="Normal 4 3 3 6" xfId="12344" xr:uid="{00000000-0005-0000-0000-00002C300000}"/>
    <cellStyle name="Normal 4 3 3 7" xfId="12345" xr:uid="{00000000-0005-0000-0000-00002D300000}"/>
    <cellStyle name="Normal 4 3 3 8" xfId="12346" xr:uid="{00000000-0005-0000-0000-00002E300000}"/>
    <cellStyle name="Normal 4 3 3 9" xfId="12347" xr:uid="{00000000-0005-0000-0000-00002F300000}"/>
    <cellStyle name="Normal 4 3 4" xfId="12348" xr:uid="{00000000-0005-0000-0000-000030300000}"/>
    <cellStyle name="Normal 4 3 4 2" xfId="12349" xr:uid="{00000000-0005-0000-0000-000031300000}"/>
    <cellStyle name="Normal 4 3 4 2 2" xfId="12350" xr:uid="{00000000-0005-0000-0000-000032300000}"/>
    <cellStyle name="Normal 4 3 4 2 2 2" xfId="12351" xr:uid="{00000000-0005-0000-0000-000033300000}"/>
    <cellStyle name="Normal 4 3 4 2 2 2 2" xfId="12352" xr:uid="{00000000-0005-0000-0000-000034300000}"/>
    <cellStyle name="Normal 4 3 4 2 2 2 3" xfId="12353" xr:uid="{00000000-0005-0000-0000-000035300000}"/>
    <cellStyle name="Normal 4 3 4 2 2 2 4" xfId="12354" xr:uid="{00000000-0005-0000-0000-000036300000}"/>
    <cellStyle name="Normal 4 3 4 2 2 2 5" xfId="12355" xr:uid="{00000000-0005-0000-0000-000037300000}"/>
    <cellStyle name="Normal 4 3 4 2 2 3" xfId="12356" xr:uid="{00000000-0005-0000-0000-000038300000}"/>
    <cellStyle name="Normal 4 3 4 2 2 4" xfId="12357" xr:uid="{00000000-0005-0000-0000-000039300000}"/>
    <cellStyle name="Normal 4 3 4 2 2 5" xfId="12358" xr:uid="{00000000-0005-0000-0000-00003A300000}"/>
    <cellStyle name="Normal 4 3 4 2 2 6" xfId="12359" xr:uid="{00000000-0005-0000-0000-00003B300000}"/>
    <cellStyle name="Normal 4 3 4 2 3" xfId="12360" xr:uid="{00000000-0005-0000-0000-00003C300000}"/>
    <cellStyle name="Normal 4 3 4 2 3 2" xfId="12361" xr:uid="{00000000-0005-0000-0000-00003D300000}"/>
    <cellStyle name="Normal 4 3 4 2 3 3" xfId="12362" xr:uid="{00000000-0005-0000-0000-00003E300000}"/>
    <cellStyle name="Normal 4 3 4 2 3 4" xfId="12363" xr:uid="{00000000-0005-0000-0000-00003F300000}"/>
    <cellStyle name="Normal 4 3 4 2 3 5" xfId="12364" xr:uid="{00000000-0005-0000-0000-000040300000}"/>
    <cellStyle name="Normal 4 3 4 2 4" xfId="12365" xr:uid="{00000000-0005-0000-0000-000041300000}"/>
    <cellStyle name="Normal 4 3 4 2 5" xfId="12366" xr:uid="{00000000-0005-0000-0000-000042300000}"/>
    <cellStyle name="Normal 4 3 4 2 6" xfId="12367" xr:uid="{00000000-0005-0000-0000-000043300000}"/>
    <cellStyle name="Normal 4 3 4 2 7" xfId="12368" xr:uid="{00000000-0005-0000-0000-000044300000}"/>
    <cellStyle name="Normal 4 3 4 3" xfId="12369" xr:uid="{00000000-0005-0000-0000-000045300000}"/>
    <cellStyle name="Normal 4 3 4 3 2" xfId="12370" xr:uid="{00000000-0005-0000-0000-000046300000}"/>
    <cellStyle name="Normal 4 3 4 3 2 2" xfId="12371" xr:uid="{00000000-0005-0000-0000-000047300000}"/>
    <cellStyle name="Normal 4 3 4 3 2 2 2" xfId="12372" xr:uid="{00000000-0005-0000-0000-000048300000}"/>
    <cellStyle name="Normal 4 3 4 3 2 2 3" xfId="12373" xr:uid="{00000000-0005-0000-0000-000049300000}"/>
    <cellStyle name="Normal 4 3 4 3 2 2 4" xfId="12374" xr:uid="{00000000-0005-0000-0000-00004A300000}"/>
    <cellStyle name="Normal 4 3 4 3 2 2 5" xfId="12375" xr:uid="{00000000-0005-0000-0000-00004B300000}"/>
    <cellStyle name="Normal 4 3 4 3 2 3" xfId="12376" xr:uid="{00000000-0005-0000-0000-00004C300000}"/>
    <cellStyle name="Normal 4 3 4 3 2 4" xfId="12377" xr:uid="{00000000-0005-0000-0000-00004D300000}"/>
    <cellStyle name="Normal 4 3 4 3 2 5" xfId="12378" xr:uid="{00000000-0005-0000-0000-00004E300000}"/>
    <cellStyle name="Normal 4 3 4 3 2 6" xfId="12379" xr:uid="{00000000-0005-0000-0000-00004F300000}"/>
    <cellStyle name="Normal 4 3 4 3 3" xfId="12380" xr:uid="{00000000-0005-0000-0000-000050300000}"/>
    <cellStyle name="Normal 4 3 4 3 3 2" xfId="12381" xr:uid="{00000000-0005-0000-0000-000051300000}"/>
    <cellStyle name="Normal 4 3 4 3 3 3" xfId="12382" xr:uid="{00000000-0005-0000-0000-000052300000}"/>
    <cellStyle name="Normal 4 3 4 3 3 4" xfId="12383" xr:uid="{00000000-0005-0000-0000-000053300000}"/>
    <cellStyle name="Normal 4 3 4 3 3 5" xfId="12384" xr:uid="{00000000-0005-0000-0000-000054300000}"/>
    <cellStyle name="Normal 4 3 4 3 4" xfId="12385" xr:uid="{00000000-0005-0000-0000-000055300000}"/>
    <cellStyle name="Normal 4 3 4 3 5" xfId="12386" xr:uid="{00000000-0005-0000-0000-000056300000}"/>
    <cellStyle name="Normal 4 3 4 3 6" xfId="12387" xr:uid="{00000000-0005-0000-0000-000057300000}"/>
    <cellStyle name="Normal 4 3 4 3 7" xfId="12388" xr:uid="{00000000-0005-0000-0000-000058300000}"/>
    <cellStyle name="Normal 4 3 4 4" xfId="12389" xr:uid="{00000000-0005-0000-0000-000059300000}"/>
    <cellStyle name="Normal 4 3 4 4 2" xfId="12390" xr:uid="{00000000-0005-0000-0000-00005A300000}"/>
    <cellStyle name="Normal 4 3 4 4 2 2" xfId="12391" xr:uid="{00000000-0005-0000-0000-00005B300000}"/>
    <cellStyle name="Normal 4 3 4 4 2 3" xfId="12392" xr:uid="{00000000-0005-0000-0000-00005C300000}"/>
    <cellStyle name="Normal 4 3 4 4 2 4" xfId="12393" xr:uid="{00000000-0005-0000-0000-00005D300000}"/>
    <cellStyle name="Normal 4 3 4 4 2 5" xfId="12394" xr:uid="{00000000-0005-0000-0000-00005E300000}"/>
    <cellStyle name="Normal 4 3 4 4 3" xfId="12395" xr:uid="{00000000-0005-0000-0000-00005F300000}"/>
    <cellStyle name="Normal 4 3 4 4 4" xfId="12396" xr:uid="{00000000-0005-0000-0000-000060300000}"/>
    <cellStyle name="Normal 4 3 4 4 5" xfId="12397" xr:uid="{00000000-0005-0000-0000-000061300000}"/>
    <cellStyle name="Normal 4 3 4 4 6" xfId="12398" xr:uid="{00000000-0005-0000-0000-000062300000}"/>
    <cellStyle name="Normal 4 3 4 5" xfId="12399" xr:uid="{00000000-0005-0000-0000-000063300000}"/>
    <cellStyle name="Normal 4 3 4 5 2" xfId="12400" xr:uid="{00000000-0005-0000-0000-000064300000}"/>
    <cellStyle name="Normal 4 3 4 5 3" xfId="12401" xr:uid="{00000000-0005-0000-0000-000065300000}"/>
    <cellStyle name="Normal 4 3 4 5 4" xfId="12402" xr:uid="{00000000-0005-0000-0000-000066300000}"/>
    <cellStyle name="Normal 4 3 4 5 5" xfId="12403" xr:uid="{00000000-0005-0000-0000-000067300000}"/>
    <cellStyle name="Normal 4 3 4 6" xfId="12404" xr:uid="{00000000-0005-0000-0000-000068300000}"/>
    <cellStyle name="Normal 4 3 4 7" xfId="12405" xr:uid="{00000000-0005-0000-0000-000069300000}"/>
    <cellStyle name="Normal 4 3 4 8" xfId="12406" xr:uid="{00000000-0005-0000-0000-00006A300000}"/>
    <cellStyle name="Normal 4 3 4 9" xfId="12407" xr:uid="{00000000-0005-0000-0000-00006B300000}"/>
    <cellStyle name="Normal 4 3 5" xfId="12408" xr:uid="{00000000-0005-0000-0000-00006C300000}"/>
    <cellStyle name="Normal 4 3 5 2" xfId="12409" xr:uid="{00000000-0005-0000-0000-00006D300000}"/>
    <cellStyle name="Normal 4 3 5 2 2" xfId="12410" xr:uid="{00000000-0005-0000-0000-00006E300000}"/>
    <cellStyle name="Normal 4 3 5 2 2 2" xfId="12411" xr:uid="{00000000-0005-0000-0000-00006F300000}"/>
    <cellStyle name="Normal 4 3 5 2 2 3" xfId="12412" xr:uid="{00000000-0005-0000-0000-000070300000}"/>
    <cellStyle name="Normal 4 3 5 2 2 4" xfId="12413" xr:uid="{00000000-0005-0000-0000-000071300000}"/>
    <cellStyle name="Normal 4 3 5 2 2 5" xfId="12414" xr:uid="{00000000-0005-0000-0000-000072300000}"/>
    <cellStyle name="Normal 4 3 5 2 3" xfId="12415" xr:uid="{00000000-0005-0000-0000-000073300000}"/>
    <cellStyle name="Normal 4 3 5 2 4" xfId="12416" xr:uid="{00000000-0005-0000-0000-000074300000}"/>
    <cellStyle name="Normal 4 3 5 2 5" xfId="12417" xr:uid="{00000000-0005-0000-0000-000075300000}"/>
    <cellStyle name="Normal 4 3 5 2 6" xfId="12418" xr:uid="{00000000-0005-0000-0000-000076300000}"/>
    <cellStyle name="Normal 4 3 5 3" xfId="12419" xr:uid="{00000000-0005-0000-0000-000077300000}"/>
    <cellStyle name="Normal 4 3 5 3 2" xfId="12420" xr:uid="{00000000-0005-0000-0000-000078300000}"/>
    <cellStyle name="Normal 4 3 5 3 3" xfId="12421" xr:uid="{00000000-0005-0000-0000-000079300000}"/>
    <cellStyle name="Normal 4 3 5 3 4" xfId="12422" xr:uid="{00000000-0005-0000-0000-00007A300000}"/>
    <cellStyle name="Normal 4 3 5 3 5" xfId="12423" xr:uid="{00000000-0005-0000-0000-00007B300000}"/>
    <cellStyle name="Normal 4 3 5 4" xfId="12424" xr:uid="{00000000-0005-0000-0000-00007C300000}"/>
    <cellStyle name="Normal 4 3 5 5" xfId="12425" xr:uid="{00000000-0005-0000-0000-00007D300000}"/>
    <cellStyle name="Normal 4 3 5 6" xfId="12426" xr:uid="{00000000-0005-0000-0000-00007E300000}"/>
    <cellStyle name="Normal 4 3 5 7" xfId="12427" xr:uid="{00000000-0005-0000-0000-00007F300000}"/>
    <cellStyle name="Normal 4 3 6" xfId="12428" xr:uid="{00000000-0005-0000-0000-000080300000}"/>
    <cellStyle name="Normal 4 3 6 2" xfId="12429" xr:uid="{00000000-0005-0000-0000-000081300000}"/>
    <cellStyle name="Normal 4 3 6 2 2" xfId="12430" xr:uid="{00000000-0005-0000-0000-000082300000}"/>
    <cellStyle name="Normal 4 3 6 2 2 2" xfId="12431" xr:uid="{00000000-0005-0000-0000-000083300000}"/>
    <cellStyle name="Normal 4 3 6 2 2 3" xfId="12432" xr:uid="{00000000-0005-0000-0000-000084300000}"/>
    <cellStyle name="Normal 4 3 6 2 2 4" xfId="12433" xr:uid="{00000000-0005-0000-0000-000085300000}"/>
    <cellStyle name="Normal 4 3 6 2 2 5" xfId="12434" xr:uid="{00000000-0005-0000-0000-000086300000}"/>
    <cellStyle name="Normal 4 3 6 2 3" xfId="12435" xr:uid="{00000000-0005-0000-0000-000087300000}"/>
    <cellStyle name="Normal 4 3 6 2 4" xfId="12436" xr:uid="{00000000-0005-0000-0000-000088300000}"/>
    <cellStyle name="Normal 4 3 6 2 5" xfId="12437" xr:uid="{00000000-0005-0000-0000-000089300000}"/>
    <cellStyle name="Normal 4 3 6 2 6" xfId="12438" xr:uid="{00000000-0005-0000-0000-00008A300000}"/>
    <cellStyle name="Normal 4 3 6 3" xfId="12439" xr:uid="{00000000-0005-0000-0000-00008B300000}"/>
    <cellStyle name="Normal 4 3 6 3 2" xfId="12440" xr:uid="{00000000-0005-0000-0000-00008C300000}"/>
    <cellStyle name="Normal 4 3 6 3 3" xfId="12441" xr:uid="{00000000-0005-0000-0000-00008D300000}"/>
    <cellStyle name="Normal 4 3 6 3 4" xfId="12442" xr:uid="{00000000-0005-0000-0000-00008E300000}"/>
    <cellStyle name="Normal 4 3 6 3 5" xfId="12443" xr:uid="{00000000-0005-0000-0000-00008F300000}"/>
    <cellStyle name="Normal 4 3 6 4" xfId="12444" xr:uid="{00000000-0005-0000-0000-000090300000}"/>
    <cellStyle name="Normal 4 3 6 5" xfId="12445" xr:uid="{00000000-0005-0000-0000-000091300000}"/>
    <cellStyle name="Normal 4 3 6 6" xfId="12446" xr:uid="{00000000-0005-0000-0000-000092300000}"/>
    <cellStyle name="Normal 4 3 6 7" xfId="12447" xr:uid="{00000000-0005-0000-0000-000093300000}"/>
    <cellStyle name="Normal 4 3 7" xfId="12448" xr:uid="{00000000-0005-0000-0000-000094300000}"/>
    <cellStyle name="Normal 4 3 7 2" xfId="12449" xr:uid="{00000000-0005-0000-0000-000095300000}"/>
    <cellStyle name="Normal 4 3 7 2 2" xfId="12450" xr:uid="{00000000-0005-0000-0000-000096300000}"/>
    <cellStyle name="Normal 4 3 7 2 3" xfId="12451" xr:uid="{00000000-0005-0000-0000-000097300000}"/>
    <cellStyle name="Normal 4 3 7 2 4" xfId="12452" xr:uid="{00000000-0005-0000-0000-000098300000}"/>
    <cellStyle name="Normal 4 3 7 2 5" xfId="12453" xr:uid="{00000000-0005-0000-0000-000099300000}"/>
    <cellStyle name="Normal 4 3 7 3" xfId="12454" xr:uid="{00000000-0005-0000-0000-00009A300000}"/>
    <cellStyle name="Normal 4 3 7 4" xfId="12455" xr:uid="{00000000-0005-0000-0000-00009B300000}"/>
    <cellStyle name="Normal 4 3 7 5" xfId="12456" xr:uid="{00000000-0005-0000-0000-00009C300000}"/>
    <cellStyle name="Normal 4 3 7 6" xfId="12457" xr:uid="{00000000-0005-0000-0000-00009D300000}"/>
    <cellStyle name="Normal 4 3 8" xfId="12458" xr:uid="{00000000-0005-0000-0000-00009E300000}"/>
    <cellStyle name="Normal 4 3 8 2" xfId="12459" xr:uid="{00000000-0005-0000-0000-00009F300000}"/>
    <cellStyle name="Normal 4 3 8 3" xfId="12460" xr:uid="{00000000-0005-0000-0000-0000A0300000}"/>
    <cellStyle name="Normal 4 3 8 4" xfId="12461" xr:uid="{00000000-0005-0000-0000-0000A1300000}"/>
    <cellStyle name="Normal 4 3 8 5" xfId="12462" xr:uid="{00000000-0005-0000-0000-0000A2300000}"/>
    <cellStyle name="Normal 4 3 9" xfId="12463" xr:uid="{00000000-0005-0000-0000-0000A3300000}"/>
    <cellStyle name="Normal 4 4" xfId="12464" xr:uid="{00000000-0005-0000-0000-0000A4300000}"/>
    <cellStyle name="Normal 4 4 10" xfId="12465" xr:uid="{00000000-0005-0000-0000-0000A5300000}"/>
    <cellStyle name="Normal 4 4 2" xfId="12466" xr:uid="{00000000-0005-0000-0000-0000A6300000}"/>
    <cellStyle name="Normal 4 4 2 2" xfId="12467" xr:uid="{00000000-0005-0000-0000-0000A7300000}"/>
    <cellStyle name="Normal 4 4 2 2 2" xfId="12468" xr:uid="{00000000-0005-0000-0000-0000A8300000}"/>
    <cellStyle name="Normal 4 4 2 2 2 2" xfId="12469" xr:uid="{00000000-0005-0000-0000-0000A9300000}"/>
    <cellStyle name="Normal 4 4 2 2 2 2 2" xfId="12470" xr:uid="{00000000-0005-0000-0000-0000AA300000}"/>
    <cellStyle name="Normal 4 4 2 2 2 2 3" xfId="12471" xr:uid="{00000000-0005-0000-0000-0000AB300000}"/>
    <cellStyle name="Normal 4 4 2 2 2 2 4" xfId="12472" xr:uid="{00000000-0005-0000-0000-0000AC300000}"/>
    <cellStyle name="Normal 4 4 2 2 2 2 5" xfId="12473" xr:uid="{00000000-0005-0000-0000-0000AD300000}"/>
    <cellStyle name="Normal 4 4 2 2 2 3" xfId="12474" xr:uid="{00000000-0005-0000-0000-0000AE300000}"/>
    <cellStyle name="Normal 4 4 2 2 2 4" xfId="12475" xr:uid="{00000000-0005-0000-0000-0000AF300000}"/>
    <cellStyle name="Normal 4 4 2 2 2 5" xfId="12476" xr:uid="{00000000-0005-0000-0000-0000B0300000}"/>
    <cellStyle name="Normal 4 4 2 2 2 6" xfId="12477" xr:uid="{00000000-0005-0000-0000-0000B1300000}"/>
    <cellStyle name="Normal 4 4 2 2 3" xfId="12478" xr:uid="{00000000-0005-0000-0000-0000B2300000}"/>
    <cellStyle name="Normal 4 4 2 2 3 2" xfId="12479" xr:uid="{00000000-0005-0000-0000-0000B3300000}"/>
    <cellStyle name="Normal 4 4 2 2 3 3" xfId="12480" xr:uid="{00000000-0005-0000-0000-0000B4300000}"/>
    <cellStyle name="Normal 4 4 2 2 3 4" xfId="12481" xr:uid="{00000000-0005-0000-0000-0000B5300000}"/>
    <cellStyle name="Normal 4 4 2 2 3 5" xfId="12482" xr:uid="{00000000-0005-0000-0000-0000B6300000}"/>
    <cellStyle name="Normal 4 4 2 2 4" xfId="12483" xr:uid="{00000000-0005-0000-0000-0000B7300000}"/>
    <cellStyle name="Normal 4 4 2 2 5" xfId="12484" xr:uid="{00000000-0005-0000-0000-0000B8300000}"/>
    <cellStyle name="Normal 4 4 2 2 6" xfId="12485" xr:uid="{00000000-0005-0000-0000-0000B9300000}"/>
    <cellStyle name="Normal 4 4 2 2 7" xfId="12486" xr:uid="{00000000-0005-0000-0000-0000BA300000}"/>
    <cellStyle name="Normal 4 4 2 3" xfId="12487" xr:uid="{00000000-0005-0000-0000-0000BB300000}"/>
    <cellStyle name="Normal 4 4 2 3 2" xfId="12488" xr:uid="{00000000-0005-0000-0000-0000BC300000}"/>
    <cellStyle name="Normal 4 4 2 3 2 2" xfId="12489" xr:uid="{00000000-0005-0000-0000-0000BD300000}"/>
    <cellStyle name="Normal 4 4 2 3 2 2 2" xfId="12490" xr:uid="{00000000-0005-0000-0000-0000BE300000}"/>
    <cellStyle name="Normal 4 4 2 3 2 2 3" xfId="12491" xr:uid="{00000000-0005-0000-0000-0000BF300000}"/>
    <cellStyle name="Normal 4 4 2 3 2 2 4" xfId="12492" xr:uid="{00000000-0005-0000-0000-0000C0300000}"/>
    <cellStyle name="Normal 4 4 2 3 2 2 5" xfId="12493" xr:uid="{00000000-0005-0000-0000-0000C1300000}"/>
    <cellStyle name="Normal 4 4 2 3 2 3" xfId="12494" xr:uid="{00000000-0005-0000-0000-0000C2300000}"/>
    <cellStyle name="Normal 4 4 2 3 2 4" xfId="12495" xr:uid="{00000000-0005-0000-0000-0000C3300000}"/>
    <cellStyle name="Normal 4 4 2 3 2 5" xfId="12496" xr:uid="{00000000-0005-0000-0000-0000C4300000}"/>
    <cellStyle name="Normal 4 4 2 3 2 6" xfId="12497" xr:uid="{00000000-0005-0000-0000-0000C5300000}"/>
    <cellStyle name="Normal 4 4 2 3 3" xfId="12498" xr:uid="{00000000-0005-0000-0000-0000C6300000}"/>
    <cellStyle name="Normal 4 4 2 3 3 2" xfId="12499" xr:uid="{00000000-0005-0000-0000-0000C7300000}"/>
    <cellStyle name="Normal 4 4 2 3 3 3" xfId="12500" xr:uid="{00000000-0005-0000-0000-0000C8300000}"/>
    <cellStyle name="Normal 4 4 2 3 3 4" xfId="12501" xr:uid="{00000000-0005-0000-0000-0000C9300000}"/>
    <cellStyle name="Normal 4 4 2 3 3 5" xfId="12502" xr:uid="{00000000-0005-0000-0000-0000CA300000}"/>
    <cellStyle name="Normal 4 4 2 3 4" xfId="12503" xr:uid="{00000000-0005-0000-0000-0000CB300000}"/>
    <cellStyle name="Normal 4 4 2 3 5" xfId="12504" xr:uid="{00000000-0005-0000-0000-0000CC300000}"/>
    <cellStyle name="Normal 4 4 2 3 6" xfId="12505" xr:uid="{00000000-0005-0000-0000-0000CD300000}"/>
    <cellStyle name="Normal 4 4 2 3 7" xfId="12506" xr:uid="{00000000-0005-0000-0000-0000CE300000}"/>
    <cellStyle name="Normal 4 4 2 4" xfId="12507" xr:uid="{00000000-0005-0000-0000-0000CF300000}"/>
    <cellStyle name="Normal 4 4 2 4 2" xfId="12508" xr:uid="{00000000-0005-0000-0000-0000D0300000}"/>
    <cellStyle name="Normal 4 4 2 4 2 2" xfId="12509" xr:uid="{00000000-0005-0000-0000-0000D1300000}"/>
    <cellStyle name="Normal 4 4 2 4 2 3" xfId="12510" xr:uid="{00000000-0005-0000-0000-0000D2300000}"/>
    <cellStyle name="Normal 4 4 2 4 2 4" xfId="12511" xr:uid="{00000000-0005-0000-0000-0000D3300000}"/>
    <cellStyle name="Normal 4 4 2 4 2 5" xfId="12512" xr:uid="{00000000-0005-0000-0000-0000D4300000}"/>
    <cellStyle name="Normal 4 4 2 4 3" xfId="12513" xr:uid="{00000000-0005-0000-0000-0000D5300000}"/>
    <cellStyle name="Normal 4 4 2 4 4" xfId="12514" xr:uid="{00000000-0005-0000-0000-0000D6300000}"/>
    <cellStyle name="Normal 4 4 2 4 5" xfId="12515" xr:uid="{00000000-0005-0000-0000-0000D7300000}"/>
    <cellStyle name="Normal 4 4 2 4 6" xfId="12516" xr:uid="{00000000-0005-0000-0000-0000D8300000}"/>
    <cellStyle name="Normal 4 4 2 5" xfId="12517" xr:uid="{00000000-0005-0000-0000-0000D9300000}"/>
    <cellStyle name="Normal 4 4 2 5 2" xfId="12518" xr:uid="{00000000-0005-0000-0000-0000DA300000}"/>
    <cellStyle name="Normal 4 4 2 5 3" xfId="12519" xr:uid="{00000000-0005-0000-0000-0000DB300000}"/>
    <cellStyle name="Normal 4 4 2 5 4" xfId="12520" xr:uid="{00000000-0005-0000-0000-0000DC300000}"/>
    <cellStyle name="Normal 4 4 2 5 5" xfId="12521" xr:uid="{00000000-0005-0000-0000-0000DD300000}"/>
    <cellStyle name="Normal 4 4 2 6" xfId="12522" xr:uid="{00000000-0005-0000-0000-0000DE300000}"/>
    <cellStyle name="Normal 4 4 2 7" xfId="12523" xr:uid="{00000000-0005-0000-0000-0000DF300000}"/>
    <cellStyle name="Normal 4 4 2 8" xfId="12524" xr:uid="{00000000-0005-0000-0000-0000E0300000}"/>
    <cellStyle name="Normal 4 4 2 9" xfId="12525" xr:uid="{00000000-0005-0000-0000-0000E1300000}"/>
    <cellStyle name="Normal 4 4 3" xfId="12526" xr:uid="{00000000-0005-0000-0000-0000E2300000}"/>
    <cellStyle name="Normal 4 4 3 2" xfId="12527" xr:uid="{00000000-0005-0000-0000-0000E3300000}"/>
    <cellStyle name="Normal 4 4 3 2 2" xfId="12528" xr:uid="{00000000-0005-0000-0000-0000E4300000}"/>
    <cellStyle name="Normal 4 4 3 2 2 2" xfId="12529" xr:uid="{00000000-0005-0000-0000-0000E5300000}"/>
    <cellStyle name="Normal 4 4 3 2 2 3" xfId="12530" xr:uid="{00000000-0005-0000-0000-0000E6300000}"/>
    <cellStyle name="Normal 4 4 3 2 2 4" xfId="12531" xr:uid="{00000000-0005-0000-0000-0000E7300000}"/>
    <cellStyle name="Normal 4 4 3 2 2 5" xfId="12532" xr:uid="{00000000-0005-0000-0000-0000E8300000}"/>
    <cellStyle name="Normal 4 4 3 2 3" xfId="12533" xr:uid="{00000000-0005-0000-0000-0000E9300000}"/>
    <cellStyle name="Normal 4 4 3 2 4" xfId="12534" xr:uid="{00000000-0005-0000-0000-0000EA300000}"/>
    <cellStyle name="Normal 4 4 3 2 5" xfId="12535" xr:uid="{00000000-0005-0000-0000-0000EB300000}"/>
    <cellStyle name="Normal 4 4 3 2 6" xfId="12536" xr:uid="{00000000-0005-0000-0000-0000EC300000}"/>
    <cellStyle name="Normal 4 4 3 3" xfId="12537" xr:uid="{00000000-0005-0000-0000-0000ED300000}"/>
    <cellStyle name="Normal 4 4 3 3 2" xfId="12538" xr:uid="{00000000-0005-0000-0000-0000EE300000}"/>
    <cellStyle name="Normal 4 4 3 3 3" xfId="12539" xr:uid="{00000000-0005-0000-0000-0000EF300000}"/>
    <cellStyle name="Normal 4 4 3 3 4" xfId="12540" xr:uid="{00000000-0005-0000-0000-0000F0300000}"/>
    <cellStyle name="Normal 4 4 3 3 5" xfId="12541" xr:uid="{00000000-0005-0000-0000-0000F1300000}"/>
    <cellStyle name="Normal 4 4 3 4" xfId="12542" xr:uid="{00000000-0005-0000-0000-0000F2300000}"/>
    <cellStyle name="Normal 4 4 3 5" xfId="12543" xr:uid="{00000000-0005-0000-0000-0000F3300000}"/>
    <cellStyle name="Normal 4 4 3 6" xfId="12544" xr:uid="{00000000-0005-0000-0000-0000F4300000}"/>
    <cellStyle name="Normal 4 4 3 7" xfId="12545" xr:uid="{00000000-0005-0000-0000-0000F5300000}"/>
    <cellStyle name="Normal 4 4 4" xfId="12546" xr:uid="{00000000-0005-0000-0000-0000F6300000}"/>
    <cellStyle name="Normal 4 4 4 2" xfId="12547" xr:uid="{00000000-0005-0000-0000-0000F7300000}"/>
    <cellStyle name="Normal 4 4 4 2 2" xfId="12548" xr:uid="{00000000-0005-0000-0000-0000F8300000}"/>
    <cellStyle name="Normal 4 4 4 2 2 2" xfId="12549" xr:uid="{00000000-0005-0000-0000-0000F9300000}"/>
    <cellStyle name="Normal 4 4 4 2 2 3" xfId="12550" xr:uid="{00000000-0005-0000-0000-0000FA300000}"/>
    <cellStyle name="Normal 4 4 4 2 2 4" xfId="12551" xr:uid="{00000000-0005-0000-0000-0000FB300000}"/>
    <cellStyle name="Normal 4 4 4 2 2 5" xfId="12552" xr:uid="{00000000-0005-0000-0000-0000FC300000}"/>
    <cellStyle name="Normal 4 4 4 2 3" xfId="12553" xr:uid="{00000000-0005-0000-0000-0000FD300000}"/>
    <cellStyle name="Normal 4 4 4 2 4" xfId="12554" xr:uid="{00000000-0005-0000-0000-0000FE300000}"/>
    <cellStyle name="Normal 4 4 4 2 5" xfId="12555" xr:uid="{00000000-0005-0000-0000-0000FF300000}"/>
    <cellStyle name="Normal 4 4 4 2 6" xfId="12556" xr:uid="{00000000-0005-0000-0000-000000310000}"/>
    <cellStyle name="Normal 4 4 4 3" xfId="12557" xr:uid="{00000000-0005-0000-0000-000001310000}"/>
    <cellStyle name="Normal 4 4 4 3 2" xfId="12558" xr:uid="{00000000-0005-0000-0000-000002310000}"/>
    <cellStyle name="Normal 4 4 4 3 3" xfId="12559" xr:uid="{00000000-0005-0000-0000-000003310000}"/>
    <cellStyle name="Normal 4 4 4 3 4" xfId="12560" xr:uid="{00000000-0005-0000-0000-000004310000}"/>
    <cellStyle name="Normal 4 4 4 3 5" xfId="12561" xr:uid="{00000000-0005-0000-0000-000005310000}"/>
    <cellStyle name="Normal 4 4 4 4" xfId="12562" xr:uid="{00000000-0005-0000-0000-000006310000}"/>
    <cellStyle name="Normal 4 4 4 5" xfId="12563" xr:uid="{00000000-0005-0000-0000-000007310000}"/>
    <cellStyle name="Normal 4 4 4 6" xfId="12564" xr:uid="{00000000-0005-0000-0000-000008310000}"/>
    <cellStyle name="Normal 4 4 4 7" xfId="12565" xr:uid="{00000000-0005-0000-0000-000009310000}"/>
    <cellStyle name="Normal 4 4 5" xfId="12566" xr:uid="{00000000-0005-0000-0000-00000A310000}"/>
    <cellStyle name="Normal 4 4 5 2" xfId="12567" xr:uid="{00000000-0005-0000-0000-00000B310000}"/>
    <cellStyle name="Normal 4 4 5 2 2" xfId="12568" xr:uid="{00000000-0005-0000-0000-00000C310000}"/>
    <cellStyle name="Normal 4 4 5 2 3" xfId="12569" xr:uid="{00000000-0005-0000-0000-00000D310000}"/>
    <cellStyle name="Normal 4 4 5 2 4" xfId="12570" xr:uid="{00000000-0005-0000-0000-00000E310000}"/>
    <cellStyle name="Normal 4 4 5 2 5" xfId="12571" xr:uid="{00000000-0005-0000-0000-00000F310000}"/>
    <cellStyle name="Normal 4 4 5 3" xfId="12572" xr:uid="{00000000-0005-0000-0000-000010310000}"/>
    <cellStyle name="Normal 4 4 5 4" xfId="12573" xr:uid="{00000000-0005-0000-0000-000011310000}"/>
    <cellStyle name="Normal 4 4 5 5" xfId="12574" xr:uid="{00000000-0005-0000-0000-000012310000}"/>
    <cellStyle name="Normal 4 4 5 6" xfId="12575" xr:uid="{00000000-0005-0000-0000-000013310000}"/>
    <cellStyle name="Normal 4 4 6" xfId="12576" xr:uid="{00000000-0005-0000-0000-000014310000}"/>
    <cellStyle name="Normal 4 4 6 2" xfId="12577" xr:uid="{00000000-0005-0000-0000-000015310000}"/>
    <cellStyle name="Normal 4 4 6 3" xfId="12578" xr:uid="{00000000-0005-0000-0000-000016310000}"/>
    <cellStyle name="Normal 4 4 6 4" xfId="12579" xr:uid="{00000000-0005-0000-0000-000017310000}"/>
    <cellStyle name="Normal 4 4 6 5" xfId="12580" xr:uid="{00000000-0005-0000-0000-000018310000}"/>
    <cellStyle name="Normal 4 4 7" xfId="12581" xr:uid="{00000000-0005-0000-0000-000019310000}"/>
    <cellStyle name="Normal 4 4 8" xfId="12582" xr:uid="{00000000-0005-0000-0000-00001A310000}"/>
    <cellStyle name="Normal 4 4 9" xfId="12583" xr:uid="{00000000-0005-0000-0000-00001B310000}"/>
    <cellStyle name="Normal 4 5" xfId="12584" xr:uid="{00000000-0005-0000-0000-00001C310000}"/>
    <cellStyle name="Normal 4 5 2" xfId="12585" xr:uid="{00000000-0005-0000-0000-00001D310000}"/>
    <cellStyle name="Normal 4 5 2 2" xfId="12586" xr:uid="{00000000-0005-0000-0000-00001E310000}"/>
    <cellStyle name="Normal 4 5 2 2 2" xfId="12587" xr:uid="{00000000-0005-0000-0000-00001F310000}"/>
    <cellStyle name="Normal 4 5 2 2 2 2" xfId="12588" xr:uid="{00000000-0005-0000-0000-000020310000}"/>
    <cellStyle name="Normal 4 5 2 2 2 3" xfId="12589" xr:uid="{00000000-0005-0000-0000-000021310000}"/>
    <cellStyle name="Normal 4 5 2 2 2 4" xfId="12590" xr:uid="{00000000-0005-0000-0000-000022310000}"/>
    <cellStyle name="Normal 4 5 2 2 2 5" xfId="12591" xr:uid="{00000000-0005-0000-0000-000023310000}"/>
    <cellStyle name="Normal 4 5 2 2 3" xfId="12592" xr:uid="{00000000-0005-0000-0000-000024310000}"/>
    <cellStyle name="Normal 4 5 2 2 4" xfId="12593" xr:uid="{00000000-0005-0000-0000-000025310000}"/>
    <cellStyle name="Normal 4 5 2 2 5" xfId="12594" xr:uid="{00000000-0005-0000-0000-000026310000}"/>
    <cellStyle name="Normal 4 5 2 2 6" xfId="12595" xr:uid="{00000000-0005-0000-0000-000027310000}"/>
    <cellStyle name="Normal 4 5 2 3" xfId="12596" xr:uid="{00000000-0005-0000-0000-000028310000}"/>
    <cellStyle name="Normal 4 5 2 3 2" xfId="12597" xr:uid="{00000000-0005-0000-0000-000029310000}"/>
    <cellStyle name="Normal 4 5 2 3 3" xfId="12598" xr:uid="{00000000-0005-0000-0000-00002A310000}"/>
    <cellStyle name="Normal 4 5 2 3 4" xfId="12599" xr:uid="{00000000-0005-0000-0000-00002B310000}"/>
    <cellStyle name="Normal 4 5 2 3 5" xfId="12600" xr:uid="{00000000-0005-0000-0000-00002C310000}"/>
    <cellStyle name="Normal 4 5 2 4" xfId="12601" xr:uid="{00000000-0005-0000-0000-00002D310000}"/>
    <cellStyle name="Normal 4 5 2 5" xfId="12602" xr:uid="{00000000-0005-0000-0000-00002E310000}"/>
    <cellStyle name="Normal 4 5 2 6" xfId="12603" xr:uid="{00000000-0005-0000-0000-00002F310000}"/>
    <cellStyle name="Normal 4 5 2 7" xfId="12604" xr:uid="{00000000-0005-0000-0000-000030310000}"/>
    <cellStyle name="Normal 4 5 3" xfId="12605" xr:uid="{00000000-0005-0000-0000-000031310000}"/>
    <cellStyle name="Normal 4 5 3 2" xfId="12606" xr:uid="{00000000-0005-0000-0000-000032310000}"/>
    <cellStyle name="Normal 4 5 3 2 2" xfId="12607" xr:uid="{00000000-0005-0000-0000-000033310000}"/>
    <cellStyle name="Normal 4 5 3 2 2 2" xfId="12608" xr:uid="{00000000-0005-0000-0000-000034310000}"/>
    <cellStyle name="Normal 4 5 3 2 2 3" xfId="12609" xr:uid="{00000000-0005-0000-0000-000035310000}"/>
    <cellStyle name="Normal 4 5 3 2 2 4" xfId="12610" xr:uid="{00000000-0005-0000-0000-000036310000}"/>
    <cellStyle name="Normal 4 5 3 2 2 5" xfId="12611" xr:uid="{00000000-0005-0000-0000-000037310000}"/>
    <cellStyle name="Normal 4 5 3 2 3" xfId="12612" xr:uid="{00000000-0005-0000-0000-000038310000}"/>
    <cellStyle name="Normal 4 5 3 2 4" xfId="12613" xr:uid="{00000000-0005-0000-0000-000039310000}"/>
    <cellStyle name="Normal 4 5 3 2 5" xfId="12614" xr:uid="{00000000-0005-0000-0000-00003A310000}"/>
    <cellStyle name="Normal 4 5 3 2 6" xfId="12615" xr:uid="{00000000-0005-0000-0000-00003B310000}"/>
    <cellStyle name="Normal 4 5 3 3" xfId="12616" xr:uid="{00000000-0005-0000-0000-00003C310000}"/>
    <cellStyle name="Normal 4 5 3 3 2" xfId="12617" xr:uid="{00000000-0005-0000-0000-00003D310000}"/>
    <cellStyle name="Normal 4 5 3 3 3" xfId="12618" xr:uid="{00000000-0005-0000-0000-00003E310000}"/>
    <cellStyle name="Normal 4 5 3 3 4" xfId="12619" xr:uid="{00000000-0005-0000-0000-00003F310000}"/>
    <cellStyle name="Normal 4 5 3 3 5" xfId="12620" xr:uid="{00000000-0005-0000-0000-000040310000}"/>
    <cellStyle name="Normal 4 5 3 4" xfId="12621" xr:uid="{00000000-0005-0000-0000-000041310000}"/>
    <cellStyle name="Normal 4 5 3 5" xfId="12622" xr:uid="{00000000-0005-0000-0000-000042310000}"/>
    <cellStyle name="Normal 4 5 3 6" xfId="12623" xr:uid="{00000000-0005-0000-0000-000043310000}"/>
    <cellStyle name="Normal 4 5 3 7" xfId="12624" xr:uid="{00000000-0005-0000-0000-000044310000}"/>
    <cellStyle name="Normal 4 5 4" xfId="12625" xr:uid="{00000000-0005-0000-0000-000045310000}"/>
    <cellStyle name="Normal 4 5 4 2" xfId="12626" xr:uid="{00000000-0005-0000-0000-000046310000}"/>
    <cellStyle name="Normal 4 5 4 2 2" xfId="12627" xr:uid="{00000000-0005-0000-0000-000047310000}"/>
    <cellStyle name="Normal 4 5 4 2 3" xfId="12628" xr:uid="{00000000-0005-0000-0000-000048310000}"/>
    <cellStyle name="Normal 4 5 4 2 4" xfId="12629" xr:uid="{00000000-0005-0000-0000-000049310000}"/>
    <cellStyle name="Normal 4 5 4 2 5" xfId="12630" xr:uid="{00000000-0005-0000-0000-00004A310000}"/>
    <cellStyle name="Normal 4 5 4 3" xfId="12631" xr:uid="{00000000-0005-0000-0000-00004B310000}"/>
    <cellStyle name="Normal 4 5 4 4" xfId="12632" xr:uid="{00000000-0005-0000-0000-00004C310000}"/>
    <cellStyle name="Normal 4 5 4 5" xfId="12633" xr:uid="{00000000-0005-0000-0000-00004D310000}"/>
    <cellStyle name="Normal 4 5 4 6" xfId="12634" xr:uid="{00000000-0005-0000-0000-00004E310000}"/>
    <cellStyle name="Normal 4 5 5" xfId="12635" xr:uid="{00000000-0005-0000-0000-00004F310000}"/>
    <cellStyle name="Normal 4 5 5 2" xfId="12636" xr:uid="{00000000-0005-0000-0000-000050310000}"/>
    <cellStyle name="Normal 4 5 5 3" xfId="12637" xr:uid="{00000000-0005-0000-0000-000051310000}"/>
    <cellStyle name="Normal 4 5 5 4" xfId="12638" xr:uid="{00000000-0005-0000-0000-000052310000}"/>
    <cellStyle name="Normal 4 5 5 5" xfId="12639" xr:uid="{00000000-0005-0000-0000-000053310000}"/>
    <cellStyle name="Normal 4 5 6" xfId="12640" xr:uid="{00000000-0005-0000-0000-000054310000}"/>
    <cellStyle name="Normal 4 5 7" xfId="12641" xr:uid="{00000000-0005-0000-0000-000055310000}"/>
    <cellStyle name="Normal 4 5 8" xfId="12642" xr:uid="{00000000-0005-0000-0000-000056310000}"/>
    <cellStyle name="Normal 4 5 9" xfId="12643" xr:uid="{00000000-0005-0000-0000-000057310000}"/>
    <cellStyle name="Normal 4 6" xfId="12644" xr:uid="{00000000-0005-0000-0000-000058310000}"/>
    <cellStyle name="Normal 4 6 2" xfId="12645" xr:uid="{00000000-0005-0000-0000-000059310000}"/>
    <cellStyle name="Normal 4 6 2 2" xfId="12646" xr:uid="{00000000-0005-0000-0000-00005A310000}"/>
    <cellStyle name="Normal 4 6 2 2 2" xfId="12647" xr:uid="{00000000-0005-0000-0000-00005B310000}"/>
    <cellStyle name="Normal 4 6 2 2 2 2" xfId="12648" xr:uid="{00000000-0005-0000-0000-00005C310000}"/>
    <cellStyle name="Normal 4 6 2 2 2 3" xfId="12649" xr:uid="{00000000-0005-0000-0000-00005D310000}"/>
    <cellStyle name="Normal 4 6 2 2 2 4" xfId="12650" xr:uid="{00000000-0005-0000-0000-00005E310000}"/>
    <cellStyle name="Normal 4 6 2 2 2 5" xfId="12651" xr:uid="{00000000-0005-0000-0000-00005F310000}"/>
    <cellStyle name="Normal 4 6 2 2 3" xfId="12652" xr:uid="{00000000-0005-0000-0000-000060310000}"/>
    <cellStyle name="Normal 4 6 2 2 4" xfId="12653" xr:uid="{00000000-0005-0000-0000-000061310000}"/>
    <cellStyle name="Normal 4 6 2 2 5" xfId="12654" xr:uid="{00000000-0005-0000-0000-000062310000}"/>
    <cellStyle name="Normal 4 6 2 2 6" xfId="12655" xr:uid="{00000000-0005-0000-0000-000063310000}"/>
    <cellStyle name="Normal 4 6 2 3" xfId="12656" xr:uid="{00000000-0005-0000-0000-000064310000}"/>
    <cellStyle name="Normal 4 6 2 3 2" xfId="12657" xr:uid="{00000000-0005-0000-0000-000065310000}"/>
    <cellStyle name="Normal 4 6 2 3 3" xfId="12658" xr:uid="{00000000-0005-0000-0000-000066310000}"/>
    <cellStyle name="Normal 4 6 2 3 4" xfId="12659" xr:uid="{00000000-0005-0000-0000-000067310000}"/>
    <cellStyle name="Normal 4 6 2 3 5" xfId="12660" xr:uid="{00000000-0005-0000-0000-000068310000}"/>
    <cellStyle name="Normal 4 6 2 4" xfId="12661" xr:uid="{00000000-0005-0000-0000-000069310000}"/>
    <cellStyle name="Normal 4 6 2 5" xfId="12662" xr:uid="{00000000-0005-0000-0000-00006A310000}"/>
    <cellStyle name="Normal 4 6 2 6" xfId="12663" xr:uid="{00000000-0005-0000-0000-00006B310000}"/>
    <cellStyle name="Normal 4 6 2 7" xfId="12664" xr:uid="{00000000-0005-0000-0000-00006C310000}"/>
    <cellStyle name="Normal 4 6 3" xfId="12665" xr:uid="{00000000-0005-0000-0000-00006D310000}"/>
    <cellStyle name="Normal 4 6 3 2" xfId="12666" xr:uid="{00000000-0005-0000-0000-00006E310000}"/>
    <cellStyle name="Normal 4 6 3 2 2" xfId="12667" xr:uid="{00000000-0005-0000-0000-00006F310000}"/>
    <cellStyle name="Normal 4 6 3 2 2 2" xfId="12668" xr:uid="{00000000-0005-0000-0000-000070310000}"/>
    <cellStyle name="Normal 4 6 3 2 2 3" xfId="12669" xr:uid="{00000000-0005-0000-0000-000071310000}"/>
    <cellStyle name="Normal 4 6 3 2 2 4" xfId="12670" xr:uid="{00000000-0005-0000-0000-000072310000}"/>
    <cellStyle name="Normal 4 6 3 2 2 5" xfId="12671" xr:uid="{00000000-0005-0000-0000-000073310000}"/>
    <cellStyle name="Normal 4 6 3 2 3" xfId="12672" xr:uid="{00000000-0005-0000-0000-000074310000}"/>
    <cellStyle name="Normal 4 6 3 2 4" xfId="12673" xr:uid="{00000000-0005-0000-0000-000075310000}"/>
    <cellStyle name="Normal 4 6 3 2 5" xfId="12674" xr:uid="{00000000-0005-0000-0000-000076310000}"/>
    <cellStyle name="Normal 4 6 3 2 6" xfId="12675" xr:uid="{00000000-0005-0000-0000-000077310000}"/>
    <cellStyle name="Normal 4 6 3 3" xfId="12676" xr:uid="{00000000-0005-0000-0000-000078310000}"/>
    <cellStyle name="Normal 4 6 3 3 2" xfId="12677" xr:uid="{00000000-0005-0000-0000-000079310000}"/>
    <cellStyle name="Normal 4 6 3 3 3" xfId="12678" xr:uid="{00000000-0005-0000-0000-00007A310000}"/>
    <cellStyle name="Normal 4 6 3 3 4" xfId="12679" xr:uid="{00000000-0005-0000-0000-00007B310000}"/>
    <cellStyle name="Normal 4 6 3 3 5" xfId="12680" xr:uid="{00000000-0005-0000-0000-00007C310000}"/>
    <cellStyle name="Normal 4 6 3 4" xfId="12681" xr:uid="{00000000-0005-0000-0000-00007D310000}"/>
    <cellStyle name="Normal 4 6 3 5" xfId="12682" xr:uid="{00000000-0005-0000-0000-00007E310000}"/>
    <cellStyle name="Normal 4 6 3 6" xfId="12683" xr:uid="{00000000-0005-0000-0000-00007F310000}"/>
    <cellStyle name="Normal 4 6 3 7" xfId="12684" xr:uid="{00000000-0005-0000-0000-000080310000}"/>
    <cellStyle name="Normal 4 6 4" xfId="12685" xr:uid="{00000000-0005-0000-0000-000081310000}"/>
    <cellStyle name="Normal 4 6 4 2" xfId="12686" xr:uid="{00000000-0005-0000-0000-000082310000}"/>
    <cellStyle name="Normal 4 6 4 2 2" xfId="12687" xr:uid="{00000000-0005-0000-0000-000083310000}"/>
    <cellStyle name="Normal 4 6 4 2 3" xfId="12688" xr:uid="{00000000-0005-0000-0000-000084310000}"/>
    <cellStyle name="Normal 4 6 4 2 4" xfId="12689" xr:uid="{00000000-0005-0000-0000-000085310000}"/>
    <cellStyle name="Normal 4 6 4 2 5" xfId="12690" xr:uid="{00000000-0005-0000-0000-000086310000}"/>
    <cellStyle name="Normal 4 6 4 3" xfId="12691" xr:uid="{00000000-0005-0000-0000-000087310000}"/>
    <cellStyle name="Normal 4 6 4 4" xfId="12692" xr:uid="{00000000-0005-0000-0000-000088310000}"/>
    <cellStyle name="Normal 4 6 4 5" xfId="12693" xr:uid="{00000000-0005-0000-0000-000089310000}"/>
    <cellStyle name="Normal 4 6 4 6" xfId="12694" xr:uid="{00000000-0005-0000-0000-00008A310000}"/>
    <cellStyle name="Normal 4 6 5" xfId="12695" xr:uid="{00000000-0005-0000-0000-00008B310000}"/>
    <cellStyle name="Normal 4 6 5 2" xfId="12696" xr:uid="{00000000-0005-0000-0000-00008C310000}"/>
    <cellStyle name="Normal 4 6 5 3" xfId="12697" xr:uid="{00000000-0005-0000-0000-00008D310000}"/>
    <cellStyle name="Normal 4 6 5 4" xfId="12698" xr:uid="{00000000-0005-0000-0000-00008E310000}"/>
    <cellStyle name="Normal 4 6 5 5" xfId="12699" xr:uid="{00000000-0005-0000-0000-00008F310000}"/>
    <cellStyle name="Normal 4 6 6" xfId="12700" xr:uid="{00000000-0005-0000-0000-000090310000}"/>
    <cellStyle name="Normal 4 6 7" xfId="12701" xr:uid="{00000000-0005-0000-0000-000091310000}"/>
    <cellStyle name="Normal 4 6 8" xfId="12702" xr:uid="{00000000-0005-0000-0000-000092310000}"/>
    <cellStyle name="Normal 4 6 9" xfId="12703" xr:uid="{00000000-0005-0000-0000-000093310000}"/>
    <cellStyle name="Normal 4 7" xfId="12704" xr:uid="{00000000-0005-0000-0000-000094310000}"/>
    <cellStyle name="Normal 4 7 2" xfId="12705" xr:uid="{00000000-0005-0000-0000-000095310000}"/>
    <cellStyle name="Normal 4 7 2 2" xfId="12706" xr:uid="{00000000-0005-0000-0000-000096310000}"/>
    <cellStyle name="Normal 4 7 2 2 2" xfId="12707" xr:uid="{00000000-0005-0000-0000-000097310000}"/>
    <cellStyle name="Normal 4 7 2 2 2 2" xfId="12708" xr:uid="{00000000-0005-0000-0000-000098310000}"/>
    <cellStyle name="Normal 4 7 2 2 2 3" xfId="12709" xr:uid="{00000000-0005-0000-0000-000099310000}"/>
    <cellStyle name="Normal 4 7 2 2 2 4" xfId="12710" xr:uid="{00000000-0005-0000-0000-00009A310000}"/>
    <cellStyle name="Normal 4 7 2 2 2 5" xfId="12711" xr:uid="{00000000-0005-0000-0000-00009B310000}"/>
    <cellStyle name="Normal 4 7 2 2 3" xfId="12712" xr:uid="{00000000-0005-0000-0000-00009C310000}"/>
    <cellStyle name="Normal 4 7 2 2 4" xfId="12713" xr:uid="{00000000-0005-0000-0000-00009D310000}"/>
    <cellStyle name="Normal 4 7 2 2 5" xfId="12714" xr:uid="{00000000-0005-0000-0000-00009E310000}"/>
    <cellStyle name="Normal 4 7 2 2 6" xfId="12715" xr:uid="{00000000-0005-0000-0000-00009F310000}"/>
    <cellStyle name="Normal 4 7 2 3" xfId="12716" xr:uid="{00000000-0005-0000-0000-0000A0310000}"/>
    <cellStyle name="Normal 4 7 2 3 2" xfId="12717" xr:uid="{00000000-0005-0000-0000-0000A1310000}"/>
    <cellStyle name="Normal 4 7 2 3 3" xfId="12718" xr:uid="{00000000-0005-0000-0000-0000A2310000}"/>
    <cellStyle name="Normal 4 7 2 3 4" xfId="12719" xr:uid="{00000000-0005-0000-0000-0000A3310000}"/>
    <cellStyle name="Normal 4 7 2 3 5" xfId="12720" xr:uid="{00000000-0005-0000-0000-0000A4310000}"/>
    <cellStyle name="Normal 4 7 2 4" xfId="12721" xr:uid="{00000000-0005-0000-0000-0000A5310000}"/>
    <cellStyle name="Normal 4 7 2 5" xfId="12722" xr:uid="{00000000-0005-0000-0000-0000A6310000}"/>
    <cellStyle name="Normal 4 7 2 6" xfId="12723" xr:uid="{00000000-0005-0000-0000-0000A7310000}"/>
    <cellStyle name="Normal 4 7 2 7" xfId="12724" xr:uid="{00000000-0005-0000-0000-0000A8310000}"/>
    <cellStyle name="Normal 4 7 3" xfId="12725" xr:uid="{00000000-0005-0000-0000-0000A9310000}"/>
    <cellStyle name="Normal 4 7 3 2" xfId="12726" xr:uid="{00000000-0005-0000-0000-0000AA310000}"/>
    <cellStyle name="Normal 4 7 3 2 2" xfId="12727" xr:uid="{00000000-0005-0000-0000-0000AB310000}"/>
    <cellStyle name="Normal 4 7 3 2 2 2" xfId="12728" xr:uid="{00000000-0005-0000-0000-0000AC310000}"/>
    <cellStyle name="Normal 4 7 3 2 2 3" xfId="12729" xr:uid="{00000000-0005-0000-0000-0000AD310000}"/>
    <cellStyle name="Normal 4 7 3 2 2 4" xfId="12730" xr:uid="{00000000-0005-0000-0000-0000AE310000}"/>
    <cellStyle name="Normal 4 7 3 2 2 5" xfId="12731" xr:uid="{00000000-0005-0000-0000-0000AF310000}"/>
    <cellStyle name="Normal 4 7 3 2 3" xfId="12732" xr:uid="{00000000-0005-0000-0000-0000B0310000}"/>
    <cellStyle name="Normal 4 7 3 2 4" xfId="12733" xr:uid="{00000000-0005-0000-0000-0000B1310000}"/>
    <cellStyle name="Normal 4 7 3 2 5" xfId="12734" xr:uid="{00000000-0005-0000-0000-0000B2310000}"/>
    <cellStyle name="Normal 4 7 3 2 6" xfId="12735" xr:uid="{00000000-0005-0000-0000-0000B3310000}"/>
    <cellStyle name="Normal 4 7 3 3" xfId="12736" xr:uid="{00000000-0005-0000-0000-0000B4310000}"/>
    <cellStyle name="Normal 4 7 3 3 2" xfId="12737" xr:uid="{00000000-0005-0000-0000-0000B5310000}"/>
    <cellStyle name="Normal 4 7 3 3 3" xfId="12738" xr:uid="{00000000-0005-0000-0000-0000B6310000}"/>
    <cellStyle name="Normal 4 7 3 3 4" xfId="12739" xr:uid="{00000000-0005-0000-0000-0000B7310000}"/>
    <cellStyle name="Normal 4 7 3 3 5" xfId="12740" xr:uid="{00000000-0005-0000-0000-0000B8310000}"/>
    <cellStyle name="Normal 4 7 3 4" xfId="12741" xr:uid="{00000000-0005-0000-0000-0000B9310000}"/>
    <cellStyle name="Normal 4 7 3 5" xfId="12742" xr:uid="{00000000-0005-0000-0000-0000BA310000}"/>
    <cellStyle name="Normal 4 7 3 6" xfId="12743" xr:uid="{00000000-0005-0000-0000-0000BB310000}"/>
    <cellStyle name="Normal 4 7 3 7" xfId="12744" xr:uid="{00000000-0005-0000-0000-0000BC310000}"/>
    <cellStyle name="Normal 4 7 4" xfId="12745" xr:uid="{00000000-0005-0000-0000-0000BD310000}"/>
    <cellStyle name="Normal 4 7 4 2" xfId="12746" xr:uid="{00000000-0005-0000-0000-0000BE310000}"/>
    <cellStyle name="Normal 4 7 4 2 2" xfId="12747" xr:uid="{00000000-0005-0000-0000-0000BF310000}"/>
    <cellStyle name="Normal 4 7 4 2 3" xfId="12748" xr:uid="{00000000-0005-0000-0000-0000C0310000}"/>
    <cellStyle name="Normal 4 7 4 2 4" xfId="12749" xr:uid="{00000000-0005-0000-0000-0000C1310000}"/>
    <cellStyle name="Normal 4 7 4 2 5" xfId="12750" xr:uid="{00000000-0005-0000-0000-0000C2310000}"/>
    <cellStyle name="Normal 4 7 4 3" xfId="12751" xr:uid="{00000000-0005-0000-0000-0000C3310000}"/>
    <cellStyle name="Normal 4 7 4 4" xfId="12752" xr:uid="{00000000-0005-0000-0000-0000C4310000}"/>
    <cellStyle name="Normal 4 7 4 5" xfId="12753" xr:uid="{00000000-0005-0000-0000-0000C5310000}"/>
    <cellStyle name="Normal 4 7 4 6" xfId="12754" xr:uid="{00000000-0005-0000-0000-0000C6310000}"/>
    <cellStyle name="Normal 4 7 5" xfId="12755" xr:uid="{00000000-0005-0000-0000-0000C7310000}"/>
    <cellStyle name="Normal 4 7 5 2" xfId="12756" xr:uid="{00000000-0005-0000-0000-0000C8310000}"/>
    <cellStyle name="Normal 4 7 5 3" xfId="12757" xr:uid="{00000000-0005-0000-0000-0000C9310000}"/>
    <cellStyle name="Normal 4 7 5 4" xfId="12758" xr:uid="{00000000-0005-0000-0000-0000CA310000}"/>
    <cellStyle name="Normal 4 7 5 5" xfId="12759" xr:uid="{00000000-0005-0000-0000-0000CB310000}"/>
    <cellStyle name="Normal 4 7 6" xfId="12760" xr:uid="{00000000-0005-0000-0000-0000CC310000}"/>
    <cellStyle name="Normal 4 7 7" xfId="12761" xr:uid="{00000000-0005-0000-0000-0000CD310000}"/>
    <cellStyle name="Normal 4 7 8" xfId="12762" xr:uid="{00000000-0005-0000-0000-0000CE310000}"/>
    <cellStyle name="Normal 4 7 9" xfId="12763" xr:uid="{00000000-0005-0000-0000-0000CF310000}"/>
    <cellStyle name="Normal 4 8" xfId="12764" xr:uid="{00000000-0005-0000-0000-0000D0310000}"/>
    <cellStyle name="Normal 4 8 2" xfId="12765" xr:uid="{00000000-0005-0000-0000-0000D1310000}"/>
    <cellStyle name="Normal 4 8 2 2" xfId="12766" xr:uid="{00000000-0005-0000-0000-0000D2310000}"/>
    <cellStyle name="Normal 4 8 2 2 2" xfId="12767" xr:uid="{00000000-0005-0000-0000-0000D3310000}"/>
    <cellStyle name="Normal 4 8 2 2 3" xfId="12768" xr:uid="{00000000-0005-0000-0000-0000D4310000}"/>
    <cellStyle name="Normal 4 8 2 2 4" xfId="12769" xr:uid="{00000000-0005-0000-0000-0000D5310000}"/>
    <cellStyle name="Normal 4 8 2 2 5" xfId="12770" xr:uid="{00000000-0005-0000-0000-0000D6310000}"/>
    <cellStyle name="Normal 4 8 2 3" xfId="12771" xr:uid="{00000000-0005-0000-0000-0000D7310000}"/>
    <cellStyle name="Normal 4 8 2 4" xfId="12772" xr:uid="{00000000-0005-0000-0000-0000D8310000}"/>
    <cellStyle name="Normal 4 8 2 5" xfId="12773" xr:uid="{00000000-0005-0000-0000-0000D9310000}"/>
    <cellStyle name="Normal 4 8 2 6" xfId="12774" xr:uid="{00000000-0005-0000-0000-0000DA310000}"/>
    <cellStyle name="Normal 4 8 3" xfId="12775" xr:uid="{00000000-0005-0000-0000-0000DB310000}"/>
    <cellStyle name="Normal 4 8 3 2" xfId="12776" xr:uid="{00000000-0005-0000-0000-0000DC310000}"/>
    <cellStyle name="Normal 4 8 3 3" xfId="12777" xr:uid="{00000000-0005-0000-0000-0000DD310000}"/>
    <cellStyle name="Normal 4 8 3 4" xfId="12778" xr:uid="{00000000-0005-0000-0000-0000DE310000}"/>
    <cellStyle name="Normal 4 8 3 5" xfId="12779" xr:uid="{00000000-0005-0000-0000-0000DF310000}"/>
    <cellStyle name="Normal 4 8 4" xfId="12780" xr:uid="{00000000-0005-0000-0000-0000E0310000}"/>
    <cellStyle name="Normal 4 8 5" xfId="12781" xr:uid="{00000000-0005-0000-0000-0000E1310000}"/>
    <cellStyle name="Normal 4 8 6" xfId="12782" xr:uid="{00000000-0005-0000-0000-0000E2310000}"/>
    <cellStyle name="Normal 4 8 7" xfId="12783" xr:uid="{00000000-0005-0000-0000-0000E3310000}"/>
    <cellStyle name="Normal 4 9" xfId="12784" xr:uid="{00000000-0005-0000-0000-0000E4310000}"/>
    <cellStyle name="Normal 4 9 2" xfId="12785" xr:uid="{00000000-0005-0000-0000-0000E5310000}"/>
    <cellStyle name="Normal 4 9 2 2" xfId="12786" xr:uid="{00000000-0005-0000-0000-0000E6310000}"/>
    <cellStyle name="Normal 4 9 2 2 2" xfId="12787" xr:uid="{00000000-0005-0000-0000-0000E7310000}"/>
    <cellStyle name="Normal 4 9 2 2 3" xfId="12788" xr:uid="{00000000-0005-0000-0000-0000E8310000}"/>
    <cellStyle name="Normal 4 9 2 2 4" xfId="12789" xr:uid="{00000000-0005-0000-0000-0000E9310000}"/>
    <cellStyle name="Normal 4 9 2 2 5" xfId="12790" xr:uid="{00000000-0005-0000-0000-0000EA310000}"/>
    <cellStyle name="Normal 4 9 2 3" xfId="12791" xr:uid="{00000000-0005-0000-0000-0000EB310000}"/>
    <cellStyle name="Normal 4 9 2 4" xfId="12792" xr:uid="{00000000-0005-0000-0000-0000EC310000}"/>
    <cellStyle name="Normal 4 9 2 5" xfId="12793" xr:uid="{00000000-0005-0000-0000-0000ED310000}"/>
    <cellStyle name="Normal 4 9 2 6" xfId="12794" xr:uid="{00000000-0005-0000-0000-0000EE310000}"/>
    <cellStyle name="Normal 4 9 3" xfId="12795" xr:uid="{00000000-0005-0000-0000-0000EF310000}"/>
    <cellStyle name="Normal 4 9 3 2" xfId="12796" xr:uid="{00000000-0005-0000-0000-0000F0310000}"/>
    <cellStyle name="Normal 4 9 3 3" xfId="12797" xr:uid="{00000000-0005-0000-0000-0000F1310000}"/>
    <cellStyle name="Normal 4 9 3 4" xfId="12798" xr:uid="{00000000-0005-0000-0000-0000F2310000}"/>
    <cellStyle name="Normal 4 9 3 5" xfId="12799" xr:uid="{00000000-0005-0000-0000-0000F3310000}"/>
    <cellStyle name="Normal 4 9 4" xfId="12800" xr:uid="{00000000-0005-0000-0000-0000F4310000}"/>
    <cellStyle name="Normal 4 9 5" xfId="12801" xr:uid="{00000000-0005-0000-0000-0000F5310000}"/>
    <cellStyle name="Normal 4 9 6" xfId="12802" xr:uid="{00000000-0005-0000-0000-0000F6310000}"/>
    <cellStyle name="Normal 4 9 7" xfId="12803" xr:uid="{00000000-0005-0000-0000-0000F7310000}"/>
    <cellStyle name="Normal 4_HRT O&amp;G" xfId="12804" xr:uid="{00000000-0005-0000-0000-0000F8310000}"/>
    <cellStyle name="Normal 40" xfId="12805" xr:uid="{00000000-0005-0000-0000-0000F9310000}"/>
    <cellStyle name="Normal 41" xfId="12806" xr:uid="{00000000-0005-0000-0000-0000FA310000}"/>
    <cellStyle name="Normal 42" xfId="12807" xr:uid="{00000000-0005-0000-0000-0000FB310000}"/>
    <cellStyle name="Normal 43" xfId="12808" xr:uid="{00000000-0005-0000-0000-0000FC310000}"/>
    <cellStyle name="Normal 44" xfId="12809" xr:uid="{00000000-0005-0000-0000-0000FD310000}"/>
    <cellStyle name="Normal 45" xfId="12810" xr:uid="{00000000-0005-0000-0000-0000FE310000}"/>
    <cellStyle name="Normal 46" xfId="12811" xr:uid="{00000000-0005-0000-0000-0000FF310000}"/>
    <cellStyle name="Normal 47" xfId="12812" xr:uid="{00000000-0005-0000-0000-000000320000}"/>
    <cellStyle name="Normal 48" xfId="12813" xr:uid="{00000000-0005-0000-0000-000001320000}"/>
    <cellStyle name="Normal 49" xfId="12814" xr:uid="{00000000-0005-0000-0000-000002320000}"/>
    <cellStyle name="Normal 5" xfId="12815" xr:uid="{00000000-0005-0000-0000-000003320000}"/>
    <cellStyle name="Normal 5 2" xfId="12816" xr:uid="{00000000-0005-0000-0000-000004320000}"/>
    <cellStyle name="Normal 5 3" xfId="12817" xr:uid="{00000000-0005-0000-0000-000005320000}"/>
    <cellStyle name="Normal 5 4" xfId="12818" xr:uid="{00000000-0005-0000-0000-000006320000}"/>
    <cellStyle name="Normal 5 5" xfId="12819" xr:uid="{00000000-0005-0000-0000-000007320000}"/>
    <cellStyle name="Normal 5_HRT O&amp;G" xfId="12820" xr:uid="{00000000-0005-0000-0000-000008320000}"/>
    <cellStyle name="Normal 50" xfId="12821" xr:uid="{00000000-0005-0000-0000-000009320000}"/>
    <cellStyle name="Normal 51" xfId="12822" xr:uid="{00000000-0005-0000-0000-00000A320000}"/>
    <cellStyle name="Normal 52" xfId="12823" xr:uid="{00000000-0005-0000-0000-00000B320000}"/>
    <cellStyle name="Normal 53" xfId="12824" xr:uid="{00000000-0005-0000-0000-00000C320000}"/>
    <cellStyle name="Normal 54" xfId="12825" xr:uid="{00000000-0005-0000-0000-00000D320000}"/>
    <cellStyle name="Normal 55" xfId="12826" xr:uid="{00000000-0005-0000-0000-00000E320000}"/>
    <cellStyle name="Normal 55 2" xfId="12827" xr:uid="{00000000-0005-0000-0000-00000F320000}"/>
    <cellStyle name="Normal 55 3" xfId="12828" xr:uid="{00000000-0005-0000-0000-000010320000}"/>
    <cellStyle name="Normal 56" xfId="12829" xr:uid="{00000000-0005-0000-0000-000011320000}"/>
    <cellStyle name="Normal 56 2" xfId="12830" xr:uid="{00000000-0005-0000-0000-000012320000}"/>
    <cellStyle name="Normal 56 3" xfId="12831" xr:uid="{00000000-0005-0000-0000-000013320000}"/>
    <cellStyle name="Normal 57" xfId="12832" xr:uid="{00000000-0005-0000-0000-000014320000}"/>
    <cellStyle name="Normal 57 2" xfId="12833" xr:uid="{00000000-0005-0000-0000-000015320000}"/>
    <cellStyle name="Normal 57 3" xfId="12834" xr:uid="{00000000-0005-0000-0000-000016320000}"/>
    <cellStyle name="Normal 58" xfId="12835" xr:uid="{00000000-0005-0000-0000-000017320000}"/>
    <cellStyle name="Normal 59" xfId="12836" xr:uid="{00000000-0005-0000-0000-000018320000}"/>
    <cellStyle name="Normal 59 2" xfId="12837" xr:uid="{00000000-0005-0000-0000-000019320000}"/>
    <cellStyle name="Normal 6" xfId="12838" xr:uid="{00000000-0005-0000-0000-00001A320000}"/>
    <cellStyle name="Normal 6 2" xfId="12839" xr:uid="{00000000-0005-0000-0000-00001B320000}"/>
    <cellStyle name="Normal 6 2 2" xfId="12840" xr:uid="{00000000-0005-0000-0000-00001C320000}"/>
    <cellStyle name="Normal 6 2 3" xfId="12841" xr:uid="{00000000-0005-0000-0000-00001D320000}"/>
    <cellStyle name="Normal 6 3" xfId="12842" xr:uid="{00000000-0005-0000-0000-00001E320000}"/>
    <cellStyle name="Normal 6 3 2" xfId="12843" xr:uid="{00000000-0005-0000-0000-00001F320000}"/>
    <cellStyle name="Normal 6 3 2 2" xfId="12844" xr:uid="{00000000-0005-0000-0000-000020320000}"/>
    <cellStyle name="Normal 6 3 2 2 2" xfId="12845" xr:uid="{00000000-0005-0000-0000-000021320000}"/>
    <cellStyle name="Normal 6 3 2 2 2 2" xfId="12846" xr:uid="{00000000-0005-0000-0000-000022320000}"/>
    <cellStyle name="Normal 6 3 2 2 2 3" xfId="12847" xr:uid="{00000000-0005-0000-0000-000023320000}"/>
    <cellStyle name="Normal 6 3 2 2 2 4" xfId="12848" xr:uid="{00000000-0005-0000-0000-000024320000}"/>
    <cellStyle name="Normal 6 3 2 2 2 5" xfId="12849" xr:uid="{00000000-0005-0000-0000-000025320000}"/>
    <cellStyle name="Normal 6 3 2 2 3" xfId="12850" xr:uid="{00000000-0005-0000-0000-000026320000}"/>
    <cellStyle name="Normal 6 3 2 2 4" xfId="12851" xr:uid="{00000000-0005-0000-0000-000027320000}"/>
    <cellStyle name="Normal 6 3 2 2 5" xfId="12852" xr:uid="{00000000-0005-0000-0000-000028320000}"/>
    <cellStyle name="Normal 6 3 2 2 6" xfId="12853" xr:uid="{00000000-0005-0000-0000-000029320000}"/>
    <cellStyle name="Normal 6 3 2 3" xfId="12854" xr:uid="{00000000-0005-0000-0000-00002A320000}"/>
    <cellStyle name="Normal 6 3 2 3 2" xfId="12855" xr:uid="{00000000-0005-0000-0000-00002B320000}"/>
    <cellStyle name="Normal 6 3 2 3 3" xfId="12856" xr:uid="{00000000-0005-0000-0000-00002C320000}"/>
    <cellStyle name="Normal 6 3 2 3 4" xfId="12857" xr:uid="{00000000-0005-0000-0000-00002D320000}"/>
    <cellStyle name="Normal 6 3 2 3 5" xfId="12858" xr:uid="{00000000-0005-0000-0000-00002E320000}"/>
    <cellStyle name="Normal 6 3 2 4" xfId="12859" xr:uid="{00000000-0005-0000-0000-00002F320000}"/>
    <cellStyle name="Normal 6 3 2 5" xfId="12860" xr:uid="{00000000-0005-0000-0000-000030320000}"/>
    <cellStyle name="Normal 6 3 2 6" xfId="12861" xr:uid="{00000000-0005-0000-0000-000031320000}"/>
    <cellStyle name="Normal 6 3 2 7" xfId="12862" xr:uid="{00000000-0005-0000-0000-000032320000}"/>
    <cellStyle name="Normal 6 3 3" xfId="12863" xr:uid="{00000000-0005-0000-0000-000033320000}"/>
    <cellStyle name="Normal 6 3 3 2" xfId="12864" xr:uid="{00000000-0005-0000-0000-000034320000}"/>
    <cellStyle name="Normal 6 3 3 2 2" xfId="12865" xr:uid="{00000000-0005-0000-0000-000035320000}"/>
    <cellStyle name="Normal 6 3 3 2 2 2" xfId="12866" xr:uid="{00000000-0005-0000-0000-000036320000}"/>
    <cellStyle name="Normal 6 3 3 2 2 3" xfId="12867" xr:uid="{00000000-0005-0000-0000-000037320000}"/>
    <cellStyle name="Normal 6 3 3 2 2 4" xfId="12868" xr:uid="{00000000-0005-0000-0000-000038320000}"/>
    <cellStyle name="Normal 6 3 3 2 2 5" xfId="12869" xr:uid="{00000000-0005-0000-0000-000039320000}"/>
    <cellStyle name="Normal 6 3 3 2 3" xfId="12870" xr:uid="{00000000-0005-0000-0000-00003A320000}"/>
    <cellStyle name="Normal 6 3 3 2 4" xfId="12871" xr:uid="{00000000-0005-0000-0000-00003B320000}"/>
    <cellStyle name="Normal 6 3 3 2 5" xfId="12872" xr:uid="{00000000-0005-0000-0000-00003C320000}"/>
    <cellStyle name="Normal 6 3 3 2 6" xfId="12873" xr:uid="{00000000-0005-0000-0000-00003D320000}"/>
    <cellStyle name="Normal 6 3 3 3" xfId="12874" xr:uid="{00000000-0005-0000-0000-00003E320000}"/>
    <cellStyle name="Normal 6 3 3 3 2" xfId="12875" xr:uid="{00000000-0005-0000-0000-00003F320000}"/>
    <cellStyle name="Normal 6 3 3 3 3" xfId="12876" xr:uid="{00000000-0005-0000-0000-000040320000}"/>
    <cellStyle name="Normal 6 3 3 3 4" xfId="12877" xr:uid="{00000000-0005-0000-0000-000041320000}"/>
    <cellStyle name="Normal 6 3 3 3 5" xfId="12878" xr:uid="{00000000-0005-0000-0000-000042320000}"/>
    <cellStyle name="Normal 6 3 3 4" xfId="12879" xr:uid="{00000000-0005-0000-0000-000043320000}"/>
    <cellStyle name="Normal 6 3 3 5" xfId="12880" xr:uid="{00000000-0005-0000-0000-000044320000}"/>
    <cellStyle name="Normal 6 3 3 6" xfId="12881" xr:uid="{00000000-0005-0000-0000-000045320000}"/>
    <cellStyle name="Normal 6 3 3 7" xfId="12882" xr:uid="{00000000-0005-0000-0000-000046320000}"/>
    <cellStyle name="Normal 6 3 4" xfId="12883" xr:uid="{00000000-0005-0000-0000-000047320000}"/>
    <cellStyle name="Normal 6 3 4 2" xfId="12884" xr:uid="{00000000-0005-0000-0000-000048320000}"/>
    <cellStyle name="Normal 6 3 4 2 2" xfId="12885" xr:uid="{00000000-0005-0000-0000-000049320000}"/>
    <cellStyle name="Normal 6 3 4 2 3" xfId="12886" xr:uid="{00000000-0005-0000-0000-00004A320000}"/>
    <cellStyle name="Normal 6 3 4 2 4" xfId="12887" xr:uid="{00000000-0005-0000-0000-00004B320000}"/>
    <cellStyle name="Normal 6 3 4 2 5" xfId="12888" xr:uid="{00000000-0005-0000-0000-00004C320000}"/>
    <cellStyle name="Normal 6 3 4 3" xfId="12889" xr:uid="{00000000-0005-0000-0000-00004D320000}"/>
    <cellStyle name="Normal 6 3 4 4" xfId="12890" xr:uid="{00000000-0005-0000-0000-00004E320000}"/>
    <cellStyle name="Normal 6 3 4 5" xfId="12891" xr:uid="{00000000-0005-0000-0000-00004F320000}"/>
    <cellStyle name="Normal 6 3 4 6" xfId="12892" xr:uid="{00000000-0005-0000-0000-000050320000}"/>
    <cellStyle name="Normal 6 3 5" xfId="12893" xr:uid="{00000000-0005-0000-0000-000051320000}"/>
    <cellStyle name="Normal 6 3 5 2" xfId="12894" xr:uid="{00000000-0005-0000-0000-000052320000}"/>
    <cellStyle name="Normal 6 3 5 3" xfId="12895" xr:uid="{00000000-0005-0000-0000-000053320000}"/>
    <cellStyle name="Normal 6 3 5 4" xfId="12896" xr:uid="{00000000-0005-0000-0000-000054320000}"/>
    <cellStyle name="Normal 6 3 5 5" xfId="12897" xr:uid="{00000000-0005-0000-0000-000055320000}"/>
    <cellStyle name="Normal 6 3 6" xfId="12898" xr:uid="{00000000-0005-0000-0000-000056320000}"/>
    <cellStyle name="Normal 6 3 7" xfId="12899" xr:uid="{00000000-0005-0000-0000-000057320000}"/>
    <cellStyle name="Normal 6 3 8" xfId="12900" xr:uid="{00000000-0005-0000-0000-000058320000}"/>
    <cellStyle name="Normal 6 3 9" xfId="12901" xr:uid="{00000000-0005-0000-0000-000059320000}"/>
    <cellStyle name="Normal 6 4" xfId="12902" xr:uid="{00000000-0005-0000-0000-00005A320000}"/>
    <cellStyle name="Normal 6 4 2" xfId="12903" xr:uid="{00000000-0005-0000-0000-00005B320000}"/>
    <cellStyle name="Normal 6 4 2 2" xfId="12904" xr:uid="{00000000-0005-0000-0000-00005C320000}"/>
    <cellStyle name="Normal 6 4 2 2 2" xfId="12905" xr:uid="{00000000-0005-0000-0000-00005D320000}"/>
    <cellStyle name="Normal 6 4 2 2 3" xfId="12906" xr:uid="{00000000-0005-0000-0000-00005E320000}"/>
    <cellStyle name="Normal 6 4 2 2 4" xfId="12907" xr:uid="{00000000-0005-0000-0000-00005F320000}"/>
    <cellStyle name="Normal 6 4 2 2 5" xfId="12908" xr:uid="{00000000-0005-0000-0000-000060320000}"/>
    <cellStyle name="Normal 6 4 2 3" xfId="12909" xr:uid="{00000000-0005-0000-0000-000061320000}"/>
    <cellStyle name="Normal 6 4 2 4" xfId="12910" xr:uid="{00000000-0005-0000-0000-000062320000}"/>
    <cellStyle name="Normal 6 4 2 5" xfId="12911" xr:uid="{00000000-0005-0000-0000-000063320000}"/>
    <cellStyle name="Normal 6 4 2 6" xfId="12912" xr:uid="{00000000-0005-0000-0000-000064320000}"/>
    <cellStyle name="Normal 6 4 3" xfId="12913" xr:uid="{00000000-0005-0000-0000-000065320000}"/>
    <cellStyle name="Normal 6 4 3 2" xfId="12914" xr:uid="{00000000-0005-0000-0000-000066320000}"/>
    <cellStyle name="Normal 6 4 3 3" xfId="12915" xr:uid="{00000000-0005-0000-0000-000067320000}"/>
    <cellStyle name="Normal 6 4 3 4" xfId="12916" xr:uid="{00000000-0005-0000-0000-000068320000}"/>
    <cellStyle name="Normal 6 4 3 5" xfId="12917" xr:uid="{00000000-0005-0000-0000-000069320000}"/>
    <cellStyle name="Normal 6 4 4" xfId="12918" xr:uid="{00000000-0005-0000-0000-00006A320000}"/>
    <cellStyle name="Normal 6 4 5" xfId="12919" xr:uid="{00000000-0005-0000-0000-00006B320000}"/>
    <cellStyle name="Normal 6 4 6" xfId="12920" xr:uid="{00000000-0005-0000-0000-00006C320000}"/>
    <cellStyle name="Normal 6 4 7" xfId="12921" xr:uid="{00000000-0005-0000-0000-00006D320000}"/>
    <cellStyle name="Normal 6 4 8" xfId="12922" xr:uid="{00000000-0005-0000-0000-00006E320000}"/>
    <cellStyle name="Normal 6 5" xfId="12923" xr:uid="{00000000-0005-0000-0000-00006F320000}"/>
    <cellStyle name="Normal 6 5 2" xfId="12924" xr:uid="{00000000-0005-0000-0000-000070320000}"/>
    <cellStyle name="Normal 6 5 2 2" xfId="12925" xr:uid="{00000000-0005-0000-0000-000071320000}"/>
    <cellStyle name="Normal 6 5 2 2 2" xfId="12926" xr:uid="{00000000-0005-0000-0000-000072320000}"/>
    <cellStyle name="Normal 6 5 2 2 3" xfId="12927" xr:uid="{00000000-0005-0000-0000-000073320000}"/>
    <cellStyle name="Normal 6 5 2 2 4" xfId="12928" xr:uid="{00000000-0005-0000-0000-000074320000}"/>
    <cellStyle name="Normal 6 5 2 2 5" xfId="12929" xr:uid="{00000000-0005-0000-0000-000075320000}"/>
    <cellStyle name="Normal 6 5 2 3" xfId="12930" xr:uid="{00000000-0005-0000-0000-000076320000}"/>
    <cellStyle name="Normal 6 5 2 4" xfId="12931" xr:uid="{00000000-0005-0000-0000-000077320000}"/>
    <cellStyle name="Normal 6 5 2 5" xfId="12932" xr:uid="{00000000-0005-0000-0000-000078320000}"/>
    <cellStyle name="Normal 6 5 2 6" xfId="12933" xr:uid="{00000000-0005-0000-0000-000079320000}"/>
    <cellStyle name="Normal 6 5 3" xfId="12934" xr:uid="{00000000-0005-0000-0000-00007A320000}"/>
    <cellStyle name="Normal 6 5 3 2" xfId="12935" xr:uid="{00000000-0005-0000-0000-00007B320000}"/>
    <cellStyle name="Normal 6 5 3 3" xfId="12936" xr:uid="{00000000-0005-0000-0000-00007C320000}"/>
    <cellStyle name="Normal 6 5 3 4" xfId="12937" xr:uid="{00000000-0005-0000-0000-00007D320000}"/>
    <cellStyle name="Normal 6 5 3 5" xfId="12938" xr:uid="{00000000-0005-0000-0000-00007E320000}"/>
    <cellStyle name="Normal 6 5 4" xfId="12939" xr:uid="{00000000-0005-0000-0000-00007F320000}"/>
    <cellStyle name="Normal 6 5 5" xfId="12940" xr:uid="{00000000-0005-0000-0000-000080320000}"/>
    <cellStyle name="Normal 6 5 6" xfId="12941" xr:uid="{00000000-0005-0000-0000-000081320000}"/>
    <cellStyle name="Normal 6 5 7" xfId="12942" xr:uid="{00000000-0005-0000-0000-000082320000}"/>
    <cellStyle name="Normal 6 5 8" xfId="12943" xr:uid="{00000000-0005-0000-0000-000083320000}"/>
    <cellStyle name="Normal 6 6" xfId="12944" xr:uid="{00000000-0005-0000-0000-000084320000}"/>
    <cellStyle name="Normal 6 6 2" xfId="12945" xr:uid="{00000000-0005-0000-0000-000085320000}"/>
    <cellStyle name="Normal 6 6 2 2" xfId="12946" xr:uid="{00000000-0005-0000-0000-000086320000}"/>
    <cellStyle name="Normal 6 6 2 3" xfId="12947" xr:uid="{00000000-0005-0000-0000-000087320000}"/>
    <cellStyle name="Normal 6 6 2 4" xfId="12948" xr:uid="{00000000-0005-0000-0000-000088320000}"/>
    <cellStyle name="Normal 6 6 2 5" xfId="12949" xr:uid="{00000000-0005-0000-0000-000089320000}"/>
    <cellStyle name="Normal 6 6 3" xfId="12950" xr:uid="{00000000-0005-0000-0000-00008A320000}"/>
    <cellStyle name="Normal 6 6 4" xfId="12951" xr:uid="{00000000-0005-0000-0000-00008B320000}"/>
    <cellStyle name="Normal 6 6 5" xfId="12952" xr:uid="{00000000-0005-0000-0000-00008C320000}"/>
    <cellStyle name="Normal 6 6 6" xfId="12953" xr:uid="{00000000-0005-0000-0000-00008D320000}"/>
    <cellStyle name="Normal 6 7" xfId="12954" xr:uid="{00000000-0005-0000-0000-00008E320000}"/>
    <cellStyle name="Normal 6 7 2" xfId="12955" xr:uid="{00000000-0005-0000-0000-00008F320000}"/>
    <cellStyle name="Normal 6 7 3" xfId="12956" xr:uid="{00000000-0005-0000-0000-000090320000}"/>
    <cellStyle name="Normal 6 7 4" xfId="12957" xr:uid="{00000000-0005-0000-0000-000091320000}"/>
    <cellStyle name="Normal 6 7 5" xfId="12958" xr:uid="{00000000-0005-0000-0000-000092320000}"/>
    <cellStyle name="Normal 6 8" xfId="12959" xr:uid="{00000000-0005-0000-0000-000093320000}"/>
    <cellStyle name="Normal 6_HRT O&amp;G" xfId="12960" xr:uid="{00000000-0005-0000-0000-000094320000}"/>
    <cellStyle name="Normal 60" xfId="12961" xr:uid="{00000000-0005-0000-0000-000095320000}"/>
    <cellStyle name="Normal 60 2" xfId="12962" xr:uid="{00000000-0005-0000-0000-000096320000}"/>
    <cellStyle name="Normal 61" xfId="12963" xr:uid="{00000000-0005-0000-0000-000097320000}"/>
    <cellStyle name="Normal 61 2" xfId="12964" xr:uid="{00000000-0005-0000-0000-000098320000}"/>
    <cellStyle name="Normal 62" xfId="12965" xr:uid="{00000000-0005-0000-0000-000099320000}"/>
    <cellStyle name="Normal 62 2" xfId="12966" xr:uid="{00000000-0005-0000-0000-00009A320000}"/>
    <cellStyle name="Normal 63" xfId="12967" xr:uid="{00000000-0005-0000-0000-00009B320000}"/>
    <cellStyle name="Normal 63 2" xfId="12968" xr:uid="{00000000-0005-0000-0000-00009C320000}"/>
    <cellStyle name="Normal 64" xfId="12969" xr:uid="{00000000-0005-0000-0000-00009D320000}"/>
    <cellStyle name="Normal 65" xfId="12970" xr:uid="{00000000-0005-0000-0000-00009E320000}"/>
    <cellStyle name="Normal 66" xfId="12971" xr:uid="{00000000-0005-0000-0000-00009F320000}"/>
    <cellStyle name="Normal 67" xfId="12972" xr:uid="{00000000-0005-0000-0000-0000A0320000}"/>
    <cellStyle name="Normal 68" xfId="12973" xr:uid="{00000000-0005-0000-0000-0000A1320000}"/>
    <cellStyle name="Normal 69" xfId="12974" xr:uid="{00000000-0005-0000-0000-0000A2320000}"/>
    <cellStyle name="Normal 7" xfId="12975" xr:uid="{00000000-0005-0000-0000-0000A3320000}"/>
    <cellStyle name="Normal 7 10" xfId="12976" xr:uid="{00000000-0005-0000-0000-0000A4320000}"/>
    <cellStyle name="Normal 7 11" xfId="12977" xr:uid="{00000000-0005-0000-0000-0000A5320000}"/>
    <cellStyle name="Normal 7 12" xfId="12978" xr:uid="{00000000-0005-0000-0000-0000A6320000}"/>
    <cellStyle name="Normal 7 2" xfId="12979" xr:uid="{00000000-0005-0000-0000-0000A7320000}"/>
    <cellStyle name="Normal 7 2 10" xfId="12980" xr:uid="{00000000-0005-0000-0000-0000A8320000}"/>
    <cellStyle name="Normal 7 2 11" xfId="12981" xr:uid="{00000000-0005-0000-0000-0000A9320000}"/>
    <cellStyle name="Normal 7 2 2" xfId="12982" xr:uid="{00000000-0005-0000-0000-0000AA320000}"/>
    <cellStyle name="Normal 7 2 2 2" xfId="12983" xr:uid="{00000000-0005-0000-0000-0000AB320000}"/>
    <cellStyle name="Normal 7 2 2 2 2" xfId="12984" xr:uid="{00000000-0005-0000-0000-0000AC320000}"/>
    <cellStyle name="Normal 7 2 2 2 2 2" xfId="12985" xr:uid="{00000000-0005-0000-0000-0000AD320000}"/>
    <cellStyle name="Normal 7 2 2 2 2 2 2" xfId="12986" xr:uid="{00000000-0005-0000-0000-0000AE320000}"/>
    <cellStyle name="Normal 7 2 2 2 2 2 3" xfId="12987" xr:uid="{00000000-0005-0000-0000-0000AF320000}"/>
    <cellStyle name="Normal 7 2 2 2 2 2 4" xfId="12988" xr:uid="{00000000-0005-0000-0000-0000B0320000}"/>
    <cellStyle name="Normal 7 2 2 2 2 2 5" xfId="12989" xr:uid="{00000000-0005-0000-0000-0000B1320000}"/>
    <cellStyle name="Normal 7 2 2 2 2 3" xfId="12990" xr:uid="{00000000-0005-0000-0000-0000B2320000}"/>
    <cellStyle name="Normal 7 2 2 2 2 4" xfId="12991" xr:uid="{00000000-0005-0000-0000-0000B3320000}"/>
    <cellStyle name="Normal 7 2 2 2 2 5" xfId="12992" xr:uid="{00000000-0005-0000-0000-0000B4320000}"/>
    <cellStyle name="Normal 7 2 2 2 2 6" xfId="12993" xr:uid="{00000000-0005-0000-0000-0000B5320000}"/>
    <cellStyle name="Normal 7 2 2 2 3" xfId="12994" xr:uid="{00000000-0005-0000-0000-0000B6320000}"/>
    <cellStyle name="Normal 7 2 2 2 3 2" xfId="12995" xr:uid="{00000000-0005-0000-0000-0000B7320000}"/>
    <cellStyle name="Normal 7 2 2 2 3 3" xfId="12996" xr:uid="{00000000-0005-0000-0000-0000B8320000}"/>
    <cellStyle name="Normal 7 2 2 2 3 4" xfId="12997" xr:uid="{00000000-0005-0000-0000-0000B9320000}"/>
    <cellStyle name="Normal 7 2 2 2 3 5" xfId="12998" xr:uid="{00000000-0005-0000-0000-0000BA320000}"/>
    <cellStyle name="Normal 7 2 2 2 4" xfId="12999" xr:uid="{00000000-0005-0000-0000-0000BB320000}"/>
    <cellStyle name="Normal 7 2 2 2 5" xfId="13000" xr:uid="{00000000-0005-0000-0000-0000BC320000}"/>
    <cellStyle name="Normal 7 2 2 2 6" xfId="13001" xr:uid="{00000000-0005-0000-0000-0000BD320000}"/>
    <cellStyle name="Normal 7 2 2 2 7" xfId="13002" xr:uid="{00000000-0005-0000-0000-0000BE320000}"/>
    <cellStyle name="Normal 7 2 2 3" xfId="13003" xr:uid="{00000000-0005-0000-0000-0000BF320000}"/>
    <cellStyle name="Normal 7 2 2 3 2" xfId="13004" xr:uid="{00000000-0005-0000-0000-0000C0320000}"/>
    <cellStyle name="Normal 7 2 2 3 2 2" xfId="13005" xr:uid="{00000000-0005-0000-0000-0000C1320000}"/>
    <cellStyle name="Normal 7 2 2 3 2 2 2" xfId="13006" xr:uid="{00000000-0005-0000-0000-0000C2320000}"/>
    <cellStyle name="Normal 7 2 2 3 2 2 3" xfId="13007" xr:uid="{00000000-0005-0000-0000-0000C3320000}"/>
    <cellStyle name="Normal 7 2 2 3 2 2 4" xfId="13008" xr:uid="{00000000-0005-0000-0000-0000C4320000}"/>
    <cellStyle name="Normal 7 2 2 3 2 2 5" xfId="13009" xr:uid="{00000000-0005-0000-0000-0000C5320000}"/>
    <cellStyle name="Normal 7 2 2 3 2 3" xfId="13010" xr:uid="{00000000-0005-0000-0000-0000C6320000}"/>
    <cellStyle name="Normal 7 2 2 3 2 4" xfId="13011" xr:uid="{00000000-0005-0000-0000-0000C7320000}"/>
    <cellStyle name="Normal 7 2 2 3 2 5" xfId="13012" xr:uid="{00000000-0005-0000-0000-0000C8320000}"/>
    <cellStyle name="Normal 7 2 2 3 2 6" xfId="13013" xr:uid="{00000000-0005-0000-0000-0000C9320000}"/>
    <cellStyle name="Normal 7 2 2 3 3" xfId="13014" xr:uid="{00000000-0005-0000-0000-0000CA320000}"/>
    <cellStyle name="Normal 7 2 2 3 3 2" xfId="13015" xr:uid="{00000000-0005-0000-0000-0000CB320000}"/>
    <cellStyle name="Normal 7 2 2 3 3 3" xfId="13016" xr:uid="{00000000-0005-0000-0000-0000CC320000}"/>
    <cellStyle name="Normal 7 2 2 3 3 4" xfId="13017" xr:uid="{00000000-0005-0000-0000-0000CD320000}"/>
    <cellStyle name="Normal 7 2 2 3 3 5" xfId="13018" xr:uid="{00000000-0005-0000-0000-0000CE320000}"/>
    <cellStyle name="Normal 7 2 2 3 4" xfId="13019" xr:uid="{00000000-0005-0000-0000-0000CF320000}"/>
    <cellStyle name="Normal 7 2 2 3 5" xfId="13020" xr:uid="{00000000-0005-0000-0000-0000D0320000}"/>
    <cellStyle name="Normal 7 2 2 3 6" xfId="13021" xr:uid="{00000000-0005-0000-0000-0000D1320000}"/>
    <cellStyle name="Normal 7 2 2 3 7" xfId="13022" xr:uid="{00000000-0005-0000-0000-0000D2320000}"/>
    <cellStyle name="Normal 7 2 2 4" xfId="13023" xr:uid="{00000000-0005-0000-0000-0000D3320000}"/>
    <cellStyle name="Normal 7 2 2 4 2" xfId="13024" xr:uid="{00000000-0005-0000-0000-0000D4320000}"/>
    <cellStyle name="Normal 7 2 2 4 2 2" xfId="13025" xr:uid="{00000000-0005-0000-0000-0000D5320000}"/>
    <cellStyle name="Normal 7 2 2 4 2 3" xfId="13026" xr:uid="{00000000-0005-0000-0000-0000D6320000}"/>
    <cellStyle name="Normal 7 2 2 4 2 4" xfId="13027" xr:uid="{00000000-0005-0000-0000-0000D7320000}"/>
    <cellStyle name="Normal 7 2 2 4 2 5" xfId="13028" xr:uid="{00000000-0005-0000-0000-0000D8320000}"/>
    <cellStyle name="Normal 7 2 2 4 3" xfId="13029" xr:uid="{00000000-0005-0000-0000-0000D9320000}"/>
    <cellStyle name="Normal 7 2 2 4 4" xfId="13030" xr:uid="{00000000-0005-0000-0000-0000DA320000}"/>
    <cellStyle name="Normal 7 2 2 4 5" xfId="13031" xr:uid="{00000000-0005-0000-0000-0000DB320000}"/>
    <cellStyle name="Normal 7 2 2 4 6" xfId="13032" xr:uid="{00000000-0005-0000-0000-0000DC320000}"/>
    <cellStyle name="Normal 7 2 2 5" xfId="13033" xr:uid="{00000000-0005-0000-0000-0000DD320000}"/>
    <cellStyle name="Normal 7 2 2 5 2" xfId="13034" xr:uid="{00000000-0005-0000-0000-0000DE320000}"/>
    <cellStyle name="Normal 7 2 2 5 3" xfId="13035" xr:uid="{00000000-0005-0000-0000-0000DF320000}"/>
    <cellStyle name="Normal 7 2 2 5 4" xfId="13036" xr:uid="{00000000-0005-0000-0000-0000E0320000}"/>
    <cellStyle name="Normal 7 2 2 5 5" xfId="13037" xr:uid="{00000000-0005-0000-0000-0000E1320000}"/>
    <cellStyle name="Normal 7 2 2 6" xfId="13038" xr:uid="{00000000-0005-0000-0000-0000E2320000}"/>
    <cellStyle name="Normal 7 2 2 7" xfId="13039" xr:uid="{00000000-0005-0000-0000-0000E3320000}"/>
    <cellStyle name="Normal 7 2 2 8" xfId="13040" xr:uid="{00000000-0005-0000-0000-0000E4320000}"/>
    <cellStyle name="Normal 7 2 2 9" xfId="13041" xr:uid="{00000000-0005-0000-0000-0000E5320000}"/>
    <cellStyle name="Normal 7 2 3" xfId="13042" xr:uid="{00000000-0005-0000-0000-0000E6320000}"/>
    <cellStyle name="Normal 7 2 3 2" xfId="13043" xr:uid="{00000000-0005-0000-0000-0000E7320000}"/>
    <cellStyle name="Normal 7 2 3 2 2" xfId="13044" xr:uid="{00000000-0005-0000-0000-0000E8320000}"/>
    <cellStyle name="Normal 7 2 3 2 2 2" xfId="13045" xr:uid="{00000000-0005-0000-0000-0000E9320000}"/>
    <cellStyle name="Normal 7 2 3 2 2 3" xfId="13046" xr:uid="{00000000-0005-0000-0000-0000EA320000}"/>
    <cellStyle name="Normal 7 2 3 2 2 4" xfId="13047" xr:uid="{00000000-0005-0000-0000-0000EB320000}"/>
    <cellStyle name="Normal 7 2 3 2 2 5" xfId="13048" xr:uid="{00000000-0005-0000-0000-0000EC320000}"/>
    <cellStyle name="Normal 7 2 3 2 3" xfId="13049" xr:uid="{00000000-0005-0000-0000-0000ED320000}"/>
    <cellStyle name="Normal 7 2 3 2 4" xfId="13050" xr:uid="{00000000-0005-0000-0000-0000EE320000}"/>
    <cellStyle name="Normal 7 2 3 2 5" xfId="13051" xr:uid="{00000000-0005-0000-0000-0000EF320000}"/>
    <cellStyle name="Normal 7 2 3 2 6" xfId="13052" xr:uid="{00000000-0005-0000-0000-0000F0320000}"/>
    <cellStyle name="Normal 7 2 3 3" xfId="13053" xr:uid="{00000000-0005-0000-0000-0000F1320000}"/>
    <cellStyle name="Normal 7 2 3 3 2" xfId="13054" xr:uid="{00000000-0005-0000-0000-0000F2320000}"/>
    <cellStyle name="Normal 7 2 3 3 3" xfId="13055" xr:uid="{00000000-0005-0000-0000-0000F3320000}"/>
    <cellStyle name="Normal 7 2 3 3 4" xfId="13056" xr:uid="{00000000-0005-0000-0000-0000F4320000}"/>
    <cellStyle name="Normal 7 2 3 3 5" xfId="13057" xr:uid="{00000000-0005-0000-0000-0000F5320000}"/>
    <cellStyle name="Normal 7 2 3 4" xfId="13058" xr:uid="{00000000-0005-0000-0000-0000F6320000}"/>
    <cellStyle name="Normal 7 2 3 5" xfId="13059" xr:uid="{00000000-0005-0000-0000-0000F7320000}"/>
    <cellStyle name="Normal 7 2 3 6" xfId="13060" xr:uid="{00000000-0005-0000-0000-0000F8320000}"/>
    <cellStyle name="Normal 7 2 3 7" xfId="13061" xr:uid="{00000000-0005-0000-0000-0000F9320000}"/>
    <cellStyle name="Normal 7 2 4" xfId="13062" xr:uid="{00000000-0005-0000-0000-0000FA320000}"/>
    <cellStyle name="Normal 7 2 4 2" xfId="13063" xr:uid="{00000000-0005-0000-0000-0000FB320000}"/>
    <cellStyle name="Normal 7 2 4 2 2" xfId="13064" xr:uid="{00000000-0005-0000-0000-0000FC320000}"/>
    <cellStyle name="Normal 7 2 4 2 2 2" xfId="13065" xr:uid="{00000000-0005-0000-0000-0000FD320000}"/>
    <cellStyle name="Normal 7 2 4 2 2 3" xfId="13066" xr:uid="{00000000-0005-0000-0000-0000FE320000}"/>
    <cellStyle name="Normal 7 2 4 2 2 4" xfId="13067" xr:uid="{00000000-0005-0000-0000-0000FF320000}"/>
    <cellStyle name="Normal 7 2 4 2 2 5" xfId="13068" xr:uid="{00000000-0005-0000-0000-000000330000}"/>
    <cellStyle name="Normal 7 2 4 2 3" xfId="13069" xr:uid="{00000000-0005-0000-0000-000001330000}"/>
    <cellStyle name="Normal 7 2 4 2 4" xfId="13070" xr:uid="{00000000-0005-0000-0000-000002330000}"/>
    <cellStyle name="Normal 7 2 4 2 5" xfId="13071" xr:uid="{00000000-0005-0000-0000-000003330000}"/>
    <cellStyle name="Normal 7 2 4 2 6" xfId="13072" xr:uid="{00000000-0005-0000-0000-000004330000}"/>
    <cellStyle name="Normal 7 2 4 3" xfId="13073" xr:uid="{00000000-0005-0000-0000-000005330000}"/>
    <cellStyle name="Normal 7 2 4 3 2" xfId="13074" xr:uid="{00000000-0005-0000-0000-000006330000}"/>
    <cellStyle name="Normal 7 2 4 3 3" xfId="13075" xr:uid="{00000000-0005-0000-0000-000007330000}"/>
    <cellStyle name="Normal 7 2 4 3 4" xfId="13076" xr:uid="{00000000-0005-0000-0000-000008330000}"/>
    <cellStyle name="Normal 7 2 4 3 5" xfId="13077" xr:uid="{00000000-0005-0000-0000-000009330000}"/>
    <cellStyle name="Normal 7 2 4 4" xfId="13078" xr:uid="{00000000-0005-0000-0000-00000A330000}"/>
    <cellStyle name="Normal 7 2 4 5" xfId="13079" xr:uid="{00000000-0005-0000-0000-00000B330000}"/>
    <cellStyle name="Normal 7 2 4 6" xfId="13080" xr:uid="{00000000-0005-0000-0000-00000C330000}"/>
    <cellStyle name="Normal 7 2 4 7" xfId="13081" xr:uid="{00000000-0005-0000-0000-00000D330000}"/>
    <cellStyle name="Normal 7 2 5" xfId="13082" xr:uid="{00000000-0005-0000-0000-00000E330000}"/>
    <cellStyle name="Normal 7 2 5 2" xfId="13083" xr:uid="{00000000-0005-0000-0000-00000F330000}"/>
    <cellStyle name="Normal 7 2 5 2 2" xfId="13084" xr:uid="{00000000-0005-0000-0000-000010330000}"/>
    <cellStyle name="Normal 7 2 5 2 3" xfId="13085" xr:uid="{00000000-0005-0000-0000-000011330000}"/>
    <cellStyle name="Normal 7 2 5 2 4" xfId="13086" xr:uid="{00000000-0005-0000-0000-000012330000}"/>
    <cellStyle name="Normal 7 2 5 2 5" xfId="13087" xr:uid="{00000000-0005-0000-0000-000013330000}"/>
    <cellStyle name="Normal 7 2 5 3" xfId="13088" xr:uid="{00000000-0005-0000-0000-000014330000}"/>
    <cellStyle name="Normal 7 2 5 4" xfId="13089" xr:uid="{00000000-0005-0000-0000-000015330000}"/>
    <cellStyle name="Normal 7 2 5 5" xfId="13090" xr:uid="{00000000-0005-0000-0000-000016330000}"/>
    <cellStyle name="Normal 7 2 5 6" xfId="13091" xr:uid="{00000000-0005-0000-0000-000017330000}"/>
    <cellStyle name="Normal 7 2 6" xfId="13092" xr:uid="{00000000-0005-0000-0000-000018330000}"/>
    <cellStyle name="Normal 7 2 6 2" xfId="13093" xr:uid="{00000000-0005-0000-0000-000019330000}"/>
    <cellStyle name="Normal 7 2 6 3" xfId="13094" xr:uid="{00000000-0005-0000-0000-00001A330000}"/>
    <cellStyle name="Normal 7 2 6 4" xfId="13095" xr:uid="{00000000-0005-0000-0000-00001B330000}"/>
    <cellStyle name="Normal 7 2 6 5" xfId="13096" xr:uid="{00000000-0005-0000-0000-00001C330000}"/>
    <cellStyle name="Normal 7 2 7" xfId="13097" xr:uid="{00000000-0005-0000-0000-00001D330000}"/>
    <cellStyle name="Normal 7 2 8" xfId="13098" xr:uid="{00000000-0005-0000-0000-00001E330000}"/>
    <cellStyle name="Normal 7 2 9" xfId="13099" xr:uid="{00000000-0005-0000-0000-00001F330000}"/>
    <cellStyle name="Normal 7 3" xfId="13100" xr:uid="{00000000-0005-0000-0000-000020330000}"/>
    <cellStyle name="Normal 7 3 2" xfId="13101" xr:uid="{00000000-0005-0000-0000-000021330000}"/>
    <cellStyle name="Normal 7 3 2 2" xfId="13102" xr:uid="{00000000-0005-0000-0000-000022330000}"/>
    <cellStyle name="Normal 7 3 2 2 2" xfId="13103" xr:uid="{00000000-0005-0000-0000-000023330000}"/>
    <cellStyle name="Normal 7 3 2 2 2 2" xfId="13104" xr:uid="{00000000-0005-0000-0000-000024330000}"/>
    <cellStyle name="Normal 7 3 2 2 2 3" xfId="13105" xr:uid="{00000000-0005-0000-0000-000025330000}"/>
    <cellStyle name="Normal 7 3 2 2 2 4" xfId="13106" xr:uid="{00000000-0005-0000-0000-000026330000}"/>
    <cellStyle name="Normal 7 3 2 2 2 5" xfId="13107" xr:uid="{00000000-0005-0000-0000-000027330000}"/>
    <cellStyle name="Normal 7 3 2 2 3" xfId="13108" xr:uid="{00000000-0005-0000-0000-000028330000}"/>
    <cellStyle name="Normal 7 3 2 2 4" xfId="13109" xr:uid="{00000000-0005-0000-0000-000029330000}"/>
    <cellStyle name="Normal 7 3 2 2 5" xfId="13110" xr:uid="{00000000-0005-0000-0000-00002A330000}"/>
    <cellStyle name="Normal 7 3 2 2 6" xfId="13111" xr:uid="{00000000-0005-0000-0000-00002B330000}"/>
    <cellStyle name="Normal 7 3 2 3" xfId="13112" xr:uid="{00000000-0005-0000-0000-00002C330000}"/>
    <cellStyle name="Normal 7 3 2 3 2" xfId="13113" xr:uid="{00000000-0005-0000-0000-00002D330000}"/>
    <cellStyle name="Normal 7 3 2 3 3" xfId="13114" xr:uid="{00000000-0005-0000-0000-00002E330000}"/>
    <cellStyle name="Normal 7 3 2 3 4" xfId="13115" xr:uid="{00000000-0005-0000-0000-00002F330000}"/>
    <cellStyle name="Normal 7 3 2 3 5" xfId="13116" xr:uid="{00000000-0005-0000-0000-000030330000}"/>
    <cellStyle name="Normal 7 3 2 4" xfId="13117" xr:uid="{00000000-0005-0000-0000-000031330000}"/>
    <cellStyle name="Normal 7 3 2 5" xfId="13118" xr:uid="{00000000-0005-0000-0000-000032330000}"/>
    <cellStyle name="Normal 7 3 2 6" xfId="13119" xr:uid="{00000000-0005-0000-0000-000033330000}"/>
    <cellStyle name="Normal 7 3 2 7" xfId="13120" xr:uid="{00000000-0005-0000-0000-000034330000}"/>
    <cellStyle name="Normal 7 3 3" xfId="13121" xr:uid="{00000000-0005-0000-0000-000035330000}"/>
    <cellStyle name="Normal 7 3 3 2" xfId="13122" xr:uid="{00000000-0005-0000-0000-000036330000}"/>
    <cellStyle name="Normal 7 3 3 2 2" xfId="13123" xr:uid="{00000000-0005-0000-0000-000037330000}"/>
    <cellStyle name="Normal 7 3 3 2 2 2" xfId="13124" xr:uid="{00000000-0005-0000-0000-000038330000}"/>
    <cellStyle name="Normal 7 3 3 2 2 3" xfId="13125" xr:uid="{00000000-0005-0000-0000-000039330000}"/>
    <cellStyle name="Normal 7 3 3 2 2 4" xfId="13126" xr:uid="{00000000-0005-0000-0000-00003A330000}"/>
    <cellStyle name="Normal 7 3 3 2 2 5" xfId="13127" xr:uid="{00000000-0005-0000-0000-00003B330000}"/>
    <cellStyle name="Normal 7 3 3 2 3" xfId="13128" xr:uid="{00000000-0005-0000-0000-00003C330000}"/>
    <cellStyle name="Normal 7 3 3 2 4" xfId="13129" xr:uid="{00000000-0005-0000-0000-00003D330000}"/>
    <cellStyle name="Normal 7 3 3 2 5" xfId="13130" xr:uid="{00000000-0005-0000-0000-00003E330000}"/>
    <cellStyle name="Normal 7 3 3 2 6" xfId="13131" xr:uid="{00000000-0005-0000-0000-00003F330000}"/>
    <cellStyle name="Normal 7 3 3 3" xfId="13132" xr:uid="{00000000-0005-0000-0000-000040330000}"/>
    <cellStyle name="Normal 7 3 3 3 2" xfId="13133" xr:uid="{00000000-0005-0000-0000-000041330000}"/>
    <cellStyle name="Normal 7 3 3 3 3" xfId="13134" xr:uid="{00000000-0005-0000-0000-000042330000}"/>
    <cellStyle name="Normal 7 3 3 3 4" xfId="13135" xr:uid="{00000000-0005-0000-0000-000043330000}"/>
    <cellStyle name="Normal 7 3 3 3 5" xfId="13136" xr:uid="{00000000-0005-0000-0000-000044330000}"/>
    <cellStyle name="Normal 7 3 3 4" xfId="13137" xr:uid="{00000000-0005-0000-0000-000045330000}"/>
    <cellStyle name="Normal 7 3 3 5" xfId="13138" xr:uid="{00000000-0005-0000-0000-000046330000}"/>
    <cellStyle name="Normal 7 3 3 6" xfId="13139" xr:uid="{00000000-0005-0000-0000-000047330000}"/>
    <cellStyle name="Normal 7 3 3 7" xfId="13140" xr:uid="{00000000-0005-0000-0000-000048330000}"/>
    <cellStyle name="Normal 7 3 4" xfId="13141" xr:uid="{00000000-0005-0000-0000-000049330000}"/>
    <cellStyle name="Normal 7 3 4 2" xfId="13142" xr:uid="{00000000-0005-0000-0000-00004A330000}"/>
    <cellStyle name="Normal 7 3 4 2 2" xfId="13143" xr:uid="{00000000-0005-0000-0000-00004B330000}"/>
    <cellStyle name="Normal 7 3 4 2 3" xfId="13144" xr:uid="{00000000-0005-0000-0000-00004C330000}"/>
    <cellStyle name="Normal 7 3 4 2 4" xfId="13145" xr:uid="{00000000-0005-0000-0000-00004D330000}"/>
    <cellStyle name="Normal 7 3 4 2 5" xfId="13146" xr:uid="{00000000-0005-0000-0000-00004E330000}"/>
    <cellStyle name="Normal 7 3 4 3" xfId="13147" xr:uid="{00000000-0005-0000-0000-00004F330000}"/>
    <cellStyle name="Normal 7 3 4 4" xfId="13148" xr:uid="{00000000-0005-0000-0000-000050330000}"/>
    <cellStyle name="Normal 7 3 4 5" xfId="13149" xr:uid="{00000000-0005-0000-0000-000051330000}"/>
    <cellStyle name="Normal 7 3 4 6" xfId="13150" xr:uid="{00000000-0005-0000-0000-000052330000}"/>
    <cellStyle name="Normal 7 3 5" xfId="13151" xr:uid="{00000000-0005-0000-0000-000053330000}"/>
    <cellStyle name="Normal 7 3 5 2" xfId="13152" xr:uid="{00000000-0005-0000-0000-000054330000}"/>
    <cellStyle name="Normal 7 3 5 3" xfId="13153" xr:uid="{00000000-0005-0000-0000-000055330000}"/>
    <cellStyle name="Normal 7 3 5 4" xfId="13154" xr:uid="{00000000-0005-0000-0000-000056330000}"/>
    <cellStyle name="Normal 7 3 5 5" xfId="13155" xr:uid="{00000000-0005-0000-0000-000057330000}"/>
    <cellStyle name="Normal 7 3 6" xfId="13156" xr:uid="{00000000-0005-0000-0000-000058330000}"/>
    <cellStyle name="Normal 7 3 7" xfId="13157" xr:uid="{00000000-0005-0000-0000-000059330000}"/>
    <cellStyle name="Normal 7 3 8" xfId="13158" xr:uid="{00000000-0005-0000-0000-00005A330000}"/>
    <cellStyle name="Normal 7 3 9" xfId="13159" xr:uid="{00000000-0005-0000-0000-00005B330000}"/>
    <cellStyle name="Normal 7 4" xfId="13160" xr:uid="{00000000-0005-0000-0000-00005C330000}"/>
    <cellStyle name="Normal 7 4 2" xfId="13161" xr:uid="{00000000-0005-0000-0000-00005D330000}"/>
    <cellStyle name="Normal 7 4 2 2" xfId="13162" xr:uid="{00000000-0005-0000-0000-00005E330000}"/>
    <cellStyle name="Normal 7 4 2 2 2" xfId="13163" xr:uid="{00000000-0005-0000-0000-00005F330000}"/>
    <cellStyle name="Normal 7 4 2 2 3" xfId="13164" xr:uid="{00000000-0005-0000-0000-000060330000}"/>
    <cellStyle name="Normal 7 4 2 2 4" xfId="13165" xr:uid="{00000000-0005-0000-0000-000061330000}"/>
    <cellStyle name="Normal 7 4 2 2 5" xfId="13166" xr:uid="{00000000-0005-0000-0000-000062330000}"/>
    <cellStyle name="Normal 7 4 2 3" xfId="13167" xr:uid="{00000000-0005-0000-0000-000063330000}"/>
    <cellStyle name="Normal 7 4 2 4" xfId="13168" xr:uid="{00000000-0005-0000-0000-000064330000}"/>
    <cellStyle name="Normal 7 4 2 5" xfId="13169" xr:uid="{00000000-0005-0000-0000-000065330000}"/>
    <cellStyle name="Normal 7 4 2 6" xfId="13170" xr:uid="{00000000-0005-0000-0000-000066330000}"/>
    <cellStyle name="Normal 7 4 3" xfId="13171" xr:uid="{00000000-0005-0000-0000-000067330000}"/>
    <cellStyle name="Normal 7 4 3 2" xfId="13172" xr:uid="{00000000-0005-0000-0000-000068330000}"/>
    <cellStyle name="Normal 7 4 3 3" xfId="13173" xr:uid="{00000000-0005-0000-0000-000069330000}"/>
    <cellStyle name="Normal 7 4 3 4" xfId="13174" xr:uid="{00000000-0005-0000-0000-00006A330000}"/>
    <cellStyle name="Normal 7 4 3 5" xfId="13175" xr:uid="{00000000-0005-0000-0000-00006B330000}"/>
    <cellStyle name="Normal 7 4 4" xfId="13176" xr:uid="{00000000-0005-0000-0000-00006C330000}"/>
    <cellStyle name="Normal 7 4 5" xfId="13177" xr:uid="{00000000-0005-0000-0000-00006D330000}"/>
    <cellStyle name="Normal 7 4 6" xfId="13178" xr:uid="{00000000-0005-0000-0000-00006E330000}"/>
    <cellStyle name="Normal 7 4 7" xfId="13179" xr:uid="{00000000-0005-0000-0000-00006F330000}"/>
    <cellStyle name="Normal 7 5" xfId="13180" xr:uid="{00000000-0005-0000-0000-000070330000}"/>
    <cellStyle name="Normal 7 5 2" xfId="13181" xr:uid="{00000000-0005-0000-0000-000071330000}"/>
    <cellStyle name="Normal 7 5 2 2" xfId="13182" xr:uid="{00000000-0005-0000-0000-000072330000}"/>
    <cellStyle name="Normal 7 5 2 2 2" xfId="13183" xr:uid="{00000000-0005-0000-0000-000073330000}"/>
    <cellStyle name="Normal 7 5 2 2 3" xfId="13184" xr:uid="{00000000-0005-0000-0000-000074330000}"/>
    <cellStyle name="Normal 7 5 2 2 4" xfId="13185" xr:uid="{00000000-0005-0000-0000-000075330000}"/>
    <cellStyle name="Normal 7 5 2 2 5" xfId="13186" xr:uid="{00000000-0005-0000-0000-000076330000}"/>
    <cellStyle name="Normal 7 5 2 3" xfId="13187" xr:uid="{00000000-0005-0000-0000-000077330000}"/>
    <cellStyle name="Normal 7 5 2 4" xfId="13188" xr:uid="{00000000-0005-0000-0000-000078330000}"/>
    <cellStyle name="Normal 7 5 2 5" xfId="13189" xr:uid="{00000000-0005-0000-0000-000079330000}"/>
    <cellStyle name="Normal 7 5 2 6" xfId="13190" xr:uid="{00000000-0005-0000-0000-00007A330000}"/>
    <cellStyle name="Normal 7 5 3" xfId="13191" xr:uid="{00000000-0005-0000-0000-00007B330000}"/>
    <cellStyle name="Normal 7 5 3 2" xfId="13192" xr:uid="{00000000-0005-0000-0000-00007C330000}"/>
    <cellStyle name="Normal 7 5 3 3" xfId="13193" xr:uid="{00000000-0005-0000-0000-00007D330000}"/>
    <cellStyle name="Normal 7 5 3 4" xfId="13194" xr:uid="{00000000-0005-0000-0000-00007E330000}"/>
    <cellStyle name="Normal 7 5 3 5" xfId="13195" xr:uid="{00000000-0005-0000-0000-00007F330000}"/>
    <cellStyle name="Normal 7 5 4" xfId="13196" xr:uid="{00000000-0005-0000-0000-000080330000}"/>
    <cellStyle name="Normal 7 5 5" xfId="13197" xr:uid="{00000000-0005-0000-0000-000081330000}"/>
    <cellStyle name="Normal 7 5 6" xfId="13198" xr:uid="{00000000-0005-0000-0000-000082330000}"/>
    <cellStyle name="Normal 7 5 7" xfId="13199" xr:uid="{00000000-0005-0000-0000-000083330000}"/>
    <cellStyle name="Normal 7 6" xfId="13200" xr:uid="{00000000-0005-0000-0000-000084330000}"/>
    <cellStyle name="Normal 7 6 2" xfId="13201" xr:uid="{00000000-0005-0000-0000-000085330000}"/>
    <cellStyle name="Normal 7 6 2 2" xfId="13202" xr:uid="{00000000-0005-0000-0000-000086330000}"/>
    <cellStyle name="Normal 7 6 2 3" xfId="13203" xr:uid="{00000000-0005-0000-0000-000087330000}"/>
    <cellStyle name="Normal 7 6 2 4" xfId="13204" xr:uid="{00000000-0005-0000-0000-000088330000}"/>
    <cellStyle name="Normal 7 6 2 5" xfId="13205" xr:uid="{00000000-0005-0000-0000-000089330000}"/>
    <cellStyle name="Normal 7 6 3" xfId="13206" xr:uid="{00000000-0005-0000-0000-00008A330000}"/>
    <cellStyle name="Normal 7 6 4" xfId="13207" xr:uid="{00000000-0005-0000-0000-00008B330000}"/>
    <cellStyle name="Normal 7 6 5" xfId="13208" xr:uid="{00000000-0005-0000-0000-00008C330000}"/>
    <cellStyle name="Normal 7 6 6" xfId="13209" xr:uid="{00000000-0005-0000-0000-00008D330000}"/>
    <cellStyle name="Normal 7 7" xfId="13210" xr:uid="{00000000-0005-0000-0000-00008E330000}"/>
    <cellStyle name="Normal 7 7 2" xfId="13211" xr:uid="{00000000-0005-0000-0000-00008F330000}"/>
    <cellStyle name="Normal 7 7 3" xfId="13212" xr:uid="{00000000-0005-0000-0000-000090330000}"/>
    <cellStyle name="Normal 7 7 4" xfId="13213" xr:uid="{00000000-0005-0000-0000-000091330000}"/>
    <cellStyle name="Normal 7 7 5" xfId="13214" xr:uid="{00000000-0005-0000-0000-000092330000}"/>
    <cellStyle name="Normal 7 8" xfId="13215" xr:uid="{00000000-0005-0000-0000-000093330000}"/>
    <cellStyle name="Normal 7 8 2" xfId="13216" xr:uid="{00000000-0005-0000-0000-000094330000}"/>
    <cellStyle name="Normal 7 9" xfId="13217" xr:uid="{00000000-0005-0000-0000-000095330000}"/>
    <cellStyle name="Normal 7_HRT O&amp;G" xfId="13218" xr:uid="{00000000-0005-0000-0000-000096330000}"/>
    <cellStyle name="Normal 70" xfId="13219" xr:uid="{00000000-0005-0000-0000-000097330000}"/>
    <cellStyle name="Normal 71" xfId="13220" xr:uid="{00000000-0005-0000-0000-000098330000}"/>
    <cellStyle name="Normal 72" xfId="13221" xr:uid="{00000000-0005-0000-0000-000099330000}"/>
    <cellStyle name="Normal 8" xfId="13222" xr:uid="{00000000-0005-0000-0000-00009A330000}"/>
    <cellStyle name="Normal 8 10" xfId="13223" xr:uid="{00000000-0005-0000-0000-00009B330000}"/>
    <cellStyle name="Normal 8 11" xfId="13224" xr:uid="{00000000-0005-0000-0000-00009C330000}"/>
    <cellStyle name="Normal 8 12" xfId="13225" xr:uid="{00000000-0005-0000-0000-00009D330000}"/>
    <cellStyle name="Normal 8 2" xfId="13226" xr:uid="{00000000-0005-0000-0000-00009E330000}"/>
    <cellStyle name="Normal 8 2 10" xfId="13227" xr:uid="{00000000-0005-0000-0000-00009F330000}"/>
    <cellStyle name="Normal 8 2 11" xfId="13228" xr:uid="{00000000-0005-0000-0000-0000A0330000}"/>
    <cellStyle name="Normal 8 2 2" xfId="13229" xr:uid="{00000000-0005-0000-0000-0000A1330000}"/>
    <cellStyle name="Normal 8 2 2 2" xfId="13230" xr:uid="{00000000-0005-0000-0000-0000A2330000}"/>
    <cellStyle name="Normal 8 2 2 2 2" xfId="13231" xr:uid="{00000000-0005-0000-0000-0000A3330000}"/>
    <cellStyle name="Normal 8 2 2 2 2 2" xfId="13232" xr:uid="{00000000-0005-0000-0000-0000A4330000}"/>
    <cellStyle name="Normal 8 2 2 2 2 2 2" xfId="13233" xr:uid="{00000000-0005-0000-0000-0000A5330000}"/>
    <cellStyle name="Normal 8 2 2 2 2 2 3" xfId="13234" xr:uid="{00000000-0005-0000-0000-0000A6330000}"/>
    <cellStyle name="Normal 8 2 2 2 2 2 4" xfId="13235" xr:uid="{00000000-0005-0000-0000-0000A7330000}"/>
    <cellStyle name="Normal 8 2 2 2 2 2 5" xfId="13236" xr:uid="{00000000-0005-0000-0000-0000A8330000}"/>
    <cellStyle name="Normal 8 2 2 2 2 3" xfId="13237" xr:uid="{00000000-0005-0000-0000-0000A9330000}"/>
    <cellStyle name="Normal 8 2 2 2 2 4" xfId="13238" xr:uid="{00000000-0005-0000-0000-0000AA330000}"/>
    <cellStyle name="Normal 8 2 2 2 2 5" xfId="13239" xr:uid="{00000000-0005-0000-0000-0000AB330000}"/>
    <cellStyle name="Normal 8 2 2 2 2 6" xfId="13240" xr:uid="{00000000-0005-0000-0000-0000AC330000}"/>
    <cellStyle name="Normal 8 2 2 2 3" xfId="13241" xr:uid="{00000000-0005-0000-0000-0000AD330000}"/>
    <cellStyle name="Normal 8 2 2 2 3 2" xfId="13242" xr:uid="{00000000-0005-0000-0000-0000AE330000}"/>
    <cellStyle name="Normal 8 2 2 2 3 3" xfId="13243" xr:uid="{00000000-0005-0000-0000-0000AF330000}"/>
    <cellStyle name="Normal 8 2 2 2 3 4" xfId="13244" xr:uid="{00000000-0005-0000-0000-0000B0330000}"/>
    <cellStyle name="Normal 8 2 2 2 3 5" xfId="13245" xr:uid="{00000000-0005-0000-0000-0000B1330000}"/>
    <cellStyle name="Normal 8 2 2 2 4" xfId="13246" xr:uid="{00000000-0005-0000-0000-0000B2330000}"/>
    <cellStyle name="Normal 8 2 2 2 5" xfId="13247" xr:uid="{00000000-0005-0000-0000-0000B3330000}"/>
    <cellStyle name="Normal 8 2 2 2 6" xfId="13248" xr:uid="{00000000-0005-0000-0000-0000B4330000}"/>
    <cellStyle name="Normal 8 2 2 2 7" xfId="13249" xr:uid="{00000000-0005-0000-0000-0000B5330000}"/>
    <cellStyle name="Normal 8 2 2 3" xfId="13250" xr:uid="{00000000-0005-0000-0000-0000B6330000}"/>
    <cellStyle name="Normal 8 2 2 3 2" xfId="13251" xr:uid="{00000000-0005-0000-0000-0000B7330000}"/>
    <cellStyle name="Normal 8 2 2 3 2 2" xfId="13252" xr:uid="{00000000-0005-0000-0000-0000B8330000}"/>
    <cellStyle name="Normal 8 2 2 3 2 2 2" xfId="13253" xr:uid="{00000000-0005-0000-0000-0000B9330000}"/>
    <cellStyle name="Normal 8 2 2 3 2 2 3" xfId="13254" xr:uid="{00000000-0005-0000-0000-0000BA330000}"/>
    <cellStyle name="Normal 8 2 2 3 2 2 4" xfId="13255" xr:uid="{00000000-0005-0000-0000-0000BB330000}"/>
    <cellStyle name="Normal 8 2 2 3 2 2 5" xfId="13256" xr:uid="{00000000-0005-0000-0000-0000BC330000}"/>
    <cellStyle name="Normal 8 2 2 3 2 3" xfId="13257" xr:uid="{00000000-0005-0000-0000-0000BD330000}"/>
    <cellStyle name="Normal 8 2 2 3 2 4" xfId="13258" xr:uid="{00000000-0005-0000-0000-0000BE330000}"/>
    <cellStyle name="Normal 8 2 2 3 2 5" xfId="13259" xr:uid="{00000000-0005-0000-0000-0000BF330000}"/>
    <cellStyle name="Normal 8 2 2 3 2 6" xfId="13260" xr:uid="{00000000-0005-0000-0000-0000C0330000}"/>
    <cellStyle name="Normal 8 2 2 3 3" xfId="13261" xr:uid="{00000000-0005-0000-0000-0000C1330000}"/>
    <cellStyle name="Normal 8 2 2 3 3 2" xfId="13262" xr:uid="{00000000-0005-0000-0000-0000C2330000}"/>
    <cellStyle name="Normal 8 2 2 3 3 3" xfId="13263" xr:uid="{00000000-0005-0000-0000-0000C3330000}"/>
    <cellStyle name="Normal 8 2 2 3 3 4" xfId="13264" xr:uid="{00000000-0005-0000-0000-0000C4330000}"/>
    <cellStyle name="Normal 8 2 2 3 3 5" xfId="13265" xr:uid="{00000000-0005-0000-0000-0000C5330000}"/>
    <cellStyle name="Normal 8 2 2 3 4" xfId="13266" xr:uid="{00000000-0005-0000-0000-0000C6330000}"/>
    <cellStyle name="Normal 8 2 2 3 5" xfId="13267" xr:uid="{00000000-0005-0000-0000-0000C7330000}"/>
    <cellStyle name="Normal 8 2 2 3 6" xfId="13268" xr:uid="{00000000-0005-0000-0000-0000C8330000}"/>
    <cellStyle name="Normal 8 2 2 3 7" xfId="13269" xr:uid="{00000000-0005-0000-0000-0000C9330000}"/>
    <cellStyle name="Normal 8 2 2 4" xfId="13270" xr:uid="{00000000-0005-0000-0000-0000CA330000}"/>
    <cellStyle name="Normal 8 2 2 4 2" xfId="13271" xr:uid="{00000000-0005-0000-0000-0000CB330000}"/>
    <cellStyle name="Normal 8 2 2 4 2 2" xfId="13272" xr:uid="{00000000-0005-0000-0000-0000CC330000}"/>
    <cellStyle name="Normal 8 2 2 4 2 3" xfId="13273" xr:uid="{00000000-0005-0000-0000-0000CD330000}"/>
    <cellStyle name="Normal 8 2 2 4 2 4" xfId="13274" xr:uid="{00000000-0005-0000-0000-0000CE330000}"/>
    <cellStyle name="Normal 8 2 2 4 2 5" xfId="13275" xr:uid="{00000000-0005-0000-0000-0000CF330000}"/>
    <cellStyle name="Normal 8 2 2 4 3" xfId="13276" xr:uid="{00000000-0005-0000-0000-0000D0330000}"/>
    <cellStyle name="Normal 8 2 2 4 4" xfId="13277" xr:uid="{00000000-0005-0000-0000-0000D1330000}"/>
    <cellStyle name="Normal 8 2 2 4 5" xfId="13278" xr:uid="{00000000-0005-0000-0000-0000D2330000}"/>
    <cellStyle name="Normal 8 2 2 4 6" xfId="13279" xr:uid="{00000000-0005-0000-0000-0000D3330000}"/>
    <cellStyle name="Normal 8 2 2 5" xfId="13280" xr:uid="{00000000-0005-0000-0000-0000D4330000}"/>
    <cellStyle name="Normal 8 2 2 5 2" xfId="13281" xr:uid="{00000000-0005-0000-0000-0000D5330000}"/>
    <cellStyle name="Normal 8 2 2 5 3" xfId="13282" xr:uid="{00000000-0005-0000-0000-0000D6330000}"/>
    <cellStyle name="Normal 8 2 2 5 4" xfId="13283" xr:uid="{00000000-0005-0000-0000-0000D7330000}"/>
    <cellStyle name="Normal 8 2 2 5 5" xfId="13284" xr:uid="{00000000-0005-0000-0000-0000D8330000}"/>
    <cellStyle name="Normal 8 2 2 6" xfId="13285" xr:uid="{00000000-0005-0000-0000-0000D9330000}"/>
    <cellStyle name="Normal 8 2 2 7" xfId="13286" xr:uid="{00000000-0005-0000-0000-0000DA330000}"/>
    <cellStyle name="Normal 8 2 2 8" xfId="13287" xr:uid="{00000000-0005-0000-0000-0000DB330000}"/>
    <cellStyle name="Normal 8 2 2 9" xfId="13288" xr:uid="{00000000-0005-0000-0000-0000DC330000}"/>
    <cellStyle name="Normal 8 2 3" xfId="13289" xr:uid="{00000000-0005-0000-0000-0000DD330000}"/>
    <cellStyle name="Normal 8 2 3 2" xfId="13290" xr:uid="{00000000-0005-0000-0000-0000DE330000}"/>
    <cellStyle name="Normal 8 2 3 2 2" xfId="13291" xr:uid="{00000000-0005-0000-0000-0000DF330000}"/>
    <cellStyle name="Normal 8 2 3 2 2 2" xfId="13292" xr:uid="{00000000-0005-0000-0000-0000E0330000}"/>
    <cellStyle name="Normal 8 2 3 2 2 3" xfId="13293" xr:uid="{00000000-0005-0000-0000-0000E1330000}"/>
    <cellStyle name="Normal 8 2 3 2 2 4" xfId="13294" xr:uid="{00000000-0005-0000-0000-0000E2330000}"/>
    <cellStyle name="Normal 8 2 3 2 2 5" xfId="13295" xr:uid="{00000000-0005-0000-0000-0000E3330000}"/>
    <cellStyle name="Normal 8 2 3 2 3" xfId="13296" xr:uid="{00000000-0005-0000-0000-0000E4330000}"/>
    <cellStyle name="Normal 8 2 3 2 4" xfId="13297" xr:uid="{00000000-0005-0000-0000-0000E5330000}"/>
    <cellStyle name="Normal 8 2 3 2 5" xfId="13298" xr:uid="{00000000-0005-0000-0000-0000E6330000}"/>
    <cellStyle name="Normal 8 2 3 2 6" xfId="13299" xr:uid="{00000000-0005-0000-0000-0000E7330000}"/>
    <cellStyle name="Normal 8 2 3 3" xfId="13300" xr:uid="{00000000-0005-0000-0000-0000E8330000}"/>
    <cellStyle name="Normal 8 2 3 3 2" xfId="13301" xr:uid="{00000000-0005-0000-0000-0000E9330000}"/>
    <cellStyle name="Normal 8 2 3 3 3" xfId="13302" xr:uid="{00000000-0005-0000-0000-0000EA330000}"/>
    <cellStyle name="Normal 8 2 3 3 4" xfId="13303" xr:uid="{00000000-0005-0000-0000-0000EB330000}"/>
    <cellStyle name="Normal 8 2 3 3 5" xfId="13304" xr:uid="{00000000-0005-0000-0000-0000EC330000}"/>
    <cellStyle name="Normal 8 2 3 4" xfId="13305" xr:uid="{00000000-0005-0000-0000-0000ED330000}"/>
    <cellStyle name="Normal 8 2 3 5" xfId="13306" xr:uid="{00000000-0005-0000-0000-0000EE330000}"/>
    <cellStyle name="Normal 8 2 3 6" xfId="13307" xr:uid="{00000000-0005-0000-0000-0000EF330000}"/>
    <cellStyle name="Normal 8 2 3 7" xfId="13308" xr:uid="{00000000-0005-0000-0000-0000F0330000}"/>
    <cellStyle name="Normal 8 2 4" xfId="13309" xr:uid="{00000000-0005-0000-0000-0000F1330000}"/>
    <cellStyle name="Normal 8 2 4 2" xfId="13310" xr:uid="{00000000-0005-0000-0000-0000F2330000}"/>
    <cellStyle name="Normal 8 2 4 2 2" xfId="13311" xr:uid="{00000000-0005-0000-0000-0000F3330000}"/>
    <cellStyle name="Normal 8 2 4 2 2 2" xfId="13312" xr:uid="{00000000-0005-0000-0000-0000F4330000}"/>
    <cellStyle name="Normal 8 2 4 2 2 3" xfId="13313" xr:uid="{00000000-0005-0000-0000-0000F5330000}"/>
    <cellStyle name="Normal 8 2 4 2 2 4" xfId="13314" xr:uid="{00000000-0005-0000-0000-0000F6330000}"/>
    <cellStyle name="Normal 8 2 4 2 2 5" xfId="13315" xr:uid="{00000000-0005-0000-0000-0000F7330000}"/>
    <cellStyle name="Normal 8 2 4 2 3" xfId="13316" xr:uid="{00000000-0005-0000-0000-0000F8330000}"/>
    <cellStyle name="Normal 8 2 4 2 4" xfId="13317" xr:uid="{00000000-0005-0000-0000-0000F9330000}"/>
    <cellStyle name="Normal 8 2 4 2 5" xfId="13318" xr:uid="{00000000-0005-0000-0000-0000FA330000}"/>
    <cellStyle name="Normal 8 2 4 2 6" xfId="13319" xr:uid="{00000000-0005-0000-0000-0000FB330000}"/>
    <cellStyle name="Normal 8 2 4 3" xfId="13320" xr:uid="{00000000-0005-0000-0000-0000FC330000}"/>
    <cellStyle name="Normal 8 2 4 3 2" xfId="13321" xr:uid="{00000000-0005-0000-0000-0000FD330000}"/>
    <cellStyle name="Normal 8 2 4 3 3" xfId="13322" xr:uid="{00000000-0005-0000-0000-0000FE330000}"/>
    <cellStyle name="Normal 8 2 4 3 4" xfId="13323" xr:uid="{00000000-0005-0000-0000-0000FF330000}"/>
    <cellStyle name="Normal 8 2 4 3 5" xfId="13324" xr:uid="{00000000-0005-0000-0000-000000340000}"/>
    <cellStyle name="Normal 8 2 4 4" xfId="13325" xr:uid="{00000000-0005-0000-0000-000001340000}"/>
    <cellStyle name="Normal 8 2 4 5" xfId="13326" xr:uid="{00000000-0005-0000-0000-000002340000}"/>
    <cellStyle name="Normal 8 2 4 6" xfId="13327" xr:uid="{00000000-0005-0000-0000-000003340000}"/>
    <cellStyle name="Normal 8 2 4 7" xfId="13328" xr:uid="{00000000-0005-0000-0000-000004340000}"/>
    <cellStyle name="Normal 8 2 5" xfId="13329" xr:uid="{00000000-0005-0000-0000-000005340000}"/>
    <cellStyle name="Normal 8 2 5 2" xfId="13330" xr:uid="{00000000-0005-0000-0000-000006340000}"/>
    <cellStyle name="Normal 8 2 5 2 2" xfId="13331" xr:uid="{00000000-0005-0000-0000-000007340000}"/>
    <cellStyle name="Normal 8 2 5 2 3" xfId="13332" xr:uid="{00000000-0005-0000-0000-000008340000}"/>
    <cellStyle name="Normal 8 2 5 2 4" xfId="13333" xr:uid="{00000000-0005-0000-0000-000009340000}"/>
    <cellStyle name="Normal 8 2 5 2 5" xfId="13334" xr:uid="{00000000-0005-0000-0000-00000A340000}"/>
    <cellStyle name="Normal 8 2 5 3" xfId="13335" xr:uid="{00000000-0005-0000-0000-00000B340000}"/>
    <cellStyle name="Normal 8 2 5 4" xfId="13336" xr:uid="{00000000-0005-0000-0000-00000C340000}"/>
    <cellStyle name="Normal 8 2 5 5" xfId="13337" xr:uid="{00000000-0005-0000-0000-00000D340000}"/>
    <cellStyle name="Normal 8 2 5 6" xfId="13338" xr:uid="{00000000-0005-0000-0000-00000E340000}"/>
    <cellStyle name="Normal 8 2 6" xfId="13339" xr:uid="{00000000-0005-0000-0000-00000F340000}"/>
    <cellStyle name="Normal 8 2 6 2" xfId="13340" xr:uid="{00000000-0005-0000-0000-000010340000}"/>
    <cellStyle name="Normal 8 2 6 3" xfId="13341" xr:uid="{00000000-0005-0000-0000-000011340000}"/>
    <cellStyle name="Normal 8 2 6 4" xfId="13342" xr:uid="{00000000-0005-0000-0000-000012340000}"/>
    <cellStyle name="Normal 8 2 6 5" xfId="13343" xr:uid="{00000000-0005-0000-0000-000013340000}"/>
    <cellStyle name="Normal 8 2 7" xfId="13344" xr:uid="{00000000-0005-0000-0000-000014340000}"/>
    <cellStyle name="Normal 8 2 8" xfId="13345" xr:uid="{00000000-0005-0000-0000-000015340000}"/>
    <cellStyle name="Normal 8 2 9" xfId="13346" xr:uid="{00000000-0005-0000-0000-000016340000}"/>
    <cellStyle name="Normal 8 3" xfId="13347" xr:uid="{00000000-0005-0000-0000-000017340000}"/>
    <cellStyle name="Normal 8 3 2" xfId="13348" xr:uid="{00000000-0005-0000-0000-000018340000}"/>
    <cellStyle name="Normal 8 3 2 2" xfId="13349" xr:uid="{00000000-0005-0000-0000-000019340000}"/>
    <cellStyle name="Normal 8 3 2 2 2" xfId="13350" xr:uid="{00000000-0005-0000-0000-00001A340000}"/>
    <cellStyle name="Normal 8 3 2 2 2 2" xfId="13351" xr:uid="{00000000-0005-0000-0000-00001B340000}"/>
    <cellStyle name="Normal 8 3 2 2 2 3" xfId="13352" xr:uid="{00000000-0005-0000-0000-00001C340000}"/>
    <cellStyle name="Normal 8 3 2 2 2 4" xfId="13353" xr:uid="{00000000-0005-0000-0000-00001D340000}"/>
    <cellStyle name="Normal 8 3 2 2 2 5" xfId="13354" xr:uid="{00000000-0005-0000-0000-00001E340000}"/>
    <cellStyle name="Normal 8 3 2 2 3" xfId="13355" xr:uid="{00000000-0005-0000-0000-00001F340000}"/>
    <cellStyle name="Normal 8 3 2 2 4" xfId="13356" xr:uid="{00000000-0005-0000-0000-000020340000}"/>
    <cellStyle name="Normal 8 3 2 2 5" xfId="13357" xr:uid="{00000000-0005-0000-0000-000021340000}"/>
    <cellStyle name="Normal 8 3 2 2 6" xfId="13358" xr:uid="{00000000-0005-0000-0000-000022340000}"/>
    <cellStyle name="Normal 8 3 2 3" xfId="13359" xr:uid="{00000000-0005-0000-0000-000023340000}"/>
    <cellStyle name="Normal 8 3 2 3 2" xfId="13360" xr:uid="{00000000-0005-0000-0000-000024340000}"/>
    <cellStyle name="Normal 8 3 2 3 3" xfId="13361" xr:uid="{00000000-0005-0000-0000-000025340000}"/>
    <cellStyle name="Normal 8 3 2 3 4" xfId="13362" xr:uid="{00000000-0005-0000-0000-000026340000}"/>
    <cellStyle name="Normal 8 3 2 3 5" xfId="13363" xr:uid="{00000000-0005-0000-0000-000027340000}"/>
    <cellStyle name="Normal 8 3 2 4" xfId="13364" xr:uid="{00000000-0005-0000-0000-000028340000}"/>
    <cellStyle name="Normal 8 3 2 5" xfId="13365" xr:uid="{00000000-0005-0000-0000-000029340000}"/>
    <cellStyle name="Normal 8 3 2 6" xfId="13366" xr:uid="{00000000-0005-0000-0000-00002A340000}"/>
    <cellStyle name="Normal 8 3 2 7" xfId="13367" xr:uid="{00000000-0005-0000-0000-00002B340000}"/>
    <cellStyle name="Normal 8 3 3" xfId="13368" xr:uid="{00000000-0005-0000-0000-00002C340000}"/>
    <cellStyle name="Normal 8 3 3 2" xfId="13369" xr:uid="{00000000-0005-0000-0000-00002D340000}"/>
    <cellStyle name="Normal 8 3 3 2 2" xfId="13370" xr:uid="{00000000-0005-0000-0000-00002E340000}"/>
    <cellStyle name="Normal 8 3 3 2 2 2" xfId="13371" xr:uid="{00000000-0005-0000-0000-00002F340000}"/>
    <cellStyle name="Normal 8 3 3 2 2 3" xfId="13372" xr:uid="{00000000-0005-0000-0000-000030340000}"/>
    <cellStyle name="Normal 8 3 3 2 2 4" xfId="13373" xr:uid="{00000000-0005-0000-0000-000031340000}"/>
    <cellStyle name="Normal 8 3 3 2 2 5" xfId="13374" xr:uid="{00000000-0005-0000-0000-000032340000}"/>
    <cellStyle name="Normal 8 3 3 2 3" xfId="13375" xr:uid="{00000000-0005-0000-0000-000033340000}"/>
    <cellStyle name="Normal 8 3 3 2 4" xfId="13376" xr:uid="{00000000-0005-0000-0000-000034340000}"/>
    <cellStyle name="Normal 8 3 3 2 5" xfId="13377" xr:uid="{00000000-0005-0000-0000-000035340000}"/>
    <cellStyle name="Normal 8 3 3 2 6" xfId="13378" xr:uid="{00000000-0005-0000-0000-000036340000}"/>
    <cellStyle name="Normal 8 3 3 3" xfId="13379" xr:uid="{00000000-0005-0000-0000-000037340000}"/>
    <cellStyle name="Normal 8 3 3 3 2" xfId="13380" xr:uid="{00000000-0005-0000-0000-000038340000}"/>
    <cellStyle name="Normal 8 3 3 3 3" xfId="13381" xr:uid="{00000000-0005-0000-0000-000039340000}"/>
    <cellStyle name="Normal 8 3 3 3 4" xfId="13382" xr:uid="{00000000-0005-0000-0000-00003A340000}"/>
    <cellStyle name="Normal 8 3 3 3 5" xfId="13383" xr:uid="{00000000-0005-0000-0000-00003B340000}"/>
    <cellStyle name="Normal 8 3 3 4" xfId="13384" xr:uid="{00000000-0005-0000-0000-00003C340000}"/>
    <cellStyle name="Normal 8 3 3 5" xfId="13385" xr:uid="{00000000-0005-0000-0000-00003D340000}"/>
    <cellStyle name="Normal 8 3 3 6" xfId="13386" xr:uid="{00000000-0005-0000-0000-00003E340000}"/>
    <cellStyle name="Normal 8 3 3 7" xfId="13387" xr:uid="{00000000-0005-0000-0000-00003F340000}"/>
    <cellStyle name="Normal 8 3 4" xfId="13388" xr:uid="{00000000-0005-0000-0000-000040340000}"/>
    <cellStyle name="Normal 8 3 4 2" xfId="13389" xr:uid="{00000000-0005-0000-0000-000041340000}"/>
    <cellStyle name="Normal 8 3 4 2 2" xfId="13390" xr:uid="{00000000-0005-0000-0000-000042340000}"/>
    <cellStyle name="Normal 8 3 4 2 3" xfId="13391" xr:uid="{00000000-0005-0000-0000-000043340000}"/>
    <cellStyle name="Normal 8 3 4 2 4" xfId="13392" xr:uid="{00000000-0005-0000-0000-000044340000}"/>
    <cellStyle name="Normal 8 3 4 2 5" xfId="13393" xr:uid="{00000000-0005-0000-0000-000045340000}"/>
    <cellStyle name="Normal 8 3 4 3" xfId="13394" xr:uid="{00000000-0005-0000-0000-000046340000}"/>
    <cellStyle name="Normal 8 3 4 4" xfId="13395" xr:uid="{00000000-0005-0000-0000-000047340000}"/>
    <cellStyle name="Normal 8 3 4 5" xfId="13396" xr:uid="{00000000-0005-0000-0000-000048340000}"/>
    <cellStyle name="Normal 8 3 4 6" xfId="13397" xr:uid="{00000000-0005-0000-0000-000049340000}"/>
    <cellStyle name="Normal 8 3 5" xfId="13398" xr:uid="{00000000-0005-0000-0000-00004A340000}"/>
    <cellStyle name="Normal 8 3 5 2" xfId="13399" xr:uid="{00000000-0005-0000-0000-00004B340000}"/>
    <cellStyle name="Normal 8 3 5 3" xfId="13400" xr:uid="{00000000-0005-0000-0000-00004C340000}"/>
    <cellStyle name="Normal 8 3 5 4" xfId="13401" xr:uid="{00000000-0005-0000-0000-00004D340000}"/>
    <cellStyle name="Normal 8 3 5 5" xfId="13402" xr:uid="{00000000-0005-0000-0000-00004E340000}"/>
    <cellStyle name="Normal 8 3 6" xfId="13403" xr:uid="{00000000-0005-0000-0000-00004F340000}"/>
    <cellStyle name="Normal 8 3 7" xfId="13404" xr:uid="{00000000-0005-0000-0000-000050340000}"/>
    <cellStyle name="Normal 8 3 8" xfId="13405" xr:uid="{00000000-0005-0000-0000-000051340000}"/>
    <cellStyle name="Normal 8 3 9" xfId="13406" xr:uid="{00000000-0005-0000-0000-000052340000}"/>
    <cellStyle name="Normal 8 4" xfId="13407" xr:uid="{00000000-0005-0000-0000-000053340000}"/>
    <cellStyle name="Normal 8 4 2" xfId="13408" xr:uid="{00000000-0005-0000-0000-000054340000}"/>
    <cellStyle name="Normal 8 4 2 2" xfId="13409" xr:uid="{00000000-0005-0000-0000-000055340000}"/>
    <cellStyle name="Normal 8 4 2 2 2" xfId="13410" xr:uid="{00000000-0005-0000-0000-000056340000}"/>
    <cellStyle name="Normal 8 4 2 2 3" xfId="13411" xr:uid="{00000000-0005-0000-0000-000057340000}"/>
    <cellStyle name="Normal 8 4 2 2 4" xfId="13412" xr:uid="{00000000-0005-0000-0000-000058340000}"/>
    <cellStyle name="Normal 8 4 2 2 5" xfId="13413" xr:uid="{00000000-0005-0000-0000-000059340000}"/>
    <cellStyle name="Normal 8 4 2 3" xfId="13414" xr:uid="{00000000-0005-0000-0000-00005A340000}"/>
    <cellStyle name="Normal 8 4 2 4" xfId="13415" xr:uid="{00000000-0005-0000-0000-00005B340000}"/>
    <cellStyle name="Normal 8 4 2 5" xfId="13416" xr:uid="{00000000-0005-0000-0000-00005C340000}"/>
    <cellStyle name="Normal 8 4 2 6" xfId="13417" xr:uid="{00000000-0005-0000-0000-00005D340000}"/>
    <cellStyle name="Normal 8 4 3" xfId="13418" xr:uid="{00000000-0005-0000-0000-00005E340000}"/>
    <cellStyle name="Normal 8 4 3 2" xfId="13419" xr:uid="{00000000-0005-0000-0000-00005F340000}"/>
    <cellStyle name="Normal 8 4 3 3" xfId="13420" xr:uid="{00000000-0005-0000-0000-000060340000}"/>
    <cellStyle name="Normal 8 4 3 4" xfId="13421" xr:uid="{00000000-0005-0000-0000-000061340000}"/>
    <cellStyle name="Normal 8 4 3 5" xfId="13422" xr:uid="{00000000-0005-0000-0000-000062340000}"/>
    <cellStyle name="Normal 8 4 4" xfId="13423" xr:uid="{00000000-0005-0000-0000-000063340000}"/>
    <cellStyle name="Normal 8 4 5" xfId="13424" xr:uid="{00000000-0005-0000-0000-000064340000}"/>
    <cellStyle name="Normal 8 4 6" xfId="13425" xr:uid="{00000000-0005-0000-0000-000065340000}"/>
    <cellStyle name="Normal 8 4 7" xfId="13426" xr:uid="{00000000-0005-0000-0000-000066340000}"/>
    <cellStyle name="Normal 8 5" xfId="13427" xr:uid="{00000000-0005-0000-0000-000067340000}"/>
    <cellStyle name="Normal 8 5 2" xfId="13428" xr:uid="{00000000-0005-0000-0000-000068340000}"/>
    <cellStyle name="Normal 8 5 2 2" xfId="13429" xr:uid="{00000000-0005-0000-0000-000069340000}"/>
    <cellStyle name="Normal 8 5 2 2 2" xfId="13430" xr:uid="{00000000-0005-0000-0000-00006A340000}"/>
    <cellStyle name="Normal 8 5 2 2 3" xfId="13431" xr:uid="{00000000-0005-0000-0000-00006B340000}"/>
    <cellStyle name="Normal 8 5 2 2 4" xfId="13432" xr:uid="{00000000-0005-0000-0000-00006C340000}"/>
    <cellStyle name="Normal 8 5 2 2 5" xfId="13433" xr:uid="{00000000-0005-0000-0000-00006D340000}"/>
    <cellStyle name="Normal 8 5 2 3" xfId="13434" xr:uid="{00000000-0005-0000-0000-00006E340000}"/>
    <cellStyle name="Normal 8 5 2 4" xfId="13435" xr:uid="{00000000-0005-0000-0000-00006F340000}"/>
    <cellStyle name="Normal 8 5 2 5" xfId="13436" xr:uid="{00000000-0005-0000-0000-000070340000}"/>
    <cellStyle name="Normal 8 5 2 6" xfId="13437" xr:uid="{00000000-0005-0000-0000-000071340000}"/>
    <cellStyle name="Normal 8 5 3" xfId="13438" xr:uid="{00000000-0005-0000-0000-000072340000}"/>
    <cellStyle name="Normal 8 5 3 2" xfId="13439" xr:uid="{00000000-0005-0000-0000-000073340000}"/>
    <cellStyle name="Normal 8 5 3 3" xfId="13440" xr:uid="{00000000-0005-0000-0000-000074340000}"/>
    <cellStyle name="Normal 8 5 3 4" xfId="13441" xr:uid="{00000000-0005-0000-0000-000075340000}"/>
    <cellStyle name="Normal 8 5 3 5" xfId="13442" xr:uid="{00000000-0005-0000-0000-000076340000}"/>
    <cellStyle name="Normal 8 5 4" xfId="13443" xr:uid="{00000000-0005-0000-0000-000077340000}"/>
    <cellStyle name="Normal 8 5 5" xfId="13444" xr:uid="{00000000-0005-0000-0000-000078340000}"/>
    <cellStyle name="Normal 8 5 6" xfId="13445" xr:uid="{00000000-0005-0000-0000-000079340000}"/>
    <cellStyle name="Normal 8 5 7" xfId="13446" xr:uid="{00000000-0005-0000-0000-00007A340000}"/>
    <cellStyle name="Normal 8 6" xfId="13447" xr:uid="{00000000-0005-0000-0000-00007B340000}"/>
    <cellStyle name="Normal 8 6 2" xfId="13448" xr:uid="{00000000-0005-0000-0000-00007C340000}"/>
    <cellStyle name="Normal 8 6 2 2" xfId="13449" xr:uid="{00000000-0005-0000-0000-00007D340000}"/>
    <cellStyle name="Normal 8 6 2 3" xfId="13450" xr:uid="{00000000-0005-0000-0000-00007E340000}"/>
    <cellStyle name="Normal 8 6 2 4" xfId="13451" xr:uid="{00000000-0005-0000-0000-00007F340000}"/>
    <cellStyle name="Normal 8 6 2 5" xfId="13452" xr:uid="{00000000-0005-0000-0000-000080340000}"/>
    <cellStyle name="Normal 8 6 3" xfId="13453" xr:uid="{00000000-0005-0000-0000-000081340000}"/>
    <cellStyle name="Normal 8 6 4" xfId="13454" xr:uid="{00000000-0005-0000-0000-000082340000}"/>
    <cellStyle name="Normal 8 6 5" xfId="13455" xr:uid="{00000000-0005-0000-0000-000083340000}"/>
    <cellStyle name="Normal 8 6 6" xfId="13456" xr:uid="{00000000-0005-0000-0000-000084340000}"/>
    <cellStyle name="Normal 8 7" xfId="13457" xr:uid="{00000000-0005-0000-0000-000085340000}"/>
    <cellStyle name="Normal 8 7 2" xfId="13458" xr:uid="{00000000-0005-0000-0000-000086340000}"/>
    <cellStyle name="Normal 8 7 3" xfId="13459" xr:uid="{00000000-0005-0000-0000-000087340000}"/>
    <cellStyle name="Normal 8 7 4" xfId="13460" xr:uid="{00000000-0005-0000-0000-000088340000}"/>
    <cellStyle name="Normal 8 7 5" xfId="13461" xr:uid="{00000000-0005-0000-0000-000089340000}"/>
    <cellStyle name="Normal 8 8" xfId="13462" xr:uid="{00000000-0005-0000-0000-00008A340000}"/>
    <cellStyle name="Normal 8 8 2" xfId="13463" xr:uid="{00000000-0005-0000-0000-00008B340000}"/>
    <cellStyle name="Normal 8 9" xfId="13464" xr:uid="{00000000-0005-0000-0000-00008C340000}"/>
    <cellStyle name="Normal 8_HRT O&amp;G" xfId="13465" xr:uid="{00000000-0005-0000-0000-00008D340000}"/>
    <cellStyle name="Normal 9" xfId="13466" xr:uid="{00000000-0005-0000-0000-00008E340000}"/>
    <cellStyle name="Normal 9 2" xfId="13467" xr:uid="{00000000-0005-0000-0000-00008F340000}"/>
    <cellStyle name="Normal 9 2 10" xfId="13468" xr:uid="{00000000-0005-0000-0000-000090340000}"/>
    <cellStyle name="Normal 9 2 11" xfId="13469" xr:uid="{00000000-0005-0000-0000-000091340000}"/>
    <cellStyle name="Normal 9 2 2" xfId="13470" xr:uid="{00000000-0005-0000-0000-000092340000}"/>
    <cellStyle name="Normal 9 2 2 2" xfId="13471" xr:uid="{00000000-0005-0000-0000-000093340000}"/>
    <cellStyle name="Normal 9 2 2 2 2" xfId="13472" xr:uid="{00000000-0005-0000-0000-000094340000}"/>
    <cellStyle name="Normal 9 2 2 2 2 2" xfId="13473" xr:uid="{00000000-0005-0000-0000-000095340000}"/>
    <cellStyle name="Normal 9 2 2 2 2 3" xfId="13474" xr:uid="{00000000-0005-0000-0000-000096340000}"/>
    <cellStyle name="Normal 9 2 2 2 2 4" xfId="13475" xr:uid="{00000000-0005-0000-0000-000097340000}"/>
    <cellStyle name="Normal 9 2 2 2 2 5" xfId="13476" xr:uid="{00000000-0005-0000-0000-000098340000}"/>
    <cellStyle name="Normal 9 2 2 2 3" xfId="13477" xr:uid="{00000000-0005-0000-0000-000099340000}"/>
    <cellStyle name="Normal 9 2 2 2 4" xfId="13478" xr:uid="{00000000-0005-0000-0000-00009A340000}"/>
    <cellStyle name="Normal 9 2 2 2 5" xfId="13479" xr:uid="{00000000-0005-0000-0000-00009B340000}"/>
    <cellStyle name="Normal 9 2 2 2 6" xfId="13480" xr:uid="{00000000-0005-0000-0000-00009C340000}"/>
    <cellStyle name="Normal 9 2 2 3" xfId="13481" xr:uid="{00000000-0005-0000-0000-00009D340000}"/>
    <cellStyle name="Normal 9 2 2 3 2" xfId="13482" xr:uid="{00000000-0005-0000-0000-00009E340000}"/>
    <cellStyle name="Normal 9 2 2 3 3" xfId="13483" xr:uid="{00000000-0005-0000-0000-00009F340000}"/>
    <cellStyle name="Normal 9 2 2 3 4" xfId="13484" xr:uid="{00000000-0005-0000-0000-0000A0340000}"/>
    <cellStyle name="Normal 9 2 2 3 5" xfId="13485" xr:uid="{00000000-0005-0000-0000-0000A1340000}"/>
    <cellStyle name="Normal 9 2 2 4" xfId="13486" xr:uid="{00000000-0005-0000-0000-0000A2340000}"/>
    <cellStyle name="Normal 9 2 2 5" xfId="13487" xr:uid="{00000000-0005-0000-0000-0000A3340000}"/>
    <cellStyle name="Normal 9 2 2 6" xfId="13488" xr:uid="{00000000-0005-0000-0000-0000A4340000}"/>
    <cellStyle name="Normal 9 2 2 7" xfId="13489" xr:uid="{00000000-0005-0000-0000-0000A5340000}"/>
    <cellStyle name="Normal 9 2 3" xfId="13490" xr:uid="{00000000-0005-0000-0000-0000A6340000}"/>
    <cellStyle name="Normal 9 2 3 2" xfId="13491" xr:uid="{00000000-0005-0000-0000-0000A7340000}"/>
    <cellStyle name="Normal 9 2 3 2 2" xfId="13492" xr:uid="{00000000-0005-0000-0000-0000A8340000}"/>
    <cellStyle name="Normal 9 2 3 2 2 2" xfId="13493" xr:uid="{00000000-0005-0000-0000-0000A9340000}"/>
    <cellStyle name="Normal 9 2 3 2 2 3" xfId="13494" xr:uid="{00000000-0005-0000-0000-0000AA340000}"/>
    <cellStyle name="Normal 9 2 3 2 2 4" xfId="13495" xr:uid="{00000000-0005-0000-0000-0000AB340000}"/>
    <cellStyle name="Normal 9 2 3 2 2 5" xfId="13496" xr:uid="{00000000-0005-0000-0000-0000AC340000}"/>
    <cellStyle name="Normal 9 2 3 2 3" xfId="13497" xr:uid="{00000000-0005-0000-0000-0000AD340000}"/>
    <cellStyle name="Normal 9 2 3 2 4" xfId="13498" xr:uid="{00000000-0005-0000-0000-0000AE340000}"/>
    <cellStyle name="Normal 9 2 3 2 5" xfId="13499" xr:uid="{00000000-0005-0000-0000-0000AF340000}"/>
    <cellStyle name="Normal 9 2 3 2 6" xfId="13500" xr:uid="{00000000-0005-0000-0000-0000B0340000}"/>
    <cellStyle name="Normal 9 2 3 3" xfId="13501" xr:uid="{00000000-0005-0000-0000-0000B1340000}"/>
    <cellStyle name="Normal 9 2 3 3 2" xfId="13502" xr:uid="{00000000-0005-0000-0000-0000B2340000}"/>
    <cellStyle name="Normal 9 2 3 3 3" xfId="13503" xr:uid="{00000000-0005-0000-0000-0000B3340000}"/>
    <cellStyle name="Normal 9 2 3 3 4" xfId="13504" xr:uid="{00000000-0005-0000-0000-0000B4340000}"/>
    <cellStyle name="Normal 9 2 3 3 5" xfId="13505" xr:uid="{00000000-0005-0000-0000-0000B5340000}"/>
    <cellStyle name="Normal 9 2 3 4" xfId="13506" xr:uid="{00000000-0005-0000-0000-0000B6340000}"/>
    <cellStyle name="Normal 9 2 3 5" xfId="13507" xr:uid="{00000000-0005-0000-0000-0000B7340000}"/>
    <cellStyle name="Normal 9 2 3 6" xfId="13508" xr:uid="{00000000-0005-0000-0000-0000B8340000}"/>
    <cellStyle name="Normal 9 2 3 7" xfId="13509" xr:uid="{00000000-0005-0000-0000-0000B9340000}"/>
    <cellStyle name="Normal 9 2 4" xfId="13510" xr:uid="{00000000-0005-0000-0000-0000BA340000}"/>
    <cellStyle name="Normal 9 2 4 2" xfId="13511" xr:uid="{00000000-0005-0000-0000-0000BB340000}"/>
    <cellStyle name="Normal 9 2 4 2 2" xfId="13512" xr:uid="{00000000-0005-0000-0000-0000BC340000}"/>
    <cellStyle name="Normal 9 2 4 2 3" xfId="13513" xr:uid="{00000000-0005-0000-0000-0000BD340000}"/>
    <cellStyle name="Normal 9 2 4 2 4" xfId="13514" xr:uid="{00000000-0005-0000-0000-0000BE340000}"/>
    <cellStyle name="Normal 9 2 4 2 5" xfId="13515" xr:uid="{00000000-0005-0000-0000-0000BF340000}"/>
    <cellStyle name="Normal 9 2 4 3" xfId="13516" xr:uid="{00000000-0005-0000-0000-0000C0340000}"/>
    <cellStyle name="Normal 9 2 4 4" xfId="13517" xr:uid="{00000000-0005-0000-0000-0000C1340000}"/>
    <cellStyle name="Normal 9 2 4 5" xfId="13518" xr:uid="{00000000-0005-0000-0000-0000C2340000}"/>
    <cellStyle name="Normal 9 2 4 6" xfId="13519" xr:uid="{00000000-0005-0000-0000-0000C3340000}"/>
    <cellStyle name="Normal 9 2 5" xfId="13520" xr:uid="{00000000-0005-0000-0000-0000C4340000}"/>
    <cellStyle name="Normal 9 2 5 2" xfId="13521" xr:uid="{00000000-0005-0000-0000-0000C5340000}"/>
    <cellStyle name="Normal 9 2 5 3" xfId="13522" xr:uid="{00000000-0005-0000-0000-0000C6340000}"/>
    <cellStyle name="Normal 9 2 5 4" xfId="13523" xr:uid="{00000000-0005-0000-0000-0000C7340000}"/>
    <cellStyle name="Normal 9 2 5 5" xfId="13524" xr:uid="{00000000-0005-0000-0000-0000C8340000}"/>
    <cellStyle name="Normal 9 2 6" xfId="13525" xr:uid="{00000000-0005-0000-0000-0000C9340000}"/>
    <cellStyle name="Normal 9 2 6 2" xfId="13526" xr:uid="{00000000-0005-0000-0000-0000CA340000}"/>
    <cellStyle name="Normal 9 2 6 2 2" xfId="13527" xr:uid="{00000000-0005-0000-0000-0000CB340000}"/>
    <cellStyle name="Normal 9 2 6 2 3" xfId="13528" xr:uid="{00000000-0005-0000-0000-0000CC340000}"/>
    <cellStyle name="Normal 9 2 6 2 4" xfId="13529" xr:uid="{00000000-0005-0000-0000-0000CD340000}"/>
    <cellStyle name="Normal 9 2 6 2 5" xfId="13530" xr:uid="{00000000-0005-0000-0000-0000CE340000}"/>
    <cellStyle name="Normal 9 2 6 3" xfId="13531" xr:uid="{00000000-0005-0000-0000-0000CF340000}"/>
    <cellStyle name="Normal 9 2 6 4" xfId="13532" xr:uid="{00000000-0005-0000-0000-0000D0340000}"/>
    <cellStyle name="Normal 9 2 6 5" xfId="13533" xr:uid="{00000000-0005-0000-0000-0000D1340000}"/>
    <cellStyle name="Normal 9 2 6 6" xfId="13534" xr:uid="{00000000-0005-0000-0000-0000D2340000}"/>
    <cellStyle name="Normal 9 2 7" xfId="13535" xr:uid="{00000000-0005-0000-0000-0000D3340000}"/>
    <cellStyle name="Normal 9 2 8" xfId="13536" xr:uid="{00000000-0005-0000-0000-0000D4340000}"/>
    <cellStyle name="Normal 9 2 9" xfId="13537" xr:uid="{00000000-0005-0000-0000-0000D5340000}"/>
    <cellStyle name="Normal 9 3" xfId="13538" xr:uid="{00000000-0005-0000-0000-0000D6340000}"/>
    <cellStyle name="Normal 9 3 2" xfId="13539" xr:uid="{00000000-0005-0000-0000-0000D7340000}"/>
    <cellStyle name="Normal 9 3 2 2" xfId="13540" xr:uid="{00000000-0005-0000-0000-0000D8340000}"/>
    <cellStyle name="Normal 9 3 2 2 2" xfId="13541" xr:uid="{00000000-0005-0000-0000-0000D9340000}"/>
    <cellStyle name="Normal 9 3 2 2 3" xfId="13542" xr:uid="{00000000-0005-0000-0000-0000DA340000}"/>
    <cellStyle name="Normal 9 3 2 2 4" xfId="13543" xr:uid="{00000000-0005-0000-0000-0000DB340000}"/>
    <cellStyle name="Normal 9 3 2 2 5" xfId="13544" xr:uid="{00000000-0005-0000-0000-0000DC340000}"/>
    <cellStyle name="Normal 9 3 2 3" xfId="13545" xr:uid="{00000000-0005-0000-0000-0000DD340000}"/>
    <cellStyle name="Normal 9 3 2 4" xfId="13546" xr:uid="{00000000-0005-0000-0000-0000DE340000}"/>
    <cellStyle name="Normal 9 3 2 5" xfId="13547" xr:uid="{00000000-0005-0000-0000-0000DF340000}"/>
    <cellStyle name="Normal 9 3 2 6" xfId="13548" xr:uid="{00000000-0005-0000-0000-0000E0340000}"/>
    <cellStyle name="Normal 9 3 3" xfId="13549" xr:uid="{00000000-0005-0000-0000-0000E1340000}"/>
    <cellStyle name="Normal 9 3 3 2" xfId="13550" xr:uid="{00000000-0005-0000-0000-0000E2340000}"/>
    <cellStyle name="Normal 9 3 3 3" xfId="13551" xr:uid="{00000000-0005-0000-0000-0000E3340000}"/>
    <cellStyle name="Normal 9 3 3 4" xfId="13552" xr:uid="{00000000-0005-0000-0000-0000E4340000}"/>
    <cellStyle name="Normal 9 3 3 5" xfId="13553" xr:uid="{00000000-0005-0000-0000-0000E5340000}"/>
    <cellStyle name="Normal 9 3 4" xfId="13554" xr:uid="{00000000-0005-0000-0000-0000E6340000}"/>
    <cellStyle name="Normal 9 3 5" xfId="13555" xr:uid="{00000000-0005-0000-0000-0000E7340000}"/>
    <cellStyle name="Normal 9 3 6" xfId="13556" xr:uid="{00000000-0005-0000-0000-0000E8340000}"/>
    <cellStyle name="Normal 9 3 7" xfId="13557" xr:uid="{00000000-0005-0000-0000-0000E9340000}"/>
    <cellStyle name="Normal 9 4" xfId="13558" xr:uid="{00000000-0005-0000-0000-0000EA340000}"/>
    <cellStyle name="Normal 9 4 2" xfId="13559" xr:uid="{00000000-0005-0000-0000-0000EB340000}"/>
    <cellStyle name="Normal 9 4 2 2" xfId="13560" xr:uid="{00000000-0005-0000-0000-0000EC340000}"/>
    <cellStyle name="Normal 9 4 2 2 2" xfId="13561" xr:uid="{00000000-0005-0000-0000-0000ED340000}"/>
    <cellStyle name="Normal 9 4 2 2 3" xfId="13562" xr:uid="{00000000-0005-0000-0000-0000EE340000}"/>
    <cellStyle name="Normal 9 4 2 2 4" xfId="13563" xr:uid="{00000000-0005-0000-0000-0000EF340000}"/>
    <cellStyle name="Normal 9 4 2 2 5" xfId="13564" xr:uid="{00000000-0005-0000-0000-0000F0340000}"/>
    <cellStyle name="Normal 9 4 2 3" xfId="13565" xr:uid="{00000000-0005-0000-0000-0000F1340000}"/>
    <cellStyle name="Normal 9 4 2 4" xfId="13566" xr:uid="{00000000-0005-0000-0000-0000F2340000}"/>
    <cellStyle name="Normal 9 4 2 5" xfId="13567" xr:uid="{00000000-0005-0000-0000-0000F3340000}"/>
    <cellStyle name="Normal 9 4 2 6" xfId="13568" xr:uid="{00000000-0005-0000-0000-0000F4340000}"/>
    <cellStyle name="Normal 9 4 3" xfId="13569" xr:uid="{00000000-0005-0000-0000-0000F5340000}"/>
    <cellStyle name="Normal 9 4 3 2" xfId="13570" xr:uid="{00000000-0005-0000-0000-0000F6340000}"/>
    <cellStyle name="Normal 9 4 3 3" xfId="13571" xr:uid="{00000000-0005-0000-0000-0000F7340000}"/>
    <cellStyle name="Normal 9 4 3 4" xfId="13572" xr:uid="{00000000-0005-0000-0000-0000F8340000}"/>
    <cellStyle name="Normal 9 4 3 5" xfId="13573" xr:uid="{00000000-0005-0000-0000-0000F9340000}"/>
    <cellStyle name="Normal 9 4 4" xfId="13574" xr:uid="{00000000-0005-0000-0000-0000FA340000}"/>
    <cellStyle name="Normal 9 4 5" xfId="13575" xr:uid="{00000000-0005-0000-0000-0000FB340000}"/>
    <cellStyle name="Normal 9 4 6" xfId="13576" xr:uid="{00000000-0005-0000-0000-0000FC340000}"/>
    <cellStyle name="Normal 9 4 7" xfId="13577" xr:uid="{00000000-0005-0000-0000-0000FD340000}"/>
    <cellStyle name="Normal 9 5" xfId="13578" xr:uid="{00000000-0005-0000-0000-0000FE340000}"/>
    <cellStyle name="Normal 9 5 2" xfId="13579" xr:uid="{00000000-0005-0000-0000-0000FF340000}"/>
    <cellStyle name="Normal 9 5 2 2" xfId="13580" xr:uid="{00000000-0005-0000-0000-000000350000}"/>
    <cellStyle name="Normal 9 5 2 3" xfId="13581" xr:uid="{00000000-0005-0000-0000-000001350000}"/>
    <cellStyle name="Normal 9 5 2 4" xfId="13582" xr:uid="{00000000-0005-0000-0000-000002350000}"/>
    <cellStyle name="Normal 9 5 2 5" xfId="13583" xr:uid="{00000000-0005-0000-0000-000003350000}"/>
    <cellStyle name="Normal 9 5 3" xfId="13584" xr:uid="{00000000-0005-0000-0000-000004350000}"/>
    <cellStyle name="Normal 9 5 4" xfId="13585" xr:uid="{00000000-0005-0000-0000-000005350000}"/>
    <cellStyle name="Normal 9 5 5" xfId="13586" xr:uid="{00000000-0005-0000-0000-000006350000}"/>
    <cellStyle name="Normal 9 5 6" xfId="13587" xr:uid="{00000000-0005-0000-0000-000007350000}"/>
    <cellStyle name="Normal 9 6" xfId="13588" xr:uid="{00000000-0005-0000-0000-000008350000}"/>
    <cellStyle name="Normal 9 6 2" xfId="13589" xr:uid="{00000000-0005-0000-0000-000009350000}"/>
    <cellStyle name="Normal 9 6 3" xfId="13590" xr:uid="{00000000-0005-0000-0000-00000A350000}"/>
    <cellStyle name="Normal 9 6 4" xfId="13591" xr:uid="{00000000-0005-0000-0000-00000B350000}"/>
    <cellStyle name="Normal 9 6 5" xfId="13592" xr:uid="{00000000-0005-0000-0000-00000C350000}"/>
    <cellStyle name="Normal 9_HRT O&amp;G" xfId="13593" xr:uid="{00000000-0005-0000-0000-00000D350000}"/>
    <cellStyle name="Normal Bold" xfId="13594" xr:uid="{00000000-0005-0000-0000-00000E350000}"/>
    <cellStyle name="Normal I" xfId="13595" xr:uid="{00000000-0005-0000-0000-00000F350000}"/>
    <cellStyle name="Normal II" xfId="13596" xr:uid="{00000000-0005-0000-0000-000010350000}"/>
    <cellStyle name="Normal II a" xfId="13597" xr:uid="{00000000-0005-0000-0000-000011350000}"/>
    <cellStyle name="Normal II_HRT O&amp;G" xfId="13598" xr:uid="{00000000-0005-0000-0000-000012350000}"/>
    <cellStyle name="Normal Pct" xfId="13599" xr:uid="{00000000-0005-0000-0000-000013350000}"/>
    <cellStyle name="Normal--_HRT O&amp;G" xfId="13600" xr:uid="{00000000-0005-0000-0000-000014350000}"/>
    <cellStyle name="Normal2" xfId="13601" xr:uid="{00000000-0005-0000-0000-000015350000}"/>
    <cellStyle name="NormalBold" xfId="13602" xr:uid="{00000000-0005-0000-0000-000016350000}"/>
    <cellStyle name="Normale_ cellular Costs" xfId="13603" xr:uid="{00000000-0005-0000-0000-000017350000}"/>
    <cellStyle name="NormalGB" xfId="13604" xr:uid="{00000000-0005-0000-0000-000018350000}"/>
    <cellStyle name="NormalHelv" xfId="13605" xr:uid="{00000000-0005-0000-0000-000019350000}"/>
    <cellStyle name="NormalMultiple" xfId="13606" xr:uid="{00000000-0005-0000-0000-00001A350000}"/>
    <cellStyle name="Normalny_56.Podstawowe dane o woj.(1)" xfId="13607" xr:uid="{00000000-0005-0000-0000-00001B350000}"/>
    <cellStyle name="NormalX" xfId="13608" xr:uid="{00000000-0005-0000-0000-00001C350000}"/>
    <cellStyle name="NormalxShadow" xfId="13609" xr:uid="{00000000-0005-0000-0000-00001D350000}"/>
    <cellStyle name="Nota" xfId="15" builtinId="10" customBuiltin="1"/>
    <cellStyle name="Nota 10" xfId="13610" xr:uid="{00000000-0005-0000-0000-00001F350000}"/>
    <cellStyle name="Nota 11" xfId="13611" xr:uid="{00000000-0005-0000-0000-000020350000}"/>
    <cellStyle name="Nota 12" xfId="13612" xr:uid="{00000000-0005-0000-0000-000021350000}"/>
    <cellStyle name="Nota 13" xfId="13613" xr:uid="{00000000-0005-0000-0000-000022350000}"/>
    <cellStyle name="Nota 14" xfId="13614" xr:uid="{00000000-0005-0000-0000-000023350000}"/>
    <cellStyle name="Nota 15" xfId="13615" xr:uid="{00000000-0005-0000-0000-000024350000}"/>
    <cellStyle name="Nota 16" xfId="13616" xr:uid="{00000000-0005-0000-0000-000025350000}"/>
    <cellStyle name="Nota 17" xfId="13617" xr:uid="{00000000-0005-0000-0000-000026350000}"/>
    <cellStyle name="Nota 18" xfId="13618" xr:uid="{00000000-0005-0000-0000-000027350000}"/>
    <cellStyle name="Nota 19" xfId="13619" xr:uid="{00000000-0005-0000-0000-000028350000}"/>
    <cellStyle name="Nota 2" xfId="13620" xr:uid="{00000000-0005-0000-0000-000029350000}"/>
    <cellStyle name="Nota 2 10" xfId="13621" xr:uid="{00000000-0005-0000-0000-00002A350000}"/>
    <cellStyle name="Nota 2 2" xfId="13622" xr:uid="{00000000-0005-0000-0000-00002B350000}"/>
    <cellStyle name="Nota 2 2 2" xfId="13623" xr:uid="{00000000-0005-0000-0000-00002C350000}"/>
    <cellStyle name="Nota 2 2 2 2" xfId="13624" xr:uid="{00000000-0005-0000-0000-00002D350000}"/>
    <cellStyle name="Nota 2 2 2 2 2" xfId="13625" xr:uid="{00000000-0005-0000-0000-00002E350000}"/>
    <cellStyle name="Nota 2 2 2 2 2 2" xfId="13626" xr:uid="{00000000-0005-0000-0000-00002F350000}"/>
    <cellStyle name="Nota 2 2 2 2 3" xfId="13627" xr:uid="{00000000-0005-0000-0000-000030350000}"/>
    <cellStyle name="Nota 2 2 2 3" xfId="13628" xr:uid="{00000000-0005-0000-0000-000031350000}"/>
    <cellStyle name="Nota 2 2 2 3 2" xfId="13629" xr:uid="{00000000-0005-0000-0000-000032350000}"/>
    <cellStyle name="Nota 2 2 2 4" xfId="13630" xr:uid="{00000000-0005-0000-0000-000033350000}"/>
    <cellStyle name="Nota 2 2 3" xfId="13631" xr:uid="{00000000-0005-0000-0000-000034350000}"/>
    <cellStyle name="Nota 2 2 3 2" xfId="13632" xr:uid="{00000000-0005-0000-0000-000035350000}"/>
    <cellStyle name="Nota 2 2 3 2 2" xfId="13633" xr:uid="{00000000-0005-0000-0000-000036350000}"/>
    <cellStyle name="Nota 2 2 3 3" xfId="13634" xr:uid="{00000000-0005-0000-0000-000037350000}"/>
    <cellStyle name="Nota 2 2 4" xfId="13635" xr:uid="{00000000-0005-0000-0000-000038350000}"/>
    <cellStyle name="Nota 2 2 4 2" xfId="13636" xr:uid="{00000000-0005-0000-0000-000039350000}"/>
    <cellStyle name="Nota 2 2 5" xfId="13637" xr:uid="{00000000-0005-0000-0000-00003A350000}"/>
    <cellStyle name="Nota 2 3" xfId="13638" xr:uid="{00000000-0005-0000-0000-00003B350000}"/>
    <cellStyle name="Nota 2 3 2" xfId="13639" xr:uid="{00000000-0005-0000-0000-00003C350000}"/>
    <cellStyle name="Nota 2 3 2 2" xfId="13640" xr:uid="{00000000-0005-0000-0000-00003D350000}"/>
    <cellStyle name="Nota 2 3 2 2 2" xfId="13641" xr:uid="{00000000-0005-0000-0000-00003E350000}"/>
    <cellStyle name="Nota 2 3 2 2 2 2" xfId="13642" xr:uid="{00000000-0005-0000-0000-00003F350000}"/>
    <cellStyle name="Nota 2 3 2 2 3" xfId="13643" xr:uid="{00000000-0005-0000-0000-000040350000}"/>
    <cellStyle name="Nota 2 3 2 3" xfId="13644" xr:uid="{00000000-0005-0000-0000-000041350000}"/>
    <cellStyle name="Nota 2 3 2 3 2" xfId="13645" xr:uid="{00000000-0005-0000-0000-000042350000}"/>
    <cellStyle name="Nota 2 3 2 4" xfId="13646" xr:uid="{00000000-0005-0000-0000-000043350000}"/>
    <cellStyle name="Nota 2 3 3" xfId="13647" xr:uid="{00000000-0005-0000-0000-000044350000}"/>
    <cellStyle name="Nota 2 3 3 2" xfId="13648" xr:uid="{00000000-0005-0000-0000-000045350000}"/>
    <cellStyle name="Nota 2 3 3 2 2" xfId="13649" xr:uid="{00000000-0005-0000-0000-000046350000}"/>
    <cellStyle name="Nota 2 3 3 3" xfId="13650" xr:uid="{00000000-0005-0000-0000-000047350000}"/>
    <cellStyle name="Nota 2 3 4" xfId="13651" xr:uid="{00000000-0005-0000-0000-000048350000}"/>
    <cellStyle name="Nota 2 3 4 2" xfId="13652" xr:uid="{00000000-0005-0000-0000-000049350000}"/>
    <cellStyle name="Nota 2 3 5" xfId="13653" xr:uid="{00000000-0005-0000-0000-00004A350000}"/>
    <cellStyle name="Nota 2 4" xfId="13654" xr:uid="{00000000-0005-0000-0000-00004B350000}"/>
    <cellStyle name="Nota 2 4 2" xfId="13655" xr:uid="{00000000-0005-0000-0000-00004C350000}"/>
    <cellStyle name="Nota 2 4 2 2" xfId="13656" xr:uid="{00000000-0005-0000-0000-00004D350000}"/>
    <cellStyle name="Nota 2 4 2 2 2" xfId="13657" xr:uid="{00000000-0005-0000-0000-00004E350000}"/>
    <cellStyle name="Nota 2 4 2 2 2 2" xfId="13658" xr:uid="{00000000-0005-0000-0000-00004F350000}"/>
    <cellStyle name="Nota 2 4 2 2 3" xfId="13659" xr:uid="{00000000-0005-0000-0000-000050350000}"/>
    <cellStyle name="Nota 2 4 2 3" xfId="13660" xr:uid="{00000000-0005-0000-0000-000051350000}"/>
    <cellStyle name="Nota 2 4 2 3 2" xfId="13661" xr:uid="{00000000-0005-0000-0000-000052350000}"/>
    <cellStyle name="Nota 2 4 2 4" xfId="13662" xr:uid="{00000000-0005-0000-0000-000053350000}"/>
    <cellStyle name="Nota 2 4 3" xfId="13663" xr:uid="{00000000-0005-0000-0000-000054350000}"/>
    <cellStyle name="Nota 2 4 3 2" xfId="13664" xr:uid="{00000000-0005-0000-0000-000055350000}"/>
    <cellStyle name="Nota 2 4 3 2 2" xfId="13665" xr:uid="{00000000-0005-0000-0000-000056350000}"/>
    <cellStyle name="Nota 2 4 3 3" xfId="13666" xr:uid="{00000000-0005-0000-0000-000057350000}"/>
    <cellStyle name="Nota 2 4 4" xfId="13667" xr:uid="{00000000-0005-0000-0000-000058350000}"/>
    <cellStyle name="Nota 2 4 4 2" xfId="13668" xr:uid="{00000000-0005-0000-0000-000059350000}"/>
    <cellStyle name="Nota 2 4 5" xfId="13669" xr:uid="{00000000-0005-0000-0000-00005A350000}"/>
    <cellStyle name="Nota 2 5" xfId="13670" xr:uid="{00000000-0005-0000-0000-00005B350000}"/>
    <cellStyle name="Nota 2 5 2" xfId="13671" xr:uid="{00000000-0005-0000-0000-00005C350000}"/>
    <cellStyle name="Nota 2 5 2 2" xfId="13672" xr:uid="{00000000-0005-0000-0000-00005D350000}"/>
    <cellStyle name="Nota 2 5 2 2 2" xfId="13673" xr:uid="{00000000-0005-0000-0000-00005E350000}"/>
    <cellStyle name="Nota 2 5 2 2 2 2" xfId="13674" xr:uid="{00000000-0005-0000-0000-00005F350000}"/>
    <cellStyle name="Nota 2 5 2 2 3" xfId="13675" xr:uid="{00000000-0005-0000-0000-000060350000}"/>
    <cellStyle name="Nota 2 5 2 3" xfId="13676" xr:uid="{00000000-0005-0000-0000-000061350000}"/>
    <cellStyle name="Nota 2 5 2 3 2" xfId="13677" xr:uid="{00000000-0005-0000-0000-000062350000}"/>
    <cellStyle name="Nota 2 5 2 4" xfId="13678" xr:uid="{00000000-0005-0000-0000-000063350000}"/>
    <cellStyle name="Nota 2 5 3" xfId="13679" xr:uid="{00000000-0005-0000-0000-000064350000}"/>
    <cellStyle name="Nota 2 5 3 2" xfId="13680" xr:uid="{00000000-0005-0000-0000-000065350000}"/>
    <cellStyle name="Nota 2 5 3 2 2" xfId="13681" xr:uid="{00000000-0005-0000-0000-000066350000}"/>
    <cellStyle name="Nota 2 5 3 3" xfId="13682" xr:uid="{00000000-0005-0000-0000-000067350000}"/>
    <cellStyle name="Nota 2 5 4" xfId="13683" xr:uid="{00000000-0005-0000-0000-000068350000}"/>
    <cellStyle name="Nota 2 5 4 2" xfId="13684" xr:uid="{00000000-0005-0000-0000-000069350000}"/>
    <cellStyle name="Nota 2 5 5" xfId="13685" xr:uid="{00000000-0005-0000-0000-00006A350000}"/>
    <cellStyle name="Nota 2 6" xfId="13686" xr:uid="{00000000-0005-0000-0000-00006B350000}"/>
    <cellStyle name="Nota 2 6 2" xfId="13687" xr:uid="{00000000-0005-0000-0000-00006C350000}"/>
    <cellStyle name="Nota 2 6 2 2" xfId="13688" xr:uid="{00000000-0005-0000-0000-00006D350000}"/>
    <cellStyle name="Nota 2 6 2 2 2" xfId="13689" xr:uid="{00000000-0005-0000-0000-00006E350000}"/>
    <cellStyle name="Nota 2 6 2 2 2 2" xfId="13690" xr:uid="{00000000-0005-0000-0000-00006F350000}"/>
    <cellStyle name="Nota 2 6 2 2 3" xfId="13691" xr:uid="{00000000-0005-0000-0000-000070350000}"/>
    <cellStyle name="Nota 2 6 2 3" xfId="13692" xr:uid="{00000000-0005-0000-0000-000071350000}"/>
    <cellStyle name="Nota 2 6 2 3 2" xfId="13693" xr:uid="{00000000-0005-0000-0000-000072350000}"/>
    <cellStyle name="Nota 2 6 2 4" xfId="13694" xr:uid="{00000000-0005-0000-0000-000073350000}"/>
    <cellStyle name="Nota 2 6 3" xfId="13695" xr:uid="{00000000-0005-0000-0000-000074350000}"/>
    <cellStyle name="Nota 2 6 3 2" xfId="13696" xr:uid="{00000000-0005-0000-0000-000075350000}"/>
    <cellStyle name="Nota 2 6 3 2 2" xfId="13697" xr:uid="{00000000-0005-0000-0000-000076350000}"/>
    <cellStyle name="Nota 2 6 3 3" xfId="13698" xr:uid="{00000000-0005-0000-0000-000077350000}"/>
    <cellStyle name="Nota 2 6 4" xfId="13699" xr:uid="{00000000-0005-0000-0000-000078350000}"/>
    <cellStyle name="Nota 2 6 4 2" xfId="13700" xr:uid="{00000000-0005-0000-0000-000079350000}"/>
    <cellStyle name="Nota 2 6 5" xfId="13701" xr:uid="{00000000-0005-0000-0000-00007A350000}"/>
    <cellStyle name="Nota 2 7" xfId="13702" xr:uid="{00000000-0005-0000-0000-00007B350000}"/>
    <cellStyle name="Nota 2 7 2" xfId="13703" xr:uid="{00000000-0005-0000-0000-00007C350000}"/>
    <cellStyle name="Nota 2 7 2 2" xfId="13704" xr:uid="{00000000-0005-0000-0000-00007D350000}"/>
    <cellStyle name="Nota 2 7 2 2 2" xfId="13705" xr:uid="{00000000-0005-0000-0000-00007E350000}"/>
    <cellStyle name="Nota 2 7 2 3" xfId="13706" xr:uid="{00000000-0005-0000-0000-00007F350000}"/>
    <cellStyle name="Nota 2 7 3" xfId="13707" xr:uid="{00000000-0005-0000-0000-000080350000}"/>
    <cellStyle name="Nota 2 7 3 2" xfId="13708" xr:uid="{00000000-0005-0000-0000-000081350000}"/>
    <cellStyle name="Nota 2 7 4" xfId="13709" xr:uid="{00000000-0005-0000-0000-000082350000}"/>
    <cellStyle name="Nota 2 8" xfId="13710" xr:uid="{00000000-0005-0000-0000-000083350000}"/>
    <cellStyle name="Nota 2 8 2" xfId="13711" xr:uid="{00000000-0005-0000-0000-000084350000}"/>
    <cellStyle name="Nota 2 8 2 2" xfId="13712" xr:uid="{00000000-0005-0000-0000-000085350000}"/>
    <cellStyle name="Nota 2 8 3" xfId="13713" xr:uid="{00000000-0005-0000-0000-000086350000}"/>
    <cellStyle name="Nota 2 9" xfId="13714" xr:uid="{00000000-0005-0000-0000-000087350000}"/>
    <cellStyle name="Nota 2 9 2" xfId="13715" xr:uid="{00000000-0005-0000-0000-000088350000}"/>
    <cellStyle name="Nota 20" xfId="13716" xr:uid="{00000000-0005-0000-0000-000089350000}"/>
    <cellStyle name="Nota 21" xfId="13717" xr:uid="{00000000-0005-0000-0000-00008A350000}"/>
    <cellStyle name="Nota 22" xfId="13718" xr:uid="{00000000-0005-0000-0000-00008B350000}"/>
    <cellStyle name="Nota 23" xfId="13719" xr:uid="{00000000-0005-0000-0000-00008C350000}"/>
    <cellStyle name="Nota 24" xfId="13720" xr:uid="{00000000-0005-0000-0000-00008D350000}"/>
    <cellStyle name="Nota 25" xfId="13721" xr:uid="{00000000-0005-0000-0000-00008E350000}"/>
    <cellStyle name="Nota 26" xfId="13722" xr:uid="{00000000-0005-0000-0000-00008F350000}"/>
    <cellStyle name="Nota 27" xfId="13723" xr:uid="{00000000-0005-0000-0000-000090350000}"/>
    <cellStyle name="Nota 28" xfId="13724" xr:uid="{00000000-0005-0000-0000-000091350000}"/>
    <cellStyle name="Nota 29" xfId="13725" xr:uid="{00000000-0005-0000-0000-000092350000}"/>
    <cellStyle name="Nota 3" xfId="13726" xr:uid="{00000000-0005-0000-0000-000093350000}"/>
    <cellStyle name="Nota 30" xfId="13727" xr:uid="{00000000-0005-0000-0000-000094350000}"/>
    <cellStyle name="Nota 31" xfId="13728" xr:uid="{00000000-0005-0000-0000-000095350000}"/>
    <cellStyle name="Nota 32" xfId="13729" xr:uid="{00000000-0005-0000-0000-000096350000}"/>
    <cellStyle name="Nota 33" xfId="13730" xr:uid="{00000000-0005-0000-0000-000097350000}"/>
    <cellStyle name="Nota 34" xfId="13731" xr:uid="{00000000-0005-0000-0000-000098350000}"/>
    <cellStyle name="Nota 35" xfId="13732" xr:uid="{00000000-0005-0000-0000-000099350000}"/>
    <cellStyle name="Nota 36" xfId="13733" xr:uid="{00000000-0005-0000-0000-00009A350000}"/>
    <cellStyle name="Nota 37" xfId="13734" xr:uid="{00000000-0005-0000-0000-00009B350000}"/>
    <cellStyle name="Nota 38" xfId="13735" xr:uid="{00000000-0005-0000-0000-00009C350000}"/>
    <cellStyle name="Nota 39" xfId="13736" xr:uid="{00000000-0005-0000-0000-00009D350000}"/>
    <cellStyle name="Nota 4" xfId="13737" xr:uid="{00000000-0005-0000-0000-00009E350000}"/>
    <cellStyle name="Nota 40" xfId="13738" xr:uid="{00000000-0005-0000-0000-00009F350000}"/>
    <cellStyle name="Nota 5" xfId="13739" xr:uid="{00000000-0005-0000-0000-0000A0350000}"/>
    <cellStyle name="Nota 6" xfId="13740" xr:uid="{00000000-0005-0000-0000-0000A1350000}"/>
    <cellStyle name="Nota 7" xfId="13741" xr:uid="{00000000-0005-0000-0000-0000A2350000}"/>
    <cellStyle name="Nota 8" xfId="13742" xr:uid="{00000000-0005-0000-0000-0000A3350000}"/>
    <cellStyle name="Nota 9" xfId="13743" xr:uid="{00000000-0005-0000-0000-0000A4350000}"/>
    <cellStyle name="Note" xfId="13744" xr:uid="{00000000-0005-0000-0000-0000A5350000}"/>
    <cellStyle name="Note 2" xfId="13745" xr:uid="{00000000-0005-0000-0000-0000A6350000}"/>
    <cellStyle name="Note 2 2" xfId="13746" xr:uid="{00000000-0005-0000-0000-0000A7350000}"/>
    <cellStyle name="NPPESalesPct" xfId="13747" xr:uid="{00000000-0005-0000-0000-0000A8350000}"/>
    <cellStyle name="Num0Un" xfId="13748" xr:uid="{00000000-0005-0000-0000-0000A9350000}"/>
    <cellStyle name="Num1" xfId="13749" xr:uid="{00000000-0005-0000-0000-0000AA350000}"/>
    <cellStyle name="Num1Blue" xfId="13750" xr:uid="{00000000-0005-0000-0000-0000AB350000}"/>
    <cellStyle name="Num2" xfId="13751" xr:uid="{00000000-0005-0000-0000-0000AC350000}"/>
    <cellStyle name="Num2Un" xfId="13752" xr:uid="{00000000-0005-0000-0000-0000AD350000}"/>
    <cellStyle name="Number" xfId="13753" xr:uid="{00000000-0005-0000-0000-0000AE350000}"/>
    <cellStyle name="Number 10" xfId="13754" xr:uid="{00000000-0005-0000-0000-0000AF350000}"/>
    <cellStyle name="Number 2" xfId="13755" xr:uid="{00000000-0005-0000-0000-0000B0350000}"/>
    <cellStyle name="Number 2 2" xfId="13756" xr:uid="{00000000-0005-0000-0000-0000B1350000}"/>
    <cellStyle name="Number 2 2 2" xfId="13757" xr:uid="{00000000-0005-0000-0000-0000B2350000}"/>
    <cellStyle name="Number 2 2 2 2" xfId="13758" xr:uid="{00000000-0005-0000-0000-0000B3350000}"/>
    <cellStyle name="Number 2 2 2 2 2" xfId="13759" xr:uid="{00000000-0005-0000-0000-0000B4350000}"/>
    <cellStyle name="Number 2 2 2 2 3" xfId="13760" xr:uid="{00000000-0005-0000-0000-0000B5350000}"/>
    <cellStyle name="Number 2 2 2 3" xfId="13761" xr:uid="{00000000-0005-0000-0000-0000B6350000}"/>
    <cellStyle name="Number 2 2 2 4" xfId="13762" xr:uid="{00000000-0005-0000-0000-0000B7350000}"/>
    <cellStyle name="Number 2 2 3" xfId="13763" xr:uid="{00000000-0005-0000-0000-0000B8350000}"/>
    <cellStyle name="Number 2 2 3 2" xfId="13764" xr:uid="{00000000-0005-0000-0000-0000B9350000}"/>
    <cellStyle name="Number 2 2 3 3" xfId="13765" xr:uid="{00000000-0005-0000-0000-0000BA350000}"/>
    <cellStyle name="Number 2 2 4" xfId="13766" xr:uid="{00000000-0005-0000-0000-0000BB350000}"/>
    <cellStyle name="Number 2 2 5" xfId="13767" xr:uid="{00000000-0005-0000-0000-0000BC350000}"/>
    <cellStyle name="Number 2 3" xfId="13768" xr:uid="{00000000-0005-0000-0000-0000BD350000}"/>
    <cellStyle name="Number 2 3 2" xfId="13769" xr:uid="{00000000-0005-0000-0000-0000BE350000}"/>
    <cellStyle name="Number 2 3 2 2" xfId="13770" xr:uid="{00000000-0005-0000-0000-0000BF350000}"/>
    <cellStyle name="Number 2 3 2 2 2" xfId="13771" xr:uid="{00000000-0005-0000-0000-0000C0350000}"/>
    <cellStyle name="Number 2 3 2 2 3" xfId="13772" xr:uid="{00000000-0005-0000-0000-0000C1350000}"/>
    <cellStyle name="Number 2 3 2 3" xfId="13773" xr:uid="{00000000-0005-0000-0000-0000C2350000}"/>
    <cellStyle name="Number 2 3 2 4" xfId="13774" xr:uid="{00000000-0005-0000-0000-0000C3350000}"/>
    <cellStyle name="Number 2 3 3" xfId="13775" xr:uid="{00000000-0005-0000-0000-0000C4350000}"/>
    <cellStyle name="Number 2 3 3 2" xfId="13776" xr:uid="{00000000-0005-0000-0000-0000C5350000}"/>
    <cellStyle name="Number 2 3 3 3" xfId="13777" xr:uid="{00000000-0005-0000-0000-0000C6350000}"/>
    <cellStyle name="Number 2 3 4" xfId="13778" xr:uid="{00000000-0005-0000-0000-0000C7350000}"/>
    <cellStyle name="Number 2 3 5" xfId="13779" xr:uid="{00000000-0005-0000-0000-0000C8350000}"/>
    <cellStyle name="Number 2 4" xfId="13780" xr:uid="{00000000-0005-0000-0000-0000C9350000}"/>
    <cellStyle name="Number 2 4 2" xfId="13781" xr:uid="{00000000-0005-0000-0000-0000CA350000}"/>
    <cellStyle name="Number 2 4 2 2" xfId="13782" xr:uid="{00000000-0005-0000-0000-0000CB350000}"/>
    <cellStyle name="Number 2 4 2 2 2" xfId="13783" xr:uid="{00000000-0005-0000-0000-0000CC350000}"/>
    <cellStyle name="Number 2 4 2 2 3" xfId="13784" xr:uid="{00000000-0005-0000-0000-0000CD350000}"/>
    <cellStyle name="Number 2 4 2 3" xfId="13785" xr:uid="{00000000-0005-0000-0000-0000CE350000}"/>
    <cellStyle name="Number 2 4 2 4" xfId="13786" xr:uid="{00000000-0005-0000-0000-0000CF350000}"/>
    <cellStyle name="Number 2 4 3" xfId="13787" xr:uid="{00000000-0005-0000-0000-0000D0350000}"/>
    <cellStyle name="Number 2 4 3 2" xfId="13788" xr:uid="{00000000-0005-0000-0000-0000D1350000}"/>
    <cellStyle name="Number 2 4 3 3" xfId="13789" xr:uid="{00000000-0005-0000-0000-0000D2350000}"/>
    <cellStyle name="Number 2 4 4" xfId="13790" xr:uid="{00000000-0005-0000-0000-0000D3350000}"/>
    <cellStyle name="Number 2 4 5" xfId="13791" xr:uid="{00000000-0005-0000-0000-0000D4350000}"/>
    <cellStyle name="Number 2 5" xfId="13792" xr:uid="{00000000-0005-0000-0000-0000D5350000}"/>
    <cellStyle name="Number 2 5 2" xfId="13793" xr:uid="{00000000-0005-0000-0000-0000D6350000}"/>
    <cellStyle name="Number 2 5 2 2" xfId="13794" xr:uid="{00000000-0005-0000-0000-0000D7350000}"/>
    <cellStyle name="Number 2 5 2 2 2" xfId="13795" xr:uid="{00000000-0005-0000-0000-0000D8350000}"/>
    <cellStyle name="Number 2 5 2 2 3" xfId="13796" xr:uid="{00000000-0005-0000-0000-0000D9350000}"/>
    <cellStyle name="Number 2 5 2 3" xfId="13797" xr:uid="{00000000-0005-0000-0000-0000DA350000}"/>
    <cellStyle name="Number 2 5 2 4" xfId="13798" xr:uid="{00000000-0005-0000-0000-0000DB350000}"/>
    <cellStyle name="Number 2 5 3" xfId="13799" xr:uid="{00000000-0005-0000-0000-0000DC350000}"/>
    <cellStyle name="Number 2 5 3 2" xfId="13800" xr:uid="{00000000-0005-0000-0000-0000DD350000}"/>
    <cellStyle name="Number 2 5 3 3" xfId="13801" xr:uid="{00000000-0005-0000-0000-0000DE350000}"/>
    <cellStyle name="Number 2 5 4" xfId="13802" xr:uid="{00000000-0005-0000-0000-0000DF350000}"/>
    <cellStyle name="Number 2 5 5" xfId="13803" xr:uid="{00000000-0005-0000-0000-0000E0350000}"/>
    <cellStyle name="Number 2 6" xfId="13804" xr:uid="{00000000-0005-0000-0000-0000E1350000}"/>
    <cellStyle name="Number 2 6 2" xfId="13805" xr:uid="{00000000-0005-0000-0000-0000E2350000}"/>
    <cellStyle name="Number 2 6 2 2" xfId="13806" xr:uid="{00000000-0005-0000-0000-0000E3350000}"/>
    <cellStyle name="Number 2 6 2 2 2" xfId="13807" xr:uid="{00000000-0005-0000-0000-0000E4350000}"/>
    <cellStyle name="Number 2 6 2 2 3" xfId="13808" xr:uid="{00000000-0005-0000-0000-0000E5350000}"/>
    <cellStyle name="Number 2 6 2 3" xfId="13809" xr:uid="{00000000-0005-0000-0000-0000E6350000}"/>
    <cellStyle name="Number 2 6 2 4" xfId="13810" xr:uid="{00000000-0005-0000-0000-0000E7350000}"/>
    <cellStyle name="Number 2 6 3" xfId="13811" xr:uid="{00000000-0005-0000-0000-0000E8350000}"/>
    <cellStyle name="Number 2 6 3 2" xfId="13812" xr:uid="{00000000-0005-0000-0000-0000E9350000}"/>
    <cellStyle name="Number 2 6 3 3" xfId="13813" xr:uid="{00000000-0005-0000-0000-0000EA350000}"/>
    <cellStyle name="Number 2 6 4" xfId="13814" xr:uid="{00000000-0005-0000-0000-0000EB350000}"/>
    <cellStyle name="Number 2 6 5" xfId="13815" xr:uid="{00000000-0005-0000-0000-0000EC350000}"/>
    <cellStyle name="Number 2 7" xfId="13816" xr:uid="{00000000-0005-0000-0000-0000ED350000}"/>
    <cellStyle name="Number 2 7 2" xfId="13817" xr:uid="{00000000-0005-0000-0000-0000EE350000}"/>
    <cellStyle name="Number 2 7 3" xfId="13818" xr:uid="{00000000-0005-0000-0000-0000EF350000}"/>
    <cellStyle name="Number 2 8" xfId="13819" xr:uid="{00000000-0005-0000-0000-0000F0350000}"/>
    <cellStyle name="Number 2 9" xfId="13820" xr:uid="{00000000-0005-0000-0000-0000F1350000}"/>
    <cellStyle name="Number 3" xfId="13821" xr:uid="{00000000-0005-0000-0000-0000F2350000}"/>
    <cellStyle name="Number 3 2" xfId="13822" xr:uid="{00000000-0005-0000-0000-0000F3350000}"/>
    <cellStyle name="Number 3 2 2" xfId="13823" xr:uid="{00000000-0005-0000-0000-0000F4350000}"/>
    <cellStyle name="Number 3 2 2 2" xfId="13824" xr:uid="{00000000-0005-0000-0000-0000F5350000}"/>
    <cellStyle name="Number 3 2 2 3" xfId="13825" xr:uid="{00000000-0005-0000-0000-0000F6350000}"/>
    <cellStyle name="Number 3 2 3" xfId="13826" xr:uid="{00000000-0005-0000-0000-0000F7350000}"/>
    <cellStyle name="Number 3 2 4" xfId="13827" xr:uid="{00000000-0005-0000-0000-0000F8350000}"/>
    <cellStyle name="Number 3 3" xfId="13828" xr:uid="{00000000-0005-0000-0000-0000F9350000}"/>
    <cellStyle name="Number 3 3 2" xfId="13829" xr:uid="{00000000-0005-0000-0000-0000FA350000}"/>
    <cellStyle name="Number 3 3 3" xfId="13830" xr:uid="{00000000-0005-0000-0000-0000FB350000}"/>
    <cellStyle name="Number 3 4" xfId="13831" xr:uid="{00000000-0005-0000-0000-0000FC350000}"/>
    <cellStyle name="Number 3 5" xfId="13832" xr:uid="{00000000-0005-0000-0000-0000FD350000}"/>
    <cellStyle name="Number 4" xfId="13833" xr:uid="{00000000-0005-0000-0000-0000FE350000}"/>
    <cellStyle name="Number 4 2" xfId="13834" xr:uid="{00000000-0005-0000-0000-0000FF350000}"/>
    <cellStyle name="Number 4 2 2" xfId="13835" xr:uid="{00000000-0005-0000-0000-000000360000}"/>
    <cellStyle name="Number 4 2 2 2" xfId="13836" xr:uid="{00000000-0005-0000-0000-000001360000}"/>
    <cellStyle name="Number 4 2 2 3" xfId="13837" xr:uid="{00000000-0005-0000-0000-000002360000}"/>
    <cellStyle name="Number 4 2 3" xfId="13838" xr:uid="{00000000-0005-0000-0000-000003360000}"/>
    <cellStyle name="Number 4 2 4" xfId="13839" xr:uid="{00000000-0005-0000-0000-000004360000}"/>
    <cellStyle name="Number 4 3" xfId="13840" xr:uid="{00000000-0005-0000-0000-000005360000}"/>
    <cellStyle name="Number 4 3 2" xfId="13841" xr:uid="{00000000-0005-0000-0000-000006360000}"/>
    <cellStyle name="Number 4 3 3" xfId="13842" xr:uid="{00000000-0005-0000-0000-000007360000}"/>
    <cellStyle name="Number 4 4" xfId="13843" xr:uid="{00000000-0005-0000-0000-000008360000}"/>
    <cellStyle name="Number 4 5" xfId="13844" xr:uid="{00000000-0005-0000-0000-000009360000}"/>
    <cellStyle name="Number 5" xfId="13845" xr:uid="{00000000-0005-0000-0000-00000A360000}"/>
    <cellStyle name="Number 5 2" xfId="13846" xr:uid="{00000000-0005-0000-0000-00000B360000}"/>
    <cellStyle name="Number 5 2 2" xfId="13847" xr:uid="{00000000-0005-0000-0000-00000C360000}"/>
    <cellStyle name="Number 5 2 2 2" xfId="13848" xr:uid="{00000000-0005-0000-0000-00000D360000}"/>
    <cellStyle name="Number 5 2 2 3" xfId="13849" xr:uid="{00000000-0005-0000-0000-00000E360000}"/>
    <cellStyle name="Number 5 2 3" xfId="13850" xr:uid="{00000000-0005-0000-0000-00000F360000}"/>
    <cellStyle name="Number 5 2 4" xfId="13851" xr:uid="{00000000-0005-0000-0000-000010360000}"/>
    <cellStyle name="Number 5 3" xfId="13852" xr:uid="{00000000-0005-0000-0000-000011360000}"/>
    <cellStyle name="Number 5 3 2" xfId="13853" xr:uid="{00000000-0005-0000-0000-000012360000}"/>
    <cellStyle name="Number 5 3 3" xfId="13854" xr:uid="{00000000-0005-0000-0000-000013360000}"/>
    <cellStyle name="Number 5 4" xfId="13855" xr:uid="{00000000-0005-0000-0000-000014360000}"/>
    <cellStyle name="Number 5 5" xfId="13856" xr:uid="{00000000-0005-0000-0000-000015360000}"/>
    <cellStyle name="Number 6" xfId="13857" xr:uid="{00000000-0005-0000-0000-000016360000}"/>
    <cellStyle name="Number 6 2" xfId="13858" xr:uid="{00000000-0005-0000-0000-000017360000}"/>
    <cellStyle name="Number 6 2 2" xfId="13859" xr:uid="{00000000-0005-0000-0000-000018360000}"/>
    <cellStyle name="Number 6 2 2 2" xfId="13860" xr:uid="{00000000-0005-0000-0000-000019360000}"/>
    <cellStyle name="Number 6 2 2 3" xfId="13861" xr:uid="{00000000-0005-0000-0000-00001A360000}"/>
    <cellStyle name="Number 6 2 3" xfId="13862" xr:uid="{00000000-0005-0000-0000-00001B360000}"/>
    <cellStyle name="Number 6 2 4" xfId="13863" xr:uid="{00000000-0005-0000-0000-00001C360000}"/>
    <cellStyle name="Number 6 3" xfId="13864" xr:uid="{00000000-0005-0000-0000-00001D360000}"/>
    <cellStyle name="Number 6 3 2" xfId="13865" xr:uid="{00000000-0005-0000-0000-00001E360000}"/>
    <cellStyle name="Number 6 3 3" xfId="13866" xr:uid="{00000000-0005-0000-0000-00001F360000}"/>
    <cellStyle name="Number 6 4" xfId="13867" xr:uid="{00000000-0005-0000-0000-000020360000}"/>
    <cellStyle name="Number 6 5" xfId="13868" xr:uid="{00000000-0005-0000-0000-000021360000}"/>
    <cellStyle name="Number 7" xfId="13869" xr:uid="{00000000-0005-0000-0000-000022360000}"/>
    <cellStyle name="Number 7 2" xfId="13870" xr:uid="{00000000-0005-0000-0000-000023360000}"/>
    <cellStyle name="Number 7 2 2" xfId="13871" xr:uid="{00000000-0005-0000-0000-000024360000}"/>
    <cellStyle name="Number 7 2 2 2" xfId="13872" xr:uid="{00000000-0005-0000-0000-000025360000}"/>
    <cellStyle name="Number 7 2 2 3" xfId="13873" xr:uid="{00000000-0005-0000-0000-000026360000}"/>
    <cellStyle name="Number 7 2 3" xfId="13874" xr:uid="{00000000-0005-0000-0000-000027360000}"/>
    <cellStyle name="Number 7 2 4" xfId="13875" xr:uid="{00000000-0005-0000-0000-000028360000}"/>
    <cellStyle name="Number 7 3" xfId="13876" xr:uid="{00000000-0005-0000-0000-000029360000}"/>
    <cellStyle name="Number 7 3 2" xfId="13877" xr:uid="{00000000-0005-0000-0000-00002A360000}"/>
    <cellStyle name="Number 7 3 3" xfId="13878" xr:uid="{00000000-0005-0000-0000-00002B360000}"/>
    <cellStyle name="Number 7 4" xfId="13879" xr:uid="{00000000-0005-0000-0000-00002C360000}"/>
    <cellStyle name="Number 7 5" xfId="13880" xr:uid="{00000000-0005-0000-0000-00002D360000}"/>
    <cellStyle name="Number 8" xfId="13881" xr:uid="{00000000-0005-0000-0000-00002E360000}"/>
    <cellStyle name="Number 8 2" xfId="13882" xr:uid="{00000000-0005-0000-0000-00002F360000}"/>
    <cellStyle name="Number 8 3" xfId="13883" xr:uid="{00000000-0005-0000-0000-000030360000}"/>
    <cellStyle name="Number 9" xfId="13884" xr:uid="{00000000-0005-0000-0000-000031360000}"/>
    <cellStyle name="Numbers" xfId="13885" xr:uid="{00000000-0005-0000-0000-000032360000}"/>
    <cellStyle name="Numbers - Bold" xfId="13886" xr:uid="{00000000-0005-0000-0000-000033360000}"/>
    <cellStyle name="Numbers - Bold - Italic" xfId="13887" xr:uid="{00000000-0005-0000-0000-000034360000}"/>
    <cellStyle name="Numbers - Bold_6079BX" xfId="13888" xr:uid="{00000000-0005-0000-0000-000035360000}"/>
    <cellStyle name="Numbers - Large" xfId="13889" xr:uid="{00000000-0005-0000-0000-000036360000}"/>
    <cellStyle name="Numbers_6079BX" xfId="13890" xr:uid="{00000000-0005-0000-0000-000037360000}"/>
    <cellStyle name="NWI%S" xfId="13891" xr:uid="{00000000-0005-0000-0000-000038360000}"/>
    <cellStyle name="Obsolete" xfId="13892" xr:uid="{00000000-0005-0000-0000-000039360000}"/>
    <cellStyle name="Œ…‹æØ‚è [0.00]_!!!GO" xfId="13893" xr:uid="{00000000-0005-0000-0000-00003A360000}"/>
    <cellStyle name="Œ…‹æØ‚è_!!!GO" xfId="13894" xr:uid="{00000000-0005-0000-0000-00003B360000}"/>
    <cellStyle name="-Ombrage Jaune" xfId="13895" xr:uid="{00000000-0005-0000-0000-00003C360000}"/>
    <cellStyle name="Out_1%" xfId="13896" xr:uid="{00000000-0005-0000-0000-00003D360000}"/>
    <cellStyle name="Output 2" xfId="13897" xr:uid="{00000000-0005-0000-0000-00003E360000}"/>
    <cellStyle name="Output 2 2" xfId="13898" xr:uid="{00000000-0005-0000-0000-00003F360000}"/>
    <cellStyle name="Output Amounts" xfId="13899" xr:uid="{00000000-0005-0000-0000-000040360000}"/>
    <cellStyle name="Output Column Headings" xfId="13900" xr:uid="{00000000-0005-0000-0000-000041360000}"/>
    <cellStyle name="Output Line Items" xfId="13901" xr:uid="{00000000-0005-0000-0000-000042360000}"/>
    <cellStyle name="Output Report Heading" xfId="13902" xr:uid="{00000000-0005-0000-0000-000043360000}"/>
    <cellStyle name="Output Report Title" xfId="13903" xr:uid="{00000000-0005-0000-0000-000044360000}"/>
    <cellStyle name="Output_Comma" xfId="13904" xr:uid="{00000000-0005-0000-0000-000045360000}"/>
    <cellStyle name="P&amp;L Numbers" xfId="13905" xr:uid="{00000000-0005-0000-0000-000046360000}"/>
    <cellStyle name="Package_numbers" xfId="13906" xr:uid="{00000000-0005-0000-0000-000047360000}"/>
    <cellStyle name="Page Heading" xfId="13907" xr:uid="{00000000-0005-0000-0000-000048360000}"/>
    <cellStyle name="Page Heading Large" xfId="13908" xr:uid="{00000000-0005-0000-0000-000049360000}"/>
    <cellStyle name="Page Heading Small" xfId="13909" xr:uid="{00000000-0005-0000-0000-00004A360000}"/>
    <cellStyle name="Page Heading_HRT O&amp;G" xfId="13910" xr:uid="{00000000-0005-0000-0000-00004B360000}"/>
    <cellStyle name="Page Number" xfId="13911" xr:uid="{00000000-0005-0000-0000-00004C360000}"/>
    <cellStyle name="Palatino" xfId="13912" xr:uid="{00000000-0005-0000-0000-00004D360000}"/>
    <cellStyle name="parité" xfId="13913" xr:uid="{00000000-0005-0000-0000-00004E360000}"/>
    <cellStyle name="PB Table Heading" xfId="13914" xr:uid="{00000000-0005-0000-0000-00004F360000}"/>
    <cellStyle name="PB Table Heading 2" xfId="13915" xr:uid="{00000000-0005-0000-0000-000050360000}"/>
    <cellStyle name="PB Table Heading 2 2" xfId="13916" xr:uid="{00000000-0005-0000-0000-000051360000}"/>
    <cellStyle name="PB Table Highlight1" xfId="13917" xr:uid="{00000000-0005-0000-0000-000052360000}"/>
    <cellStyle name="PB Table Highlight2" xfId="13918" xr:uid="{00000000-0005-0000-0000-000053360000}"/>
    <cellStyle name="PB Table Highlight2 2" xfId="13919" xr:uid="{00000000-0005-0000-0000-000054360000}"/>
    <cellStyle name="PB Table Highlight2 2 2" xfId="13920" xr:uid="{00000000-0005-0000-0000-000055360000}"/>
    <cellStyle name="PB Table Highlight2 2 2 2" xfId="13921" xr:uid="{00000000-0005-0000-0000-000056360000}"/>
    <cellStyle name="PB Table Highlight2 2 2 2 2" xfId="13922" xr:uid="{00000000-0005-0000-0000-000057360000}"/>
    <cellStyle name="PB Table Highlight2 2 2 3" xfId="13923" xr:uid="{00000000-0005-0000-0000-000058360000}"/>
    <cellStyle name="PB Table Highlight2 2 3" xfId="13924" xr:uid="{00000000-0005-0000-0000-000059360000}"/>
    <cellStyle name="PB Table Highlight2 2 3 2" xfId="13925" xr:uid="{00000000-0005-0000-0000-00005A360000}"/>
    <cellStyle name="PB Table Highlight2 2 4" xfId="13926" xr:uid="{00000000-0005-0000-0000-00005B360000}"/>
    <cellStyle name="PB Table Highlight2 3" xfId="13927" xr:uid="{00000000-0005-0000-0000-00005C360000}"/>
    <cellStyle name="PB Table Highlight2 3 2" xfId="13928" xr:uid="{00000000-0005-0000-0000-00005D360000}"/>
    <cellStyle name="PB Table Highlight2 3 2 2" xfId="13929" xr:uid="{00000000-0005-0000-0000-00005E360000}"/>
    <cellStyle name="PB Table Highlight2 3 3" xfId="13930" xr:uid="{00000000-0005-0000-0000-00005F360000}"/>
    <cellStyle name="PB Table Highlight2 4" xfId="13931" xr:uid="{00000000-0005-0000-0000-000060360000}"/>
    <cellStyle name="PB Table Highlight2 4 2" xfId="13932" xr:uid="{00000000-0005-0000-0000-000061360000}"/>
    <cellStyle name="PB Table Highlight2 5" xfId="13933" xr:uid="{00000000-0005-0000-0000-000062360000}"/>
    <cellStyle name="PB Table Highlight3" xfId="13934" xr:uid="{00000000-0005-0000-0000-000063360000}"/>
    <cellStyle name="PB Table Highlight3 2" xfId="13935" xr:uid="{00000000-0005-0000-0000-000064360000}"/>
    <cellStyle name="PB Table Highlight3 2 2" xfId="13936" xr:uid="{00000000-0005-0000-0000-000065360000}"/>
    <cellStyle name="PB Table Highlight3 2 2 2" xfId="13937" xr:uid="{00000000-0005-0000-0000-000066360000}"/>
    <cellStyle name="PB Table Highlight3 2 2 2 2" xfId="13938" xr:uid="{00000000-0005-0000-0000-000067360000}"/>
    <cellStyle name="PB Table Highlight3 2 2 3" xfId="13939" xr:uid="{00000000-0005-0000-0000-000068360000}"/>
    <cellStyle name="PB Table Highlight3 2 3" xfId="13940" xr:uid="{00000000-0005-0000-0000-000069360000}"/>
    <cellStyle name="PB Table Highlight3 2 3 2" xfId="13941" xr:uid="{00000000-0005-0000-0000-00006A360000}"/>
    <cellStyle name="PB Table Highlight3 2 4" xfId="13942" xr:uid="{00000000-0005-0000-0000-00006B360000}"/>
    <cellStyle name="PB Table Highlight3 3" xfId="13943" xr:uid="{00000000-0005-0000-0000-00006C360000}"/>
    <cellStyle name="PB Table Highlight3 3 2" xfId="13944" xr:uid="{00000000-0005-0000-0000-00006D360000}"/>
    <cellStyle name="PB Table Highlight3 3 2 2" xfId="13945" xr:uid="{00000000-0005-0000-0000-00006E360000}"/>
    <cellStyle name="PB Table Highlight3 3 3" xfId="13946" xr:uid="{00000000-0005-0000-0000-00006F360000}"/>
    <cellStyle name="PB Table Highlight3 4" xfId="13947" xr:uid="{00000000-0005-0000-0000-000070360000}"/>
    <cellStyle name="PB Table Highlight3 4 2" xfId="13948" xr:uid="{00000000-0005-0000-0000-000071360000}"/>
    <cellStyle name="PB Table Highlight3 5" xfId="13949" xr:uid="{00000000-0005-0000-0000-000072360000}"/>
    <cellStyle name="PB Table Standard Row" xfId="13950" xr:uid="{00000000-0005-0000-0000-000073360000}"/>
    <cellStyle name="PB Table Standard Row 10" xfId="13951" xr:uid="{00000000-0005-0000-0000-000074360000}"/>
    <cellStyle name="PB Table Standard Row 11" xfId="13952" xr:uid="{00000000-0005-0000-0000-000075360000}"/>
    <cellStyle name="PB Table Standard Row 12" xfId="13953" xr:uid="{00000000-0005-0000-0000-000076360000}"/>
    <cellStyle name="PB Table Standard Row 13" xfId="13954" xr:uid="{00000000-0005-0000-0000-000077360000}"/>
    <cellStyle name="PB Table Standard Row 14" xfId="13955" xr:uid="{00000000-0005-0000-0000-000078360000}"/>
    <cellStyle name="PB Table Standard Row 15" xfId="13956" xr:uid="{00000000-0005-0000-0000-000079360000}"/>
    <cellStyle name="PB Table Standard Row 16" xfId="13957" xr:uid="{00000000-0005-0000-0000-00007A360000}"/>
    <cellStyle name="PB Table Standard Row 17" xfId="13958" xr:uid="{00000000-0005-0000-0000-00007B360000}"/>
    <cellStyle name="PB Table Standard Row 18" xfId="13959" xr:uid="{00000000-0005-0000-0000-00007C360000}"/>
    <cellStyle name="PB Table Standard Row 19" xfId="13960" xr:uid="{00000000-0005-0000-0000-00007D360000}"/>
    <cellStyle name="PB Table Standard Row 2" xfId="13961" xr:uid="{00000000-0005-0000-0000-00007E360000}"/>
    <cellStyle name="PB Table Standard Row 2 10" xfId="13962" xr:uid="{00000000-0005-0000-0000-00007F360000}"/>
    <cellStyle name="PB Table Standard Row 2 11" xfId="13963" xr:uid="{00000000-0005-0000-0000-000080360000}"/>
    <cellStyle name="PB Table Standard Row 2 2" xfId="13964" xr:uid="{00000000-0005-0000-0000-000081360000}"/>
    <cellStyle name="PB Table Standard Row 2 2 2" xfId="13965" xr:uid="{00000000-0005-0000-0000-000082360000}"/>
    <cellStyle name="PB Table Standard Row 2 2 3" xfId="13966" xr:uid="{00000000-0005-0000-0000-000083360000}"/>
    <cellStyle name="PB Table Standard Row 2 2 4" xfId="13967" xr:uid="{00000000-0005-0000-0000-000084360000}"/>
    <cellStyle name="PB Table Standard Row 2 2 5" xfId="13968" xr:uid="{00000000-0005-0000-0000-000085360000}"/>
    <cellStyle name="PB Table Standard Row 2 2 6" xfId="13969" xr:uid="{00000000-0005-0000-0000-000086360000}"/>
    <cellStyle name="PB Table Standard Row 2 2 7" xfId="13970" xr:uid="{00000000-0005-0000-0000-000087360000}"/>
    <cellStyle name="PB Table Standard Row 2 2 8" xfId="13971" xr:uid="{00000000-0005-0000-0000-000088360000}"/>
    <cellStyle name="PB Table Standard Row 2 2 9" xfId="13972" xr:uid="{00000000-0005-0000-0000-000089360000}"/>
    <cellStyle name="PB Table Standard Row 2 3" xfId="13973" xr:uid="{00000000-0005-0000-0000-00008A360000}"/>
    <cellStyle name="PB Table Standard Row 2 3 2" xfId="13974" xr:uid="{00000000-0005-0000-0000-00008B360000}"/>
    <cellStyle name="PB Table Standard Row 2 3 3" xfId="13975" xr:uid="{00000000-0005-0000-0000-00008C360000}"/>
    <cellStyle name="PB Table Standard Row 2 3 4" xfId="13976" xr:uid="{00000000-0005-0000-0000-00008D360000}"/>
    <cellStyle name="PB Table Standard Row 2 3 5" xfId="13977" xr:uid="{00000000-0005-0000-0000-00008E360000}"/>
    <cellStyle name="PB Table Standard Row 2 3 6" xfId="13978" xr:uid="{00000000-0005-0000-0000-00008F360000}"/>
    <cellStyle name="PB Table Standard Row 2 3 7" xfId="13979" xr:uid="{00000000-0005-0000-0000-000090360000}"/>
    <cellStyle name="PB Table Standard Row 2 3 8" xfId="13980" xr:uid="{00000000-0005-0000-0000-000091360000}"/>
    <cellStyle name="PB Table Standard Row 2 3 9" xfId="13981" xr:uid="{00000000-0005-0000-0000-000092360000}"/>
    <cellStyle name="PB Table Standard Row 2 4" xfId="13982" xr:uid="{00000000-0005-0000-0000-000093360000}"/>
    <cellStyle name="PB Table Standard Row 2 5" xfId="13983" xr:uid="{00000000-0005-0000-0000-000094360000}"/>
    <cellStyle name="PB Table Standard Row 2 6" xfId="13984" xr:uid="{00000000-0005-0000-0000-000095360000}"/>
    <cellStyle name="PB Table Standard Row 2 7" xfId="13985" xr:uid="{00000000-0005-0000-0000-000096360000}"/>
    <cellStyle name="PB Table Standard Row 2 8" xfId="13986" xr:uid="{00000000-0005-0000-0000-000097360000}"/>
    <cellStyle name="PB Table Standard Row 2 9" xfId="13987" xr:uid="{00000000-0005-0000-0000-000098360000}"/>
    <cellStyle name="PB Table Standard Row 20" xfId="13988" xr:uid="{00000000-0005-0000-0000-000099360000}"/>
    <cellStyle name="PB Table Standard Row 3" xfId="13989" xr:uid="{00000000-0005-0000-0000-00009A360000}"/>
    <cellStyle name="PB Table Standard Row 3 2" xfId="13990" xr:uid="{00000000-0005-0000-0000-00009B360000}"/>
    <cellStyle name="PB Table Standard Row 3 2 2" xfId="13991" xr:uid="{00000000-0005-0000-0000-00009C360000}"/>
    <cellStyle name="PB Table Standard Row 3 3" xfId="13992" xr:uid="{00000000-0005-0000-0000-00009D360000}"/>
    <cellStyle name="PB Table Standard Row 3 3 2" xfId="13993" xr:uid="{00000000-0005-0000-0000-00009E360000}"/>
    <cellStyle name="PB Table Standard Row 3 4" xfId="13994" xr:uid="{00000000-0005-0000-0000-00009F360000}"/>
    <cellStyle name="PB Table Standard Row 3 5" xfId="13995" xr:uid="{00000000-0005-0000-0000-0000A0360000}"/>
    <cellStyle name="PB Table Standard Row 3 6" xfId="13996" xr:uid="{00000000-0005-0000-0000-0000A1360000}"/>
    <cellStyle name="PB Table Standard Row 3 7" xfId="13997" xr:uid="{00000000-0005-0000-0000-0000A2360000}"/>
    <cellStyle name="PB Table Standard Row 3 8" xfId="13998" xr:uid="{00000000-0005-0000-0000-0000A3360000}"/>
    <cellStyle name="PB Table Standard Row 3 9" xfId="13999" xr:uid="{00000000-0005-0000-0000-0000A4360000}"/>
    <cellStyle name="PB Table Standard Row 4" xfId="14000" xr:uid="{00000000-0005-0000-0000-0000A5360000}"/>
    <cellStyle name="PB Table Standard Row 4 2" xfId="14001" xr:uid="{00000000-0005-0000-0000-0000A6360000}"/>
    <cellStyle name="PB Table Standard Row 4 2 2" xfId="14002" xr:uid="{00000000-0005-0000-0000-0000A7360000}"/>
    <cellStyle name="PB Table Standard Row 4 3" xfId="14003" xr:uid="{00000000-0005-0000-0000-0000A8360000}"/>
    <cellStyle name="PB Table Standard Row 4 3 2" xfId="14004" xr:uid="{00000000-0005-0000-0000-0000A9360000}"/>
    <cellStyle name="PB Table Standard Row 4 4" xfId="14005" xr:uid="{00000000-0005-0000-0000-0000AA360000}"/>
    <cellStyle name="PB Table Standard Row 4 5" xfId="14006" xr:uid="{00000000-0005-0000-0000-0000AB360000}"/>
    <cellStyle name="PB Table Standard Row 4 6" xfId="14007" xr:uid="{00000000-0005-0000-0000-0000AC360000}"/>
    <cellStyle name="PB Table Standard Row 4 7" xfId="14008" xr:uid="{00000000-0005-0000-0000-0000AD360000}"/>
    <cellStyle name="PB Table Standard Row 4 8" xfId="14009" xr:uid="{00000000-0005-0000-0000-0000AE360000}"/>
    <cellStyle name="PB Table Standard Row 4 9" xfId="14010" xr:uid="{00000000-0005-0000-0000-0000AF360000}"/>
    <cellStyle name="PB Table Standard Row 5" xfId="14011" xr:uid="{00000000-0005-0000-0000-0000B0360000}"/>
    <cellStyle name="PB Table Standard Row 5 2" xfId="14012" xr:uid="{00000000-0005-0000-0000-0000B1360000}"/>
    <cellStyle name="PB Table Standard Row 5 2 2" xfId="14013" xr:uid="{00000000-0005-0000-0000-0000B2360000}"/>
    <cellStyle name="PB Table Standard Row 5 3" xfId="14014" xr:uid="{00000000-0005-0000-0000-0000B3360000}"/>
    <cellStyle name="PB Table Standard Row 5 3 2" xfId="14015" xr:uid="{00000000-0005-0000-0000-0000B4360000}"/>
    <cellStyle name="PB Table Standard Row 5 4" xfId="14016" xr:uid="{00000000-0005-0000-0000-0000B5360000}"/>
    <cellStyle name="PB Table Standard Row 5 5" xfId="14017" xr:uid="{00000000-0005-0000-0000-0000B6360000}"/>
    <cellStyle name="PB Table Standard Row 5 6" xfId="14018" xr:uid="{00000000-0005-0000-0000-0000B7360000}"/>
    <cellStyle name="PB Table Standard Row 5 7" xfId="14019" xr:uid="{00000000-0005-0000-0000-0000B8360000}"/>
    <cellStyle name="PB Table Standard Row 5 8" xfId="14020" xr:uid="{00000000-0005-0000-0000-0000B9360000}"/>
    <cellStyle name="PB Table Standard Row 5 9" xfId="14021" xr:uid="{00000000-0005-0000-0000-0000BA360000}"/>
    <cellStyle name="PB Table Standard Row 6" xfId="14022" xr:uid="{00000000-0005-0000-0000-0000BB360000}"/>
    <cellStyle name="PB Table Standard Row 6 2" xfId="14023" xr:uid="{00000000-0005-0000-0000-0000BC360000}"/>
    <cellStyle name="PB Table Standard Row 6 2 2" xfId="14024" xr:uid="{00000000-0005-0000-0000-0000BD360000}"/>
    <cellStyle name="PB Table Standard Row 6 3" xfId="14025" xr:uid="{00000000-0005-0000-0000-0000BE360000}"/>
    <cellStyle name="PB Table Standard Row 6 3 2" xfId="14026" xr:uid="{00000000-0005-0000-0000-0000BF360000}"/>
    <cellStyle name="PB Table Standard Row 6 4" xfId="14027" xr:uid="{00000000-0005-0000-0000-0000C0360000}"/>
    <cellStyle name="PB Table Standard Row 7" xfId="14028" xr:uid="{00000000-0005-0000-0000-0000C1360000}"/>
    <cellStyle name="PB Table Standard Row 7 2" xfId="14029" xr:uid="{00000000-0005-0000-0000-0000C2360000}"/>
    <cellStyle name="PB Table Standard Row 7 2 2" xfId="14030" xr:uid="{00000000-0005-0000-0000-0000C3360000}"/>
    <cellStyle name="PB Table Standard Row 7 3" xfId="14031" xr:uid="{00000000-0005-0000-0000-0000C4360000}"/>
    <cellStyle name="PB Table Standard Row 7 3 2" xfId="14032" xr:uid="{00000000-0005-0000-0000-0000C5360000}"/>
    <cellStyle name="PB Table Standard Row 7 4" xfId="14033" xr:uid="{00000000-0005-0000-0000-0000C6360000}"/>
    <cellStyle name="PB Table Standard Row 8" xfId="14034" xr:uid="{00000000-0005-0000-0000-0000C7360000}"/>
    <cellStyle name="PB Table Standard Row 9" xfId="14035" xr:uid="{00000000-0005-0000-0000-0000C8360000}"/>
    <cellStyle name="PB Table Subtotal Row" xfId="14036" xr:uid="{00000000-0005-0000-0000-0000C9360000}"/>
    <cellStyle name="PB Table Total Row" xfId="14037" xr:uid="{00000000-0005-0000-0000-0000CA360000}"/>
    <cellStyle name="pb_page_heading_LS" xfId="14038" xr:uid="{00000000-0005-0000-0000-0000CB360000}"/>
    <cellStyle name="pc1" xfId="14039" xr:uid="{00000000-0005-0000-0000-0000CC360000}"/>
    <cellStyle name="pcent" xfId="14040" xr:uid="{00000000-0005-0000-0000-0000CD360000}"/>
    <cellStyle name="pct_sub" xfId="14041" xr:uid="{00000000-0005-0000-0000-0000CE360000}"/>
    <cellStyle name="pe" xfId="14042" xr:uid="{00000000-0005-0000-0000-0000CF360000}"/>
    <cellStyle name="PE(1)" xfId="14043" xr:uid="{00000000-0005-0000-0000-0000D0360000}"/>
    <cellStyle name="pe_HRT O&amp;G" xfId="14044" xr:uid="{00000000-0005-0000-0000-0000D1360000}"/>
    <cellStyle name="PEG" xfId="14045" xr:uid="{00000000-0005-0000-0000-0000D2360000}"/>
    <cellStyle name="per.style" xfId="14046" xr:uid="{00000000-0005-0000-0000-0000D3360000}"/>
    <cellStyle name="Perc1" xfId="14047" xr:uid="{00000000-0005-0000-0000-0000D4360000}"/>
    <cellStyle name="Percent (0)" xfId="14048" xr:uid="{00000000-0005-0000-0000-0000D5360000}"/>
    <cellStyle name="Percent (M)" xfId="14049" xr:uid="{00000000-0005-0000-0000-0000D6360000}"/>
    <cellStyle name="Percent [.00%]" xfId="14050" xr:uid="{00000000-0005-0000-0000-0000D7360000}"/>
    <cellStyle name="Percent [0]" xfId="14051" xr:uid="{00000000-0005-0000-0000-0000D8360000}"/>
    <cellStyle name="Percent [00]" xfId="14052" xr:uid="{00000000-0005-0000-0000-0000D9360000}"/>
    <cellStyle name="Percent [1]" xfId="14053" xr:uid="{00000000-0005-0000-0000-0000DA360000}"/>
    <cellStyle name="Percent [1]--" xfId="14054" xr:uid="{00000000-0005-0000-0000-0000DB360000}"/>
    <cellStyle name="Percent [1] --" xfId="14055" xr:uid="{00000000-0005-0000-0000-0000DC360000}"/>
    <cellStyle name="Percent [1]-- 2" xfId="14056" xr:uid="{00000000-0005-0000-0000-0000DD360000}"/>
    <cellStyle name="Percent [1]-- 2 2" xfId="14057" xr:uid="{00000000-0005-0000-0000-0000DE360000}"/>
    <cellStyle name="Percent [1]-- 3" xfId="14058" xr:uid="{00000000-0005-0000-0000-0000DF360000}"/>
    <cellStyle name="Percent [1]-- 3 2" xfId="14059" xr:uid="{00000000-0005-0000-0000-0000E0360000}"/>
    <cellStyle name="Percent [1]-- 4" xfId="14060" xr:uid="{00000000-0005-0000-0000-0000E1360000}"/>
    <cellStyle name="Percent [1]-- 4 2" xfId="14061" xr:uid="{00000000-0005-0000-0000-0000E2360000}"/>
    <cellStyle name="Percent [1]-- 5" xfId="14062" xr:uid="{00000000-0005-0000-0000-0000E3360000}"/>
    <cellStyle name="Percent [1]-- 5 2" xfId="14063" xr:uid="{00000000-0005-0000-0000-0000E4360000}"/>
    <cellStyle name="Percent [1]_Ampla - FO.V1.5Betaxls" xfId="14064" xr:uid="{00000000-0005-0000-0000-0000E5360000}"/>
    <cellStyle name="Percent [1]--_HRT O&amp;G" xfId="14065" xr:uid="{00000000-0005-0000-0000-0000E6360000}"/>
    <cellStyle name="Percent [2]" xfId="14066" xr:uid="{00000000-0005-0000-0000-0000E7360000}"/>
    <cellStyle name="Percent [3]" xfId="14067" xr:uid="{00000000-0005-0000-0000-0000E8360000}"/>
    <cellStyle name="Percent [3]--" xfId="14068" xr:uid="{00000000-0005-0000-0000-0000E9360000}"/>
    <cellStyle name="Percent [3]_HRT O&amp;G" xfId="14069" xr:uid="{00000000-0005-0000-0000-0000EA360000}"/>
    <cellStyle name="Percent [3]--_HRT O&amp;G" xfId="14070" xr:uid="{00000000-0005-0000-0000-0000EB360000}"/>
    <cellStyle name="Percent 10" xfId="14071" xr:uid="{00000000-0005-0000-0000-0000EC360000}"/>
    <cellStyle name="Percent 11" xfId="14072" xr:uid="{00000000-0005-0000-0000-0000ED360000}"/>
    <cellStyle name="Percent 12" xfId="14073" xr:uid="{00000000-0005-0000-0000-0000EE360000}"/>
    <cellStyle name="Percent 13" xfId="14074" xr:uid="{00000000-0005-0000-0000-0000EF360000}"/>
    <cellStyle name="Percent 14" xfId="14075" xr:uid="{00000000-0005-0000-0000-0000F0360000}"/>
    <cellStyle name="Percent 15" xfId="14076" xr:uid="{00000000-0005-0000-0000-0000F1360000}"/>
    <cellStyle name="Percent 16" xfId="14077" xr:uid="{00000000-0005-0000-0000-0000F2360000}"/>
    <cellStyle name="Percent 17" xfId="14078" xr:uid="{00000000-0005-0000-0000-0000F3360000}"/>
    <cellStyle name="Percent 18" xfId="14079" xr:uid="{00000000-0005-0000-0000-0000F4360000}"/>
    <cellStyle name="Percent 19" xfId="14080" xr:uid="{00000000-0005-0000-0000-0000F5360000}"/>
    <cellStyle name="Percent 2" xfId="14081" xr:uid="{00000000-0005-0000-0000-0000F6360000}"/>
    <cellStyle name="Percent 2 2" xfId="14082" xr:uid="{00000000-0005-0000-0000-0000F7360000}"/>
    <cellStyle name="Percent 20" xfId="14083" xr:uid="{00000000-0005-0000-0000-0000F8360000}"/>
    <cellStyle name="Percent 21" xfId="14084" xr:uid="{00000000-0005-0000-0000-0000F9360000}"/>
    <cellStyle name="Percent 22" xfId="14085" xr:uid="{00000000-0005-0000-0000-0000FA360000}"/>
    <cellStyle name="Percent 23" xfId="14086" xr:uid="{00000000-0005-0000-0000-0000FB360000}"/>
    <cellStyle name="Percent 24" xfId="14087" xr:uid="{00000000-0005-0000-0000-0000FC360000}"/>
    <cellStyle name="Percent 3" xfId="14088" xr:uid="{00000000-0005-0000-0000-0000FD360000}"/>
    <cellStyle name="Percent 3 2" xfId="14089" xr:uid="{00000000-0005-0000-0000-0000FE360000}"/>
    <cellStyle name="Percent 3 2 2" xfId="14090" xr:uid="{00000000-0005-0000-0000-0000FF360000}"/>
    <cellStyle name="Percent 3 3" xfId="14091" xr:uid="{00000000-0005-0000-0000-000000370000}"/>
    <cellStyle name="Percent 4" xfId="14092" xr:uid="{00000000-0005-0000-0000-000001370000}"/>
    <cellStyle name="Percent 4 2" xfId="14093" xr:uid="{00000000-0005-0000-0000-000002370000}"/>
    <cellStyle name="Percent 5" xfId="14094" xr:uid="{00000000-0005-0000-0000-000003370000}"/>
    <cellStyle name="Percent 5 2" xfId="14095" xr:uid="{00000000-0005-0000-0000-000004370000}"/>
    <cellStyle name="Percent 6" xfId="14096" xr:uid="{00000000-0005-0000-0000-000005370000}"/>
    <cellStyle name="Percent 7" xfId="14097" xr:uid="{00000000-0005-0000-0000-000006370000}"/>
    <cellStyle name="Percent 8" xfId="14098" xr:uid="{00000000-0005-0000-0000-000007370000}"/>
    <cellStyle name="Percent 9" xfId="14099" xr:uid="{00000000-0005-0000-0000-000008370000}"/>
    <cellStyle name="Percent Comma" xfId="14100" xr:uid="{00000000-0005-0000-0000-000009370000}"/>
    <cellStyle name="Percent Hard" xfId="14101" xr:uid="{00000000-0005-0000-0000-00000A370000}"/>
    <cellStyle name="Percent input" xfId="14102" xr:uid="{00000000-0005-0000-0000-00000B370000}"/>
    <cellStyle name="Percent input 10" xfId="14103" xr:uid="{00000000-0005-0000-0000-00000C370000}"/>
    <cellStyle name="Percent input 2" xfId="14104" xr:uid="{00000000-0005-0000-0000-00000D370000}"/>
    <cellStyle name="Percent input 2 2" xfId="14105" xr:uid="{00000000-0005-0000-0000-00000E370000}"/>
    <cellStyle name="Percent input 2 2 2" xfId="14106" xr:uid="{00000000-0005-0000-0000-00000F370000}"/>
    <cellStyle name="Percent input 2 2 2 2" xfId="14107" xr:uid="{00000000-0005-0000-0000-000010370000}"/>
    <cellStyle name="Percent input 2 2 2 2 2" xfId="14108" xr:uid="{00000000-0005-0000-0000-000011370000}"/>
    <cellStyle name="Percent input 2 2 2 3" xfId="14109" xr:uid="{00000000-0005-0000-0000-000012370000}"/>
    <cellStyle name="Percent input 2 2 3" xfId="14110" xr:uid="{00000000-0005-0000-0000-000013370000}"/>
    <cellStyle name="Percent input 2 2 3 2" xfId="14111" xr:uid="{00000000-0005-0000-0000-000014370000}"/>
    <cellStyle name="Percent input 2 2 4" xfId="14112" xr:uid="{00000000-0005-0000-0000-000015370000}"/>
    <cellStyle name="Percent input 2 3" xfId="14113" xr:uid="{00000000-0005-0000-0000-000016370000}"/>
    <cellStyle name="Percent input 2 3 2" xfId="14114" xr:uid="{00000000-0005-0000-0000-000017370000}"/>
    <cellStyle name="Percent input 2 3 2 2" xfId="14115" xr:uid="{00000000-0005-0000-0000-000018370000}"/>
    <cellStyle name="Percent input 2 3 3" xfId="14116" xr:uid="{00000000-0005-0000-0000-000019370000}"/>
    <cellStyle name="Percent input 2 4" xfId="14117" xr:uid="{00000000-0005-0000-0000-00001A370000}"/>
    <cellStyle name="Percent input 2 4 2" xfId="14118" xr:uid="{00000000-0005-0000-0000-00001B370000}"/>
    <cellStyle name="Percent input 2 5" xfId="14119" xr:uid="{00000000-0005-0000-0000-00001C370000}"/>
    <cellStyle name="Percent input 3" xfId="14120" xr:uid="{00000000-0005-0000-0000-00001D370000}"/>
    <cellStyle name="Percent input 3 2" xfId="14121" xr:uid="{00000000-0005-0000-0000-00001E370000}"/>
    <cellStyle name="Percent input 3 2 2" xfId="14122" xr:uid="{00000000-0005-0000-0000-00001F370000}"/>
    <cellStyle name="Percent input 3 2 2 2" xfId="14123" xr:uid="{00000000-0005-0000-0000-000020370000}"/>
    <cellStyle name="Percent input 3 2 2 2 2" xfId="14124" xr:uid="{00000000-0005-0000-0000-000021370000}"/>
    <cellStyle name="Percent input 3 2 2 3" xfId="14125" xr:uid="{00000000-0005-0000-0000-000022370000}"/>
    <cellStyle name="Percent input 3 2 3" xfId="14126" xr:uid="{00000000-0005-0000-0000-000023370000}"/>
    <cellStyle name="Percent input 3 2 3 2" xfId="14127" xr:uid="{00000000-0005-0000-0000-000024370000}"/>
    <cellStyle name="Percent input 3 2 4" xfId="14128" xr:uid="{00000000-0005-0000-0000-000025370000}"/>
    <cellStyle name="Percent input 3 3" xfId="14129" xr:uid="{00000000-0005-0000-0000-000026370000}"/>
    <cellStyle name="Percent input 3 3 2" xfId="14130" xr:uid="{00000000-0005-0000-0000-000027370000}"/>
    <cellStyle name="Percent input 3 3 2 2" xfId="14131" xr:uid="{00000000-0005-0000-0000-000028370000}"/>
    <cellStyle name="Percent input 3 3 3" xfId="14132" xr:uid="{00000000-0005-0000-0000-000029370000}"/>
    <cellStyle name="Percent input 3 4" xfId="14133" xr:uid="{00000000-0005-0000-0000-00002A370000}"/>
    <cellStyle name="Percent input 3 4 2" xfId="14134" xr:uid="{00000000-0005-0000-0000-00002B370000}"/>
    <cellStyle name="Percent input 3 5" xfId="14135" xr:uid="{00000000-0005-0000-0000-00002C370000}"/>
    <cellStyle name="Percent input 4" xfId="14136" xr:uid="{00000000-0005-0000-0000-00002D370000}"/>
    <cellStyle name="Percent input 4 2" xfId="14137" xr:uid="{00000000-0005-0000-0000-00002E370000}"/>
    <cellStyle name="Percent input 4 2 2" xfId="14138" xr:uid="{00000000-0005-0000-0000-00002F370000}"/>
    <cellStyle name="Percent input 4 2 2 2" xfId="14139" xr:uid="{00000000-0005-0000-0000-000030370000}"/>
    <cellStyle name="Percent input 4 2 2 2 2" xfId="14140" xr:uid="{00000000-0005-0000-0000-000031370000}"/>
    <cellStyle name="Percent input 4 2 2 3" xfId="14141" xr:uid="{00000000-0005-0000-0000-000032370000}"/>
    <cellStyle name="Percent input 4 2 3" xfId="14142" xr:uid="{00000000-0005-0000-0000-000033370000}"/>
    <cellStyle name="Percent input 4 2 3 2" xfId="14143" xr:uid="{00000000-0005-0000-0000-000034370000}"/>
    <cellStyle name="Percent input 4 2 4" xfId="14144" xr:uid="{00000000-0005-0000-0000-000035370000}"/>
    <cellStyle name="Percent input 4 3" xfId="14145" xr:uid="{00000000-0005-0000-0000-000036370000}"/>
    <cellStyle name="Percent input 4 3 2" xfId="14146" xr:uid="{00000000-0005-0000-0000-000037370000}"/>
    <cellStyle name="Percent input 4 3 2 2" xfId="14147" xr:uid="{00000000-0005-0000-0000-000038370000}"/>
    <cellStyle name="Percent input 4 3 3" xfId="14148" xr:uid="{00000000-0005-0000-0000-000039370000}"/>
    <cellStyle name="Percent input 4 4" xfId="14149" xr:uid="{00000000-0005-0000-0000-00003A370000}"/>
    <cellStyle name="Percent input 4 4 2" xfId="14150" xr:uid="{00000000-0005-0000-0000-00003B370000}"/>
    <cellStyle name="Percent input 4 5" xfId="14151" xr:uid="{00000000-0005-0000-0000-00003C370000}"/>
    <cellStyle name="Percent input 5" xfId="14152" xr:uid="{00000000-0005-0000-0000-00003D370000}"/>
    <cellStyle name="Percent input 5 2" xfId="14153" xr:uid="{00000000-0005-0000-0000-00003E370000}"/>
    <cellStyle name="Percent input 5 2 2" xfId="14154" xr:uid="{00000000-0005-0000-0000-00003F370000}"/>
    <cellStyle name="Percent input 5 2 2 2" xfId="14155" xr:uid="{00000000-0005-0000-0000-000040370000}"/>
    <cellStyle name="Percent input 5 2 2 2 2" xfId="14156" xr:uid="{00000000-0005-0000-0000-000041370000}"/>
    <cellStyle name="Percent input 5 2 2 3" xfId="14157" xr:uid="{00000000-0005-0000-0000-000042370000}"/>
    <cellStyle name="Percent input 5 2 3" xfId="14158" xr:uid="{00000000-0005-0000-0000-000043370000}"/>
    <cellStyle name="Percent input 5 2 3 2" xfId="14159" xr:uid="{00000000-0005-0000-0000-000044370000}"/>
    <cellStyle name="Percent input 5 2 4" xfId="14160" xr:uid="{00000000-0005-0000-0000-000045370000}"/>
    <cellStyle name="Percent input 5 3" xfId="14161" xr:uid="{00000000-0005-0000-0000-000046370000}"/>
    <cellStyle name="Percent input 5 3 2" xfId="14162" xr:uid="{00000000-0005-0000-0000-000047370000}"/>
    <cellStyle name="Percent input 5 3 2 2" xfId="14163" xr:uid="{00000000-0005-0000-0000-000048370000}"/>
    <cellStyle name="Percent input 5 3 3" xfId="14164" xr:uid="{00000000-0005-0000-0000-000049370000}"/>
    <cellStyle name="Percent input 5 4" xfId="14165" xr:uid="{00000000-0005-0000-0000-00004A370000}"/>
    <cellStyle name="Percent input 5 4 2" xfId="14166" xr:uid="{00000000-0005-0000-0000-00004B370000}"/>
    <cellStyle name="Percent input 5 5" xfId="14167" xr:uid="{00000000-0005-0000-0000-00004C370000}"/>
    <cellStyle name="Percent input 6" xfId="14168" xr:uid="{00000000-0005-0000-0000-00004D370000}"/>
    <cellStyle name="Percent input 6 2" xfId="14169" xr:uid="{00000000-0005-0000-0000-00004E370000}"/>
    <cellStyle name="Percent input 6 2 2" xfId="14170" xr:uid="{00000000-0005-0000-0000-00004F370000}"/>
    <cellStyle name="Percent input 6 2 2 2" xfId="14171" xr:uid="{00000000-0005-0000-0000-000050370000}"/>
    <cellStyle name="Percent input 6 2 2 2 2" xfId="14172" xr:uid="{00000000-0005-0000-0000-000051370000}"/>
    <cellStyle name="Percent input 6 2 2 3" xfId="14173" xr:uid="{00000000-0005-0000-0000-000052370000}"/>
    <cellStyle name="Percent input 6 2 3" xfId="14174" xr:uid="{00000000-0005-0000-0000-000053370000}"/>
    <cellStyle name="Percent input 6 2 3 2" xfId="14175" xr:uid="{00000000-0005-0000-0000-000054370000}"/>
    <cellStyle name="Percent input 6 2 4" xfId="14176" xr:uid="{00000000-0005-0000-0000-000055370000}"/>
    <cellStyle name="Percent input 6 3" xfId="14177" xr:uid="{00000000-0005-0000-0000-000056370000}"/>
    <cellStyle name="Percent input 6 3 2" xfId="14178" xr:uid="{00000000-0005-0000-0000-000057370000}"/>
    <cellStyle name="Percent input 6 3 2 2" xfId="14179" xr:uid="{00000000-0005-0000-0000-000058370000}"/>
    <cellStyle name="Percent input 6 3 3" xfId="14180" xr:uid="{00000000-0005-0000-0000-000059370000}"/>
    <cellStyle name="Percent input 6 4" xfId="14181" xr:uid="{00000000-0005-0000-0000-00005A370000}"/>
    <cellStyle name="Percent input 6 4 2" xfId="14182" xr:uid="{00000000-0005-0000-0000-00005B370000}"/>
    <cellStyle name="Percent input 6 5" xfId="14183" xr:uid="{00000000-0005-0000-0000-00005C370000}"/>
    <cellStyle name="Percent input 7" xfId="14184" xr:uid="{00000000-0005-0000-0000-00005D370000}"/>
    <cellStyle name="Percent input 7 2" xfId="14185" xr:uid="{00000000-0005-0000-0000-00005E370000}"/>
    <cellStyle name="Percent input 7 2 2" xfId="14186" xr:uid="{00000000-0005-0000-0000-00005F370000}"/>
    <cellStyle name="Percent input 7 2 2 2" xfId="14187" xr:uid="{00000000-0005-0000-0000-000060370000}"/>
    <cellStyle name="Percent input 7 2 3" xfId="14188" xr:uid="{00000000-0005-0000-0000-000061370000}"/>
    <cellStyle name="Percent input 7 3" xfId="14189" xr:uid="{00000000-0005-0000-0000-000062370000}"/>
    <cellStyle name="Percent input 7 3 2" xfId="14190" xr:uid="{00000000-0005-0000-0000-000063370000}"/>
    <cellStyle name="Percent input 7 4" xfId="14191" xr:uid="{00000000-0005-0000-0000-000064370000}"/>
    <cellStyle name="Percent input 8" xfId="14192" xr:uid="{00000000-0005-0000-0000-000065370000}"/>
    <cellStyle name="Percent input 8 2" xfId="14193" xr:uid="{00000000-0005-0000-0000-000066370000}"/>
    <cellStyle name="Percent input 8 2 2" xfId="14194" xr:uid="{00000000-0005-0000-0000-000067370000}"/>
    <cellStyle name="Percent input 8 3" xfId="14195" xr:uid="{00000000-0005-0000-0000-000068370000}"/>
    <cellStyle name="Percent input 9" xfId="14196" xr:uid="{00000000-0005-0000-0000-000069370000}"/>
    <cellStyle name="Percent input 9 2" xfId="14197" xr:uid="{00000000-0005-0000-0000-00006A370000}"/>
    <cellStyle name="Percent w/ decimals" xfId="14198" xr:uid="{00000000-0005-0000-0000-00006B370000}"/>
    <cellStyle name="Percent(1)" xfId="14199" xr:uid="{00000000-0005-0000-0000-00006C370000}"/>
    <cellStyle name="Percent1" xfId="14200" xr:uid="{00000000-0005-0000-0000-00006D370000}"/>
    <cellStyle name="Percent1Blue" xfId="14201" xr:uid="{00000000-0005-0000-0000-00006E370000}"/>
    <cellStyle name="Percentage" xfId="14202" xr:uid="{00000000-0005-0000-0000-00006F370000}"/>
    <cellStyle name="Percentagem 2" xfId="14203" xr:uid="{00000000-0005-0000-0000-000070370000}"/>
    <cellStyle name="PercentChange" xfId="14204" xr:uid="{00000000-0005-0000-0000-000071370000}"/>
    <cellStyle name="PercentSales" xfId="14205" xr:uid="{00000000-0005-0000-0000-000072370000}"/>
    <cellStyle name="Perlong" xfId="14206" xr:uid="{00000000-0005-0000-0000-000073370000}"/>
    <cellStyle name="PerShare" xfId="14207" xr:uid="{00000000-0005-0000-0000-000074370000}"/>
    <cellStyle name="PlainDollar" xfId="14208" xr:uid="{00000000-0005-0000-0000-000075370000}"/>
    <cellStyle name="POA" xfId="14209" xr:uid="{00000000-0005-0000-0000-000076370000}"/>
    <cellStyle name="Porcentagem" xfId="2" builtinId="5"/>
    <cellStyle name="Porcentagem 2" xfId="14210" xr:uid="{00000000-0005-0000-0000-000078370000}"/>
    <cellStyle name="Porcentagem 2 10" xfId="14211" xr:uid="{00000000-0005-0000-0000-000079370000}"/>
    <cellStyle name="Porcentagem 2 2" xfId="14212" xr:uid="{00000000-0005-0000-0000-00007A370000}"/>
    <cellStyle name="Porcentagem 2 2 2" xfId="14213" xr:uid="{00000000-0005-0000-0000-00007B370000}"/>
    <cellStyle name="Porcentagem 2 2 3" xfId="14214" xr:uid="{00000000-0005-0000-0000-00007C370000}"/>
    <cellStyle name="Porcentagem 2 2 4" xfId="14215" xr:uid="{00000000-0005-0000-0000-00007D370000}"/>
    <cellStyle name="Porcentagem 2 2 4 2" xfId="14216" xr:uid="{00000000-0005-0000-0000-00007E370000}"/>
    <cellStyle name="Porcentagem 2 2 4_HRT O&amp;G" xfId="14217" xr:uid="{00000000-0005-0000-0000-00007F370000}"/>
    <cellStyle name="Porcentagem 2 2 5" xfId="14218" xr:uid="{00000000-0005-0000-0000-000080370000}"/>
    <cellStyle name="Porcentagem 2 2 5 2" xfId="14219" xr:uid="{00000000-0005-0000-0000-000081370000}"/>
    <cellStyle name="Porcentagem 2 2 5_HRT O&amp;G" xfId="14220" xr:uid="{00000000-0005-0000-0000-000082370000}"/>
    <cellStyle name="Porcentagem 2 2 6" xfId="14221" xr:uid="{00000000-0005-0000-0000-000083370000}"/>
    <cellStyle name="Porcentagem 2 2 7" xfId="14222" xr:uid="{00000000-0005-0000-0000-000084370000}"/>
    <cellStyle name="Porcentagem 2 2_HRT O&amp;G" xfId="14223" xr:uid="{00000000-0005-0000-0000-000085370000}"/>
    <cellStyle name="Porcentagem 2 3" xfId="14224" xr:uid="{00000000-0005-0000-0000-000086370000}"/>
    <cellStyle name="Porcentagem 2 3 2" xfId="14225" xr:uid="{00000000-0005-0000-0000-000087370000}"/>
    <cellStyle name="Porcentagem 2 3 3" xfId="14226" xr:uid="{00000000-0005-0000-0000-000088370000}"/>
    <cellStyle name="Porcentagem 2 3 4" xfId="14227" xr:uid="{00000000-0005-0000-0000-000089370000}"/>
    <cellStyle name="Porcentagem 2 3_HRT O&amp;G" xfId="14228" xr:uid="{00000000-0005-0000-0000-00008A370000}"/>
    <cellStyle name="Porcentagem 2 4" xfId="14229" xr:uid="{00000000-0005-0000-0000-00008B370000}"/>
    <cellStyle name="Porcentagem 2 4 2" xfId="14230" xr:uid="{00000000-0005-0000-0000-00008C370000}"/>
    <cellStyle name="Porcentagem 2 4 3" xfId="14231" xr:uid="{00000000-0005-0000-0000-00008D370000}"/>
    <cellStyle name="Porcentagem 2 4 4" xfId="14232" xr:uid="{00000000-0005-0000-0000-00008E370000}"/>
    <cellStyle name="Porcentagem 2 4_HRT O&amp;G" xfId="14233" xr:uid="{00000000-0005-0000-0000-00008F370000}"/>
    <cellStyle name="Porcentagem 2 5" xfId="14234" xr:uid="{00000000-0005-0000-0000-000090370000}"/>
    <cellStyle name="Porcentagem 2 5 2" xfId="14235" xr:uid="{00000000-0005-0000-0000-000091370000}"/>
    <cellStyle name="Porcentagem 2 5 3" xfId="14236" xr:uid="{00000000-0005-0000-0000-000092370000}"/>
    <cellStyle name="Porcentagem 2 5 4" xfId="14237" xr:uid="{00000000-0005-0000-0000-000093370000}"/>
    <cellStyle name="Porcentagem 2 5_HRT O&amp;G" xfId="14238" xr:uid="{00000000-0005-0000-0000-000094370000}"/>
    <cellStyle name="Porcentagem 2 6" xfId="14239" xr:uid="{00000000-0005-0000-0000-000095370000}"/>
    <cellStyle name="Porcentagem 2 6 2" xfId="14240" xr:uid="{00000000-0005-0000-0000-000096370000}"/>
    <cellStyle name="Porcentagem 2 6_HRT O&amp;G" xfId="14241" xr:uid="{00000000-0005-0000-0000-000097370000}"/>
    <cellStyle name="Porcentagem 2 7" xfId="14242" xr:uid="{00000000-0005-0000-0000-000098370000}"/>
    <cellStyle name="Porcentagem 2 7 2" xfId="14243" xr:uid="{00000000-0005-0000-0000-000099370000}"/>
    <cellStyle name="Porcentagem 2 7_HRT O&amp;G" xfId="14244" xr:uid="{00000000-0005-0000-0000-00009A370000}"/>
    <cellStyle name="Porcentagem 2 8" xfId="14245" xr:uid="{00000000-0005-0000-0000-00009B370000}"/>
    <cellStyle name="Porcentagem 2 8 2" xfId="14246" xr:uid="{00000000-0005-0000-0000-00009C370000}"/>
    <cellStyle name="Porcentagem 2 8_HRT O&amp;G" xfId="14247" xr:uid="{00000000-0005-0000-0000-00009D370000}"/>
    <cellStyle name="Porcentagem 2 9" xfId="14248" xr:uid="{00000000-0005-0000-0000-00009E370000}"/>
    <cellStyle name="Porcentagem 2 9 2" xfId="14249" xr:uid="{00000000-0005-0000-0000-00009F370000}"/>
    <cellStyle name="Porcentagem 2 9_HRT O&amp;G" xfId="14250" xr:uid="{00000000-0005-0000-0000-0000A0370000}"/>
    <cellStyle name="Porcentagem 2_HRT O&amp;G" xfId="14251" xr:uid="{00000000-0005-0000-0000-0000A1370000}"/>
    <cellStyle name="Porcentagem 3" xfId="14252" xr:uid="{00000000-0005-0000-0000-0000A2370000}"/>
    <cellStyle name="Porcentagem 3 2" xfId="14253" xr:uid="{00000000-0005-0000-0000-0000A3370000}"/>
    <cellStyle name="Porcentagem 3 3" xfId="14254" xr:uid="{00000000-0005-0000-0000-0000A4370000}"/>
    <cellStyle name="Porcentagem 3 4" xfId="14255" xr:uid="{00000000-0005-0000-0000-0000A5370000}"/>
    <cellStyle name="Porcentagem 3_HRT O&amp;G" xfId="14256" xr:uid="{00000000-0005-0000-0000-0000A6370000}"/>
    <cellStyle name="Porcentagem 4" xfId="14257" xr:uid="{00000000-0005-0000-0000-0000A7370000}"/>
    <cellStyle name="Porcentagem 5" xfId="14258" xr:uid="{00000000-0005-0000-0000-0000A8370000}"/>
    <cellStyle name="Porcentagem 5 2" xfId="14259" xr:uid="{00000000-0005-0000-0000-0000A9370000}"/>
    <cellStyle name="Porcentagem 5 3" xfId="14260" xr:uid="{00000000-0005-0000-0000-0000AA370000}"/>
    <cellStyle name="Porcentagem 5 4" xfId="14261" xr:uid="{00000000-0005-0000-0000-0000AB370000}"/>
    <cellStyle name="Porcentagem 5_HRT O&amp;G" xfId="14262" xr:uid="{00000000-0005-0000-0000-0000AC370000}"/>
    <cellStyle name="Porcentagem 6" xfId="14263" xr:uid="{00000000-0005-0000-0000-0000AD370000}"/>
    <cellStyle name="Porcentagem 6 2" xfId="14264" xr:uid="{00000000-0005-0000-0000-0000AE370000}"/>
    <cellStyle name="Porcentagem 6_HRT O&amp;G" xfId="14265" xr:uid="{00000000-0005-0000-0000-0000AF370000}"/>
    <cellStyle name="Porcentagem 7" xfId="14266" xr:uid="{00000000-0005-0000-0000-0000B0370000}"/>
    <cellStyle name="Porcentaje" xfId="14267" xr:uid="{00000000-0005-0000-0000-0000B1370000}"/>
    <cellStyle name="Premissas" xfId="14268" xr:uid="{00000000-0005-0000-0000-0000B2370000}"/>
    <cellStyle name="Premissas 2" xfId="14269" xr:uid="{00000000-0005-0000-0000-0000B3370000}"/>
    <cellStyle name="PrePop Currency (0)" xfId="14270" xr:uid="{00000000-0005-0000-0000-0000B4370000}"/>
    <cellStyle name="PrePop Currency (2)" xfId="14271" xr:uid="{00000000-0005-0000-0000-0000B5370000}"/>
    <cellStyle name="PrePop Units (0)" xfId="14272" xr:uid="{00000000-0005-0000-0000-0000B6370000}"/>
    <cellStyle name="PrePop Units (1)" xfId="14273" xr:uid="{00000000-0005-0000-0000-0000B7370000}"/>
    <cellStyle name="PrePop Units (2)" xfId="14274" xr:uid="{00000000-0005-0000-0000-0000B8370000}"/>
    <cellStyle name="Price" xfId="14275" xr:uid="{00000000-0005-0000-0000-0000B9370000}"/>
    <cellStyle name="PriceUn" xfId="14276" xr:uid="{00000000-0005-0000-0000-0000BA370000}"/>
    <cellStyle name="pricing" xfId="14277" xr:uid="{00000000-0005-0000-0000-0000BB370000}"/>
    <cellStyle name="Print_header" xfId="14278" xr:uid="{00000000-0005-0000-0000-0000BC370000}"/>
    <cellStyle name="Private" xfId="14279" xr:uid="{00000000-0005-0000-0000-0000BD370000}"/>
    <cellStyle name="Private 2" xfId="14280" xr:uid="{00000000-0005-0000-0000-0000BE370000}"/>
    <cellStyle name="Private 2 2" xfId="14281" xr:uid="{00000000-0005-0000-0000-0000BF370000}"/>
    <cellStyle name="Private 2 2 2" xfId="14282" xr:uid="{00000000-0005-0000-0000-0000C0370000}"/>
    <cellStyle name="Private 2 2 2 2" xfId="14283" xr:uid="{00000000-0005-0000-0000-0000C1370000}"/>
    <cellStyle name="Private 2 2 2 2 2" xfId="14284" xr:uid="{00000000-0005-0000-0000-0000C2370000}"/>
    <cellStyle name="Private 2 2 2 3" xfId="14285" xr:uid="{00000000-0005-0000-0000-0000C3370000}"/>
    <cellStyle name="Private 2 2 2 4" xfId="14286" xr:uid="{00000000-0005-0000-0000-0000C4370000}"/>
    <cellStyle name="Private 2 2 3" xfId="14287" xr:uid="{00000000-0005-0000-0000-0000C5370000}"/>
    <cellStyle name="Private 2 2 3 2" xfId="14288" xr:uid="{00000000-0005-0000-0000-0000C6370000}"/>
    <cellStyle name="Private 2 2 4" xfId="14289" xr:uid="{00000000-0005-0000-0000-0000C7370000}"/>
    <cellStyle name="Private 2 2 5" xfId="14290" xr:uid="{00000000-0005-0000-0000-0000C8370000}"/>
    <cellStyle name="Private 2 3" xfId="14291" xr:uid="{00000000-0005-0000-0000-0000C9370000}"/>
    <cellStyle name="Private 2 3 2" xfId="14292" xr:uid="{00000000-0005-0000-0000-0000CA370000}"/>
    <cellStyle name="Private 2 3 2 2" xfId="14293" xr:uid="{00000000-0005-0000-0000-0000CB370000}"/>
    <cellStyle name="Private 2 3 2 2 2" xfId="14294" xr:uid="{00000000-0005-0000-0000-0000CC370000}"/>
    <cellStyle name="Private 2 3 2 3" xfId="14295" xr:uid="{00000000-0005-0000-0000-0000CD370000}"/>
    <cellStyle name="Private 2 3 2 4" xfId="14296" xr:uid="{00000000-0005-0000-0000-0000CE370000}"/>
    <cellStyle name="Private 2 3 3" xfId="14297" xr:uid="{00000000-0005-0000-0000-0000CF370000}"/>
    <cellStyle name="Private 2 3 3 2" xfId="14298" xr:uid="{00000000-0005-0000-0000-0000D0370000}"/>
    <cellStyle name="Private 2 3 4" xfId="14299" xr:uid="{00000000-0005-0000-0000-0000D1370000}"/>
    <cellStyle name="Private 2 3 5" xfId="14300" xr:uid="{00000000-0005-0000-0000-0000D2370000}"/>
    <cellStyle name="Private 2 4" xfId="14301" xr:uid="{00000000-0005-0000-0000-0000D3370000}"/>
    <cellStyle name="Private 2 4 2" xfId="14302" xr:uid="{00000000-0005-0000-0000-0000D4370000}"/>
    <cellStyle name="Private 2 4 2 2" xfId="14303" xr:uid="{00000000-0005-0000-0000-0000D5370000}"/>
    <cellStyle name="Private 2 4 2 2 2" xfId="14304" xr:uid="{00000000-0005-0000-0000-0000D6370000}"/>
    <cellStyle name="Private 2 4 2 3" xfId="14305" xr:uid="{00000000-0005-0000-0000-0000D7370000}"/>
    <cellStyle name="Private 2 4 2 4" xfId="14306" xr:uid="{00000000-0005-0000-0000-0000D8370000}"/>
    <cellStyle name="Private 2 4 3" xfId="14307" xr:uid="{00000000-0005-0000-0000-0000D9370000}"/>
    <cellStyle name="Private 2 4 3 2" xfId="14308" xr:uid="{00000000-0005-0000-0000-0000DA370000}"/>
    <cellStyle name="Private 2 4 4" xfId="14309" xr:uid="{00000000-0005-0000-0000-0000DB370000}"/>
    <cellStyle name="Private 2 4 5" xfId="14310" xr:uid="{00000000-0005-0000-0000-0000DC370000}"/>
    <cellStyle name="Private 2 5" xfId="14311" xr:uid="{00000000-0005-0000-0000-0000DD370000}"/>
    <cellStyle name="Private 2 5 2" xfId="14312" xr:uid="{00000000-0005-0000-0000-0000DE370000}"/>
    <cellStyle name="Private 2 5 2 2" xfId="14313" xr:uid="{00000000-0005-0000-0000-0000DF370000}"/>
    <cellStyle name="Private 2 5 2 2 2" xfId="14314" xr:uid="{00000000-0005-0000-0000-0000E0370000}"/>
    <cellStyle name="Private 2 5 2 3" xfId="14315" xr:uid="{00000000-0005-0000-0000-0000E1370000}"/>
    <cellStyle name="Private 2 5 2 4" xfId="14316" xr:uid="{00000000-0005-0000-0000-0000E2370000}"/>
    <cellStyle name="Private 2 5 3" xfId="14317" xr:uid="{00000000-0005-0000-0000-0000E3370000}"/>
    <cellStyle name="Private 2 5 3 2" xfId="14318" xr:uid="{00000000-0005-0000-0000-0000E4370000}"/>
    <cellStyle name="Private 2 5 4" xfId="14319" xr:uid="{00000000-0005-0000-0000-0000E5370000}"/>
    <cellStyle name="Private 2 5 5" xfId="14320" xr:uid="{00000000-0005-0000-0000-0000E6370000}"/>
    <cellStyle name="Private 2 6" xfId="14321" xr:uid="{00000000-0005-0000-0000-0000E7370000}"/>
    <cellStyle name="Private 2 6 2" xfId="14322" xr:uid="{00000000-0005-0000-0000-0000E8370000}"/>
    <cellStyle name="Private 2 7" xfId="14323" xr:uid="{00000000-0005-0000-0000-0000E9370000}"/>
    <cellStyle name="Private 2 8" xfId="14324" xr:uid="{00000000-0005-0000-0000-0000EA370000}"/>
    <cellStyle name="Private 3" xfId="14325" xr:uid="{00000000-0005-0000-0000-0000EB370000}"/>
    <cellStyle name="Private 3 2" xfId="14326" xr:uid="{00000000-0005-0000-0000-0000EC370000}"/>
    <cellStyle name="Private 3 2 2" xfId="14327" xr:uid="{00000000-0005-0000-0000-0000ED370000}"/>
    <cellStyle name="Private 3 2 2 2" xfId="14328" xr:uid="{00000000-0005-0000-0000-0000EE370000}"/>
    <cellStyle name="Private 3 2 3" xfId="14329" xr:uid="{00000000-0005-0000-0000-0000EF370000}"/>
    <cellStyle name="Private 3 2 4" xfId="14330" xr:uid="{00000000-0005-0000-0000-0000F0370000}"/>
    <cellStyle name="Private 3 3" xfId="14331" xr:uid="{00000000-0005-0000-0000-0000F1370000}"/>
    <cellStyle name="Private 3 3 2" xfId="14332" xr:uid="{00000000-0005-0000-0000-0000F2370000}"/>
    <cellStyle name="Private 3 4" xfId="14333" xr:uid="{00000000-0005-0000-0000-0000F3370000}"/>
    <cellStyle name="Private 3 5" xfId="14334" xr:uid="{00000000-0005-0000-0000-0000F4370000}"/>
    <cellStyle name="Private 4" xfId="14335" xr:uid="{00000000-0005-0000-0000-0000F5370000}"/>
    <cellStyle name="Private 4 2" xfId="14336" xr:uid="{00000000-0005-0000-0000-0000F6370000}"/>
    <cellStyle name="Private 4 2 2" xfId="14337" xr:uid="{00000000-0005-0000-0000-0000F7370000}"/>
    <cellStyle name="Private 4 2 2 2" xfId="14338" xr:uid="{00000000-0005-0000-0000-0000F8370000}"/>
    <cellStyle name="Private 4 2 3" xfId="14339" xr:uid="{00000000-0005-0000-0000-0000F9370000}"/>
    <cellStyle name="Private 4 2 4" xfId="14340" xr:uid="{00000000-0005-0000-0000-0000FA370000}"/>
    <cellStyle name="Private 4 3" xfId="14341" xr:uid="{00000000-0005-0000-0000-0000FB370000}"/>
    <cellStyle name="Private 4 3 2" xfId="14342" xr:uid="{00000000-0005-0000-0000-0000FC370000}"/>
    <cellStyle name="Private 4 4" xfId="14343" xr:uid="{00000000-0005-0000-0000-0000FD370000}"/>
    <cellStyle name="Private 4 5" xfId="14344" xr:uid="{00000000-0005-0000-0000-0000FE370000}"/>
    <cellStyle name="Private 5" xfId="14345" xr:uid="{00000000-0005-0000-0000-0000FF370000}"/>
    <cellStyle name="Private 5 2" xfId="14346" xr:uid="{00000000-0005-0000-0000-000000380000}"/>
    <cellStyle name="Private 5 2 2" xfId="14347" xr:uid="{00000000-0005-0000-0000-000001380000}"/>
    <cellStyle name="Private 5 2 2 2" xfId="14348" xr:uid="{00000000-0005-0000-0000-000002380000}"/>
    <cellStyle name="Private 5 2 3" xfId="14349" xr:uid="{00000000-0005-0000-0000-000003380000}"/>
    <cellStyle name="Private 5 2 4" xfId="14350" xr:uid="{00000000-0005-0000-0000-000004380000}"/>
    <cellStyle name="Private 5 3" xfId="14351" xr:uid="{00000000-0005-0000-0000-000005380000}"/>
    <cellStyle name="Private 5 3 2" xfId="14352" xr:uid="{00000000-0005-0000-0000-000006380000}"/>
    <cellStyle name="Private 5 4" xfId="14353" xr:uid="{00000000-0005-0000-0000-000007380000}"/>
    <cellStyle name="Private 5 5" xfId="14354" xr:uid="{00000000-0005-0000-0000-000008380000}"/>
    <cellStyle name="Private 6" xfId="14355" xr:uid="{00000000-0005-0000-0000-000009380000}"/>
    <cellStyle name="Private 6 2" xfId="14356" xr:uid="{00000000-0005-0000-0000-00000A380000}"/>
    <cellStyle name="Private 6 2 2" xfId="14357" xr:uid="{00000000-0005-0000-0000-00000B380000}"/>
    <cellStyle name="Private 6 2 2 2" xfId="14358" xr:uid="{00000000-0005-0000-0000-00000C380000}"/>
    <cellStyle name="Private 6 2 3" xfId="14359" xr:uid="{00000000-0005-0000-0000-00000D380000}"/>
    <cellStyle name="Private 6 2 4" xfId="14360" xr:uid="{00000000-0005-0000-0000-00000E380000}"/>
    <cellStyle name="Private 6 3" xfId="14361" xr:uid="{00000000-0005-0000-0000-00000F380000}"/>
    <cellStyle name="Private 6 3 2" xfId="14362" xr:uid="{00000000-0005-0000-0000-000010380000}"/>
    <cellStyle name="Private 6 4" xfId="14363" xr:uid="{00000000-0005-0000-0000-000011380000}"/>
    <cellStyle name="Private 6 5" xfId="14364" xr:uid="{00000000-0005-0000-0000-000012380000}"/>
    <cellStyle name="Private 7" xfId="14365" xr:uid="{00000000-0005-0000-0000-000013380000}"/>
    <cellStyle name="Private 7 2" xfId="14366" xr:uid="{00000000-0005-0000-0000-000014380000}"/>
    <cellStyle name="Private 8" xfId="14367" xr:uid="{00000000-0005-0000-0000-000015380000}"/>
    <cellStyle name="Private 9" xfId="14368" xr:uid="{00000000-0005-0000-0000-000016380000}"/>
    <cellStyle name="Private1" xfId="14369" xr:uid="{00000000-0005-0000-0000-000017380000}"/>
    <cellStyle name="Proj" xfId="14370" xr:uid="{00000000-0005-0000-0000-000018380000}"/>
    <cellStyle name="Protected" xfId="14371" xr:uid="{00000000-0005-0000-0000-000019380000}"/>
    <cellStyle name="PSChar" xfId="14372" xr:uid="{00000000-0005-0000-0000-00001A380000}"/>
    <cellStyle name="PSDate" xfId="14373" xr:uid="{00000000-0005-0000-0000-00001B380000}"/>
    <cellStyle name="PSDec" xfId="14374" xr:uid="{00000000-0005-0000-0000-00001C380000}"/>
    <cellStyle name="PSHeading" xfId="14375" xr:uid="{00000000-0005-0000-0000-00001D380000}"/>
    <cellStyle name="PSHeading 2" xfId="14376" xr:uid="{00000000-0005-0000-0000-00001E380000}"/>
    <cellStyle name="PSHeading 2 2" xfId="14377" xr:uid="{00000000-0005-0000-0000-00001F380000}"/>
    <cellStyle name="PSHeading 2 2 2" xfId="14378" xr:uid="{00000000-0005-0000-0000-000020380000}"/>
    <cellStyle name="PSHeading 2 2 2 2" xfId="14379" xr:uid="{00000000-0005-0000-0000-000021380000}"/>
    <cellStyle name="PSHeading 2 2 3" xfId="14380" xr:uid="{00000000-0005-0000-0000-000022380000}"/>
    <cellStyle name="PSHeading 2 3" xfId="14381" xr:uid="{00000000-0005-0000-0000-000023380000}"/>
    <cellStyle name="PSHeading 2 3 2" xfId="14382" xr:uid="{00000000-0005-0000-0000-000024380000}"/>
    <cellStyle name="PSHeading 2 4" xfId="14383" xr:uid="{00000000-0005-0000-0000-000025380000}"/>
    <cellStyle name="PSHeading 3" xfId="14384" xr:uid="{00000000-0005-0000-0000-000026380000}"/>
    <cellStyle name="PSHeading 3 2" xfId="14385" xr:uid="{00000000-0005-0000-0000-000027380000}"/>
    <cellStyle name="PSHeading 4" xfId="14386" xr:uid="{00000000-0005-0000-0000-000028380000}"/>
    <cellStyle name="PSInt" xfId="14387" xr:uid="{00000000-0005-0000-0000-000029380000}"/>
    <cellStyle name="PSSpacer" xfId="14388" xr:uid="{00000000-0005-0000-0000-00002A380000}"/>
    <cellStyle name="Punto" xfId="14389" xr:uid="{00000000-0005-0000-0000-00002B380000}"/>
    <cellStyle name="Punto0" xfId="14390" xr:uid="{00000000-0005-0000-0000-00002C380000}"/>
    <cellStyle name="q" xfId="14391" xr:uid="{00000000-0005-0000-0000-00002D380000}"/>
    <cellStyle name="q_AVP" xfId="14392" xr:uid="{00000000-0005-0000-0000-00002E380000}"/>
    <cellStyle name="q_AVP_Graphic Depiction - NO DEV" xfId="14393" xr:uid="{00000000-0005-0000-0000-00002F380000}"/>
    <cellStyle name="q_AVP_Graphic Depiction - NO DEV_HRT O&amp;G" xfId="14394" xr:uid="{00000000-0005-0000-0000-000030380000}"/>
    <cellStyle name="q_AVP_HRT O&amp;G" xfId="14395" xr:uid="{00000000-0005-0000-0000-000031380000}"/>
    <cellStyle name="q_AVP_THEsumPage (2)" xfId="14396" xr:uid="{00000000-0005-0000-0000-000032380000}"/>
    <cellStyle name="q_AVP_THEsumPage (2)_HRT O&amp;G" xfId="14397" xr:uid="{00000000-0005-0000-0000-000033380000}"/>
    <cellStyle name="q_AVP_Valuation Summary Graphics" xfId="14398" xr:uid="{00000000-0005-0000-0000-000034380000}"/>
    <cellStyle name="q_AVP_Valuation Summary Graphics_HRT O&amp;G" xfId="14399" xr:uid="{00000000-0005-0000-0000-000035380000}"/>
    <cellStyle name="q_CompSheet" xfId="14400" xr:uid="{00000000-0005-0000-0000-000036380000}"/>
    <cellStyle name="q_CompSheet_HRT O&amp;G" xfId="14401" xr:uid="{00000000-0005-0000-0000-000037380000}"/>
    <cellStyle name="q_Disc Analysis" xfId="14402" xr:uid="{00000000-0005-0000-0000-000038380000}"/>
    <cellStyle name="q_Disc Analysis_CompSheet" xfId="14403" xr:uid="{00000000-0005-0000-0000-000039380000}"/>
    <cellStyle name="q_Disc Analysis_CompSheet_HRT O&amp;G" xfId="14404" xr:uid="{00000000-0005-0000-0000-00003A380000}"/>
    <cellStyle name="q_Disc Analysis_Fairness Opinion Valuation 4-23a.xls Chart 1" xfId="14405" xr:uid="{00000000-0005-0000-0000-00003B380000}"/>
    <cellStyle name="q_Disc Analysis_Fairness Opinion Valuation 4-23a.xls Chart 1_HRT O&amp;G" xfId="14406" xr:uid="{00000000-0005-0000-0000-00003C380000}"/>
    <cellStyle name="q_Disc Analysis_HRT O&amp;G" xfId="14407" xr:uid="{00000000-0005-0000-0000-00003D380000}"/>
    <cellStyle name="q_Disc Analysis_PowerValuation.xls Chart 21" xfId="14408" xr:uid="{00000000-0005-0000-0000-00003E380000}"/>
    <cellStyle name="q_Disc Analysis_PowerValuation.xls Chart 21_HRT O&amp;G" xfId="14409" xr:uid="{00000000-0005-0000-0000-00003F380000}"/>
    <cellStyle name="q_Disc Analysis_PowerValuation.xls Chart 28" xfId="14410" xr:uid="{00000000-0005-0000-0000-000040380000}"/>
    <cellStyle name="q_Disc Analysis_PowerValuation.xls Chart 28_HRT O&amp;G" xfId="14411" xr:uid="{00000000-0005-0000-0000-000041380000}"/>
    <cellStyle name="q_Disc Analysis_THEsumPage (2)" xfId="14412" xr:uid="{00000000-0005-0000-0000-000042380000}"/>
    <cellStyle name="q_Disc Analysis_THEsumPage (2)_HRT O&amp;G" xfId="14413" xr:uid="{00000000-0005-0000-0000-000043380000}"/>
    <cellStyle name="q_Disc Analysis_Valuation summaries" xfId="14414" xr:uid="{00000000-0005-0000-0000-000044380000}"/>
    <cellStyle name="q_Disc Analysis_Valuation summaries_HRT O&amp;G" xfId="14415" xr:uid="{00000000-0005-0000-0000-000045380000}"/>
    <cellStyle name="q_Fairness Opinion Valuation 4-23a.xls Chart 1" xfId="14416" xr:uid="{00000000-0005-0000-0000-000046380000}"/>
    <cellStyle name="q_Fairness Opinion Valuation 4-23a.xls Chart 1_HRT O&amp;G" xfId="14417" xr:uid="{00000000-0005-0000-0000-000047380000}"/>
    <cellStyle name="q_HRT O&amp;G" xfId="14418" xr:uid="{00000000-0005-0000-0000-000048380000}"/>
    <cellStyle name="q_Merg Cons" xfId="14419" xr:uid="{00000000-0005-0000-0000-000049380000}"/>
    <cellStyle name="q_Merg Cons_CompSheet" xfId="14420" xr:uid="{00000000-0005-0000-0000-00004A380000}"/>
    <cellStyle name="q_Merg Cons_CompSheet_HRT O&amp;G" xfId="14421" xr:uid="{00000000-0005-0000-0000-00004B380000}"/>
    <cellStyle name="q_Merg Cons_Fairness Opinion Valuation 4-23a.xls Chart 1" xfId="14422" xr:uid="{00000000-0005-0000-0000-00004C380000}"/>
    <cellStyle name="q_Merg Cons_Fairness Opinion Valuation 4-23a.xls Chart 1_HRT O&amp;G" xfId="14423" xr:uid="{00000000-0005-0000-0000-00004D380000}"/>
    <cellStyle name="q_Merg Cons_HRT O&amp;G" xfId="14424" xr:uid="{00000000-0005-0000-0000-00004E380000}"/>
    <cellStyle name="q_Merg Cons_PowerValuation.xls Chart 21" xfId="14425" xr:uid="{00000000-0005-0000-0000-00004F380000}"/>
    <cellStyle name="q_Merg Cons_PowerValuation.xls Chart 21_HRT O&amp;G" xfId="14426" xr:uid="{00000000-0005-0000-0000-000050380000}"/>
    <cellStyle name="q_Merg Cons_PowerValuation.xls Chart 28" xfId="14427" xr:uid="{00000000-0005-0000-0000-000051380000}"/>
    <cellStyle name="q_Merg Cons_PowerValuation.xls Chart 28_HRT O&amp;G" xfId="14428" xr:uid="{00000000-0005-0000-0000-000052380000}"/>
    <cellStyle name="q_Merg Cons_THEsumPage (2)" xfId="14429" xr:uid="{00000000-0005-0000-0000-000053380000}"/>
    <cellStyle name="q_Merg Cons_THEsumPage (2)_HRT O&amp;G" xfId="14430" xr:uid="{00000000-0005-0000-0000-000054380000}"/>
    <cellStyle name="q_Merg Cons_Valuation summaries" xfId="14431" xr:uid="{00000000-0005-0000-0000-000055380000}"/>
    <cellStyle name="q_Merg Cons_Valuation summaries_HRT O&amp;G" xfId="14432" xr:uid="{00000000-0005-0000-0000-000056380000}"/>
    <cellStyle name="q_PowerValuation.xls Chart 21" xfId="14433" xr:uid="{00000000-0005-0000-0000-000057380000}"/>
    <cellStyle name="q_PowerValuation.xls Chart 21_HRT O&amp;G" xfId="14434" xr:uid="{00000000-0005-0000-0000-000058380000}"/>
    <cellStyle name="q_PowerValuation.xls Chart 28" xfId="14435" xr:uid="{00000000-0005-0000-0000-000059380000}"/>
    <cellStyle name="q_PowerValuation.xls Chart 28_HRT O&amp;G" xfId="14436" xr:uid="{00000000-0005-0000-0000-00005A380000}"/>
    <cellStyle name="q_Proj10" xfId="14437" xr:uid="{00000000-0005-0000-0000-00005B380000}"/>
    <cellStyle name="q_Proj10_AVP" xfId="14438" xr:uid="{00000000-0005-0000-0000-00005C380000}"/>
    <cellStyle name="q_Proj10_AVP_Graphic Depiction - NO DEV" xfId="14439" xr:uid="{00000000-0005-0000-0000-00005D380000}"/>
    <cellStyle name="q_Proj10_AVP_Graphic Depiction - NO DEV_HRT O&amp;G" xfId="14440" xr:uid="{00000000-0005-0000-0000-00005E380000}"/>
    <cellStyle name="q_Proj10_AVP_HRT O&amp;G" xfId="14441" xr:uid="{00000000-0005-0000-0000-00005F380000}"/>
    <cellStyle name="q_Proj10_AVP_THEsumPage (2)" xfId="14442" xr:uid="{00000000-0005-0000-0000-000060380000}"/>
    <cellStyle name="q_Proj10_AVP_THEsumPage (2)_HRT O&amp;G" xfId="14443" xr:uid="{00000000-0005-0000-0000-000061380000}"/>
    <cellStyle name="q_Proj10_AVP_Valuation Summary Graphics" xfId="14444" xr:uid="{00000000-0005-0000-0000-000062380000}"/>
    <cellStyle name="q_Proj10_AVP_Valuation Summary Graphics_HRT O&amp;G" xfId="14445" xr:uid="{00000000-0005-0000-0000-000063380000}"/>
    <cellStyle name="q_Proj10_CompSheet" xfId="14446" xr:uid="{00000000-0005-0000-0000-000064380000}"/>
    <cellStyle name="q_Proj10_CompSheet_HRT O&amp;G" xfId="14447" xr:uid="{00000000-0005-0000-0000-000065380000}"/>
    <cellStyle name="q_Proj10_Disc Analysis" xfId="14448" xr:uid="{00000000-0005-0000-0000-000066380000}"/>
    <cellStyle name="q_Proj10_Disc Analysis_CompSheet" xfId="14449" xr:uid="{00000000-0005-0000-0000-000067380000}"/>
    <cellStyle name="q_Proj10_Disc Analysis_CompSheet_HRT O&amp;G" xfId="14450" xr:uid="{00000000-0005-0000-0000-000068380000}"/>
    <cellStyle name="q_Proj10_Disc Analysis_Fairness Opinion Valuation 4-23a.xls Chart 1" xfId="14451" xr:uid="{00000000-0005-0000-0000-000069380000}"/>
    <cellStyle name="q_Proj10_Disc Analysis_Fairness Opinion Valuation 4-23a.xls Chart 1_HRT O&amp;G" xfId="14452" xr:uid="{00000000-0005-0000-0000-00006A380000}"/>
    <cellStyle name="q_Proj10_Disc Analysis_HRT O&amp;G" xfId="14453" xr:uid="{00000000-0005-0000-0000-00006B380000}"/>
    <cellStyle name="q_Proj10_Disc Analysis_PowerValuation.xls Chart 21" xfId="14454" xr:uid="{00000000-0005-0000-0000-00006C380000}"/>
    <cellStyle name="q_Proj10_Disc Analysis_PowerValuation.xls Chart 21_HRT O&amp;G" xfId="14455" xr:uid="{00000000-0005-0000-0000-00006D380000}"/>
    <cellStyle name="q_Proj10_Disc Analysis_PowerValuation.xls Chart 28" xfId="14456" xr:uid="{00000000-0005-0000-0000-00006E380000}"/>
    <cellStyle name="q_Proj10_Disc Analysis_PowerValuation.xls Chart 28_HRT O&amp;G" xfId="14457" xr:uid="{00000000-0005-0000-0000-00006F380000}"/>
    <cellStyle name="q_Proj10_Disc Analysis_THEsumPage (2)" xfId="14458" xr:uid="{00000000-0005-0000-0000-000070380000}"/>
    <cellStyle name="q_Proj10_Disc Analysis_THEsumPage (2)_HRT O&amp;G" xfId="14459" xr:uid="{00000000-0005-0000-0000-000071380000}"/>
    <cellStyle name="q_Proj10_Disc Analysis_Valuation summaries" xfId="14460" xr:uid="{00000000-0005-0000-0000-000072380000}"/>
    <cellStyle name="q_Proj10_Disc Analysis_Valuation summaries_HRT O&amp;G" xfId="14461" xr:uid="{00000000-0005-0000-0000-000073380000}"/>
    <cellStyle name="q_Proj10_Fairness Opinion Valuation 4-23a.xls Chart 1" xfId="14462" xr:uid="{00000000-0005-0000-0000-000074380000}"/>
    <cellStyle name="q_Proj10_Fairness Opinion Valuation 4-23a.xls Chart 1_HRT O&amp;G" xfId="14463" xr:uid="{00000000-0005-0000-0000-000075380000}"/>
    <cellStyle name="q_Proj10_HRT O&amp;G" xfId="14464" xr:uid="{00000000-0005-0000-0000-000076380000}"/>
    <cellStyle name="q_Proj10_Merg Cons" xfId="14465" xr:uid="{00000000-0005-0000-0000-000077380000}"/>
    <cellStyle name="q_Proj10_Merg Cons_CompSheet" xfId="14466" xr:uid="{00000000-0005-0000-0000-000078380000}"/>
    <cellStyle name="q_Proj10_Merg Cons_CompSheet_HRT O&amp;G" xfId="14467" xr:uid="{00000000-0005-0000-0000-000079380000}"/>
    <cellStyle name="q_Proj10_Merg Cons_Fairness Opinion Valuation 4-23a.xls Chart 1" xfId="14468" xr:uid="{00000000-0005-0000-0000-00007A380000}"/>
    <cellStyle name="q_Proj10_Merg Cons_Fairness Opinion Valuation 4-23a.xls Chart 1_HRT O&amp;G" xfId="14469" xr:uid="{00000000-0005-0000-0000-00007B380000}"/>
    <cellStyle name="q_Proj10_Merg Cons_HRT O&amp;G" xfId="14470" xr:uid="{00000000-0005-0000-0000-00007C380000}"/>
    <cellStyle name="q_Proj10_Merg Cons_PowerValuation.xls Chart 21" xfId="14471" xr:uid="{00000000-0005-0000-0000-00007D380000}"/>
    <cellStyle name="q_Proj10_Merg Cons_PowerValuation.xls Chart 21_HRT O&amp;G" xfId="14472" xr:uid="{00000000-0005-0000-0000-00007E380000}"/>
    <cellStyle name="q_Proj10_Merg Cons_PowerValuation.xls Chart 28" xfId="14473" xr:uid="{00000000-0005-0000-0000-00007F380000}"/>
    <cellStyle name="q_Proj10_Merg Cons_PowerValuation.xls Chart 28_HRT O&amp;G" xfId="14474" xr:uid="{00000000-0005-0000-0000-000080380000}"/>
    <cellStyle name="q_Proj10_Merg Cons_THEsumPage (2)" xfId="14475" xr:uid="{00000000-0005-0000-0000-000081380000}"/>
    <cellStyle name="q_Proj10_Merg Cons_THEsumPage (2)_HRT O&amp;G" xfId="14476" xr:uid="{00000000-0005-0000-0000-000082380000}"/>
    <cellStyle name="q_Proj10_Merg Cons_Valuation summaries" xfId="14477" xr:uid="{00000000-0005-0000-0000-000083380000}"/>
    <cellStyle name="q_Proj10_Merg Cons_Valuation summaries_HRT O&amp;G" xfId="14478" xr:uid="{00000000-0005-0000-0000-000084380000}"/>
    <cellStyle name="q_Proj10_PowerValuation.xls Chart 21" xfId="14479" xr:uid="{00000000-0005-0000-0000-000085380000}"/>
    <cellStyle name="q_Proj10_PowerValuation.xls Chart 21_HRT O&amp;G" xfId="14480" xr:uid="{00000000-0005-0000-0000-000086380000}"/>
    <cellStyle name="q_Proj10_PowerValuation.xls Chart 28" xfId="14481" xr:uid="{00000000-0005-0000-0000-000087380000}"/>
    <cellStyle name="q_Proj10_PowerValuation.xls Chart 28_HRT O&amp;G" xfId="14482" xr:uid="{00000000-0005-0000-0000-000088380000}"/>
    <cellStyle name="q_Proj10_Sensitivity" xfId="14483" xr:uid="{00000000-0005-0000-0000-000089380000}"/>
    <cellStyle name="q_Proj10_Sensitivity_CompSheet" xfId="14484" xr:uid="{00000000-0005-0000-0000-00008A380000}"/>
    <cellStyle name="q_Proj10_Sensitivity_CompSheet_HRT O&amp;G" xfId="14485" xr:uid="{00000000-0005-0000-0000-00008B380000}"/>
    <cellStyle name="q_Proj10_Sensitivity_Fairness Opinion Valuation 4-23a.xls Chart 1" xfId="14486" xr:uid="{00000000-0005-0000-0000-00008C380000}"/>
    <cellStyle name="q_Proj10_Sensitivity_Fairness Opinion Valuation 4-23a.xls Chart 1_HRT O&amp;G" xfId="14487" xr:uid="{00000000-0005-0000-0000-00008D380000}"/>
    <cellStyle name="q_Proj10_Sensitivity_HRT O&amp;G" xfId="14488" xr:uid="{00000000-0005-0000-0000-00008E380000}"/>
    <cellStyle name="q_Proj10_Sensitivity_PowerValuation.xls Chart 21" xfId="14489" xr:uid="{00000000-0005-0000-0000-00008F380000}"/>
    <cellStyle name="q_Proj10_Sensitivity_PowerValuation.xls Chart 21_HRT O&amp;G" xfId="14490" xr:uid="{00000000-0005-0000-0000-000090380000}"/>
    <cellStyle name="q_Proj10_Sensitivity_PowerValuation.xls Chart 28" xfId="14491" xr:uid="{00000000-0005-0000-0000-000091380000}"/>
    <cellStyle name="q_Proj10_Sensitivity_PowerValuation.xls Chart 28_HRT O&amp;G" xfId="14492" xr:uid="{00000000-0005-0000-0000-000092380000}"/>
    <cellStyle name="q_Proj10_Sensitivity_THEsumPage (2)" xfId="14493" xr:uid="{00000000-0005-0000-0000-000093380000}"/>
    <cellStyle name="q_Proj10_Sensitivity_THEsumPage (2)_HRT O&amp;G" xfId="14494" xr:uid="{00000000-0005-0000-0000-000094380000}"/>
    <cellStyle name="q_Proj10_Sensitivity_Valuation summaries" xfId="14495" xr:uid="{00000000-0005-0000-0000-000095380000}"/>
    <cellStyle name="q_Proj10_Sensitivity_Valuation summaries_HRT O&amp;G" xfId="14496" xr:uid="{00000000-0005-0000-0000-000096380000}"/>
    <cellStyle name="q_Proj10_show-hold" xfId="14497" xr:uid="{00000000-0005-0000-0000-000097380000}"/>
    <cellStyle name="q_Proj10_show-hold_Graphic Depiction - NO DEV" xfId="14498" xr:uid="{00000000-0005-0000-0000-000098380000}"/>
    <cellStyle name="q_Proj10_show-hold_Graphic Depiction - NO DEV_HRT O&amp;G" xfId="14499" xr:uid="{00000000-0005-0000-0000-000099380000}"/>
    <cellStyle name="q_Proj10_show-hold_HRT O&amp;G" xfId="14500" xr:uid="{00000000-0005-0000-0000-00009A380000}"/>
    <cellStyle name="q_Proj10_show-hold_THEsumPage (2)" xfId="14501" xr:uid="{00000000-0005-0000-0000-00009B380000}"/>
    <cellStyle name="q_Proj10_show-hold_THEsumPage (2)_HRT O&amp;G" xfId="14502" xr:uid="{00000000-0005-0000-0000-00009C380000}"/>
    <cellStyle name="q_Proj10_show-hold_Valuation Summary Graphics" xfId="14503" xr:uid="{00000000-0005-0000-0000-00009D380000}"/>
    <cellStyle name="q_Proj10_show-hold_Valuation Summary Graphics_HRT O&amp;G" xfId="14504" xr:uid="{00000000-0005-0000-0000-00009E380000}"/>
    <cellStyle name="q_Proj10_THEsumPage (2)" xfId="14505" xr:uid="{00000000-0005-0000-0000-00009F380000}"/>
    <cellStyle name="q_Proj10_THEsumPage (2)_HRT O&amp;G" xfId="14506" xr:uid="{00000000-0005-0000-0000-0000A0380000}"/>
    <cellStyle name="q_Proj10_Valuation summaries" xfId="14507" xr:uid="{00000000-0005-0000-0000-0000A1380000}"/>
    <cellStyle name="q_Proj10_Valuation summaries_HRT O&amp;G" xfId="14508" xr:uid="{00000000-0005-0000-0000-0000A2380000}"/>
    <cellStyle name="q_Proj10_WACC-CableCar" xfId="14509" xr:uid="{00000000-0005-0000-0000-0000A3380000}"/>
    <cellStyle name="q_Proj10_WACC-CableCar_HRT O&amp;G" xfId="14510" xr:uid="{00000000-0005-0000-0000-0000A4380000}"/>
    <cellStyle name="q_Proj10_WACC-CableCar_THEsumPage (2)" xfId="14511" xr:uid="{00000000-0005-0000-0000-0000A5380000}"/>
    <cellStyle name="q_Proj10_WACC-CableCar_THEsumPage (2)_HRT O&amp;G" xfId="14512" xr:uid="{00000000-0005-0000-0000-0000A6380000}"/>
    <cellStyle name="q_Sensitivity" xfId="14513" xr:uid="{00000000-0005-0000-0000-0000A7380000}"/>
    <cellStyle name="q_Sensitivity_CompSheet" xfId="14514" xr:uid="{00000000-0005-0000-0000-0000A8380000}"/>
    <cellStyle name="q_Sensitivity_CompSheet_HRT O&amp;G" xfId="14515" xr:uid="{00000000-0005-0000-0000-0000A9380000}"/>
    <cellStyle name="q_Sensitivity_Fairness Opinion Valuation 4-23a.xls Chart 1" xfId="14516" xr:uid="{00000000-0005-0000-0000-0000AA380000}"/>
    <cellStyle name="q_Sensitivity_Fairness Opinion Valuation 4-23a.xls Chart 1_HRT O&amp;G" xfId="14517" xr:uid="{00000000-0005-0000-0000-0000AB380000}"/>
    <cellStyle name="q_Sensitivity_HRT O&amp;G" xfId="14518" xr:uid="{00000000-0005-0000-0000-0000AC380000}"/>
    <cellStyle name="q_Sensitivity_PowerValuation.xls Chart 21" xfId="14519" xr:uid="{00000000-0005-0000-0000-0000AD380000}"/>
    <cellStyle name="q_Sensitivity_PowerValuation.xls Chart 21_HRT O&amp;G" xfId="14520" xr:uid="{00000000-0005-0000-0000-0000AE380000}"/>
    <cellStyle name="q_Sensitivity_PowerValuation.xls Chart 28" xfId="14521" xr:uid="{00000000-0005-0000-0000-0000AF380000}"/>
    <cellStyle name="q_Sensitivity_PowerValuation.xls Chart 28_HRT O&amp;G" xfId="14522" xr:uid="{00000000-0005-0000-0000-0000B0380000}"/>
    <cellStyle name="q_Sensitivity_THEsumPage (2)" xfId="14523" xr:uid="{00000000-0005-0000-0000-0000B1380000}"/>
    <cellStyle name="q_Sensitivity_THEsumPage (2)_HRT O&amp;G" xfId="14524" xr:uid="{00000000-0005-0000-0000-0000B2380000}"/>
    <cellStyle name="q_Sensitivity_Valuation summaries" xfId="14525" xr:uid="{00000000-0005-0000-0000-0000B3380000}"/>
    <cellStyle name="q_Sensitivity_Valuation summaries_HRT O&amp;G" xfId="14526" xr:uid="{00000000-0005-0000-0000-0000B4380000}"/>
    <cellStyle name="q_show-hold" xfId="14527" xr:uid="{00000000-0005-0000-0000-0000B5380000}"/>
    <cellStyle name="q_show-hold_CompSheet" xfId="14528" xr:uid="{00000000-0005-0000-0000-0000B6380000}"/>
    <cellStyle name="q_show-hold_CompSheet_HRT O&amp;G" xfId="14529" xr:uid="{00000000-0005-0000-0000-0000B7380000}"/>
    <cellStyle name="q_show-hold_Fairness Opinion Valuation 4-23a.xls Chart 1" xfId="14530" xr:uid="{00000000-0005-0000-0000-0000B8380000}"/>
    <cellStyle name="q_show-hold_Fairness Opinion Valuation 4-23a.xls Chart 1_HRT O&amp;G" xfId="14531" xr:uid="{00000000-0005-0000-0000-0000B9380000}"/>
    <cellStyle name="q_show-hold_HRT O&amp;G" xfId="14532" xr:uid="{00000000-0005-0000-0000-0000BA380000}"/>
    <cellStyle name="q_show-hold_PowerValuation.xls Chart 21" xfId="14533" xr:uid="{00000000-0005-0000-0000-0000BB380000}"/>
    <cellStyle name="q_show-hold_PowerValuation.xls Chart 21_HRT O&amp;G" xfId="14534" xr:uid="{00000000-0005-0000-0000-0000BC380000}"/>
    <cellStyle name="q_show-hold_PowerValuation.xls Chart 28" xfId="14535" xr:uid="{00000000-0005-0000-0000-0000BD380000}"/>
    <cellStyle name="q_show-hold_PowerValuation.xls Chart 28_HRT O&amp;G" xfId="14536" xr:uid="{00000000-0005-0000-0000-0000BE380000}"/>
    <cellStyle name="q_show-hold_THEsumPage (2)" xfId="14537" xr:uid="{00000000-0005-0000-0000-0000BF380000}"/>
    <cellStyle name="q_show-hold_THEsumPage (2)_HRT O&amp;G" xfId="14538" xr:uid="{00000000-0005-0000-0000-0000C0380000}"/>
    <cellStyle name="q_show-hold_Valuation summaries" xfId="14539" xr:uid="{00000000-0005-0000-0000-0000C1380000}"/>
    <cellStyle name="q_show-hold_Valuation summaries_HRT O&amp;G" xfId="14540" xr:uid="{00000000-0005-0000-0000-0000C2380000}"/>
    <cellStyle name="q_THEsumPage (2)" xfId="14541" xr:uid="{00000000-0005-0000-0000-0000C3380000}"/>
    <cellStyle name="q_THEsumPage (2)_HRT O&amp;G" xfId="14542" xr:uid="{00000000-0005-0000-0000-0000C4380000}"/>
    <cellStyle name="q_Valuation summaries" xfId="14543" xr:uid="{00000000-0005-0000-0000-0000C5380000}"/>
    <cellStyle name="q_Valuation summaries_HRT O&amp;G" xfId="14544" xr:uid="{00000000-0005-0000-0000-0000C6380000}"/>
    <cellStyle name="q_WACC-CableCar" xfId="14545" xr:uid="{00000000-0005-0000-0000-0000C7380000}"/>
    <cellStyle name="q_WACC-CableCar_HRT O&amp;G" xfId="14546" xr:uid="{00000000-0005-0000-0000-0000C8380000}"/>
    <cellStyle name="q_WACC-CableCar_THEsumPage (2)" xfId="14547" xr:uid="{00000000-0005-0000-0000-0000C9380000}"/>
    <cellStyle name="q_WACC-CableCar_THEsumPage (2)_HRT O&amp;G" xfId="14548" xr:uid="{00000000-0005-0000-0000-0000CA380000}"/>
    <cellStyle name="QEPS-h" xfId="14549" xr:uid="{00000000-0005-0000-0000-0000CB380000}"/>
    <cellStyle name="QEPS-H1" xfId="14550" xr:uid="{00000000-0005-0000-0000-0000CC380000}"/>
    <cellStyle name="QEPS-H1 10" xfId="14551" xr:uid="{00000000-0005-0000-0000-0000CD380000}"/>
    <cellStyle name="QEPS-H1 10 2" xfId="14552" xr:uid="{00000000-0005-0000-0000-0000CE380000}"/>
    <cellStyle name="QEPS-H1 10 2 2" xfId="14553" xr:uid="{00000000-0005-0000-0000-0000CF380000}"/>
    <cellStyle name="QEPS-H1 11" xfId="14554" xr:uid="{00000000-0005-0000-0000-0000D0380000}"/>
    <cellStyle name="QEPS-H1 11 2" xfId="14555" xr:uid="{00000000-0005-0000-0000-0000D1380000}"/>
    <cellStyle name="QEPS-H1 11 2 2" xfId="14556" xr:uid="{00000000-0005-0000-0000-0000D2380000}"/>
    <cellStyle name="QEPS-H1 2" xfId="14557" xr:uid="{00000000-0005-0000-0000-0000D3380000}"/>
    <cellStyle name="QEPS-H1 2 2" xfId="14558" xr:uid="{00000000-0005-0000-0000-0000D4380000}"/>
    <cellStyle name="QEPS-H1 2 2 10" xfId="14559" xr:uid="{00000000-0005-0000-0000-0000D5380000}"/>
    <cellStyle name="QEPS-H1 2 2 10 2" xfId="14560" xr:uid="{00000000-0005-0000-0000-0000D6380000}"/>
    <cellStyle name="QEPS-H1 2 2 10 2 2" xfId="14561" xr:uid="{00000000-0005-0000-0000-0000D7380000}"/>
    <cellStyle name="QEPS-H1 2 2 11" xfId="14562" xr:uid="{00000000-0005-0000-0000-0000D8380000}"/>
    <cellStyle name="QEPS-H1 2 2 11 2" xfId="14563" xr:uid="{00000000-0005-0000-0000-0000D9380000}"/>
    <cellStyle name="QEPS-H1 2 2 11 2 2" xfId="14564" xr:uid="{00000000-0005-0000-0000-0000DA380000}"/>
    <cellStyle name="QEPS-H1 2 2 12" xfId="14565" xr:uid="{00000000-0005-0000-0000-0000DB380000}"/>
    <cellStyle name="QEPS-H1 2 2 12 2" xfId="14566" xr:uid="{00000000-0005-0000-0000-0000DC380000}"/>
    <cellStyle name="QEPS-H1 2 2 12 2 2" xfId="14567" xr:uid="{00000000-0005-0000-0000-0000DD380000}"/>
    <cellStyle name="QEPS-H1 2 2 13" xfId="14568" xr:uid="{00000000-0005-0000-0000-0000DE380000}"/>
    <cellStyle name="QEPS-H1 2 2 13 2" xfId="14569" xr:uid="{00000000-0005-0000-0000-0000DF380000}"/>
    <cellStyle name="QEPS-H1 2 2 13 2 2" xfId="14570" xr:uid="{00000000-0005-0000-0000-0000E0380000}"/>
    <cellStyle name="QEPS-H1 2 2 14" xfId="14571" xr:uid="{00000000-0005-0000-0000-0000E1380000}"/>
    <cellStyle name="QEPS-H1 2 2 14 2" xfId="14572" xr:uid="{00000000-0005-0000-0000-0000E2380000}"/>
    <cellStyle name="QEPS-H1 2 2 14 2 2" xfId="14573" xr:uid="{00000000-0005-0000-0000-0000E3380000}"/>
    <cellStyle name="QEPS-H1 2 2 15" xfId="14574" xr:uid="{00000000-0005-0000-0000-0000E4380000}"/>
    <cellStyle name="QEPS-H1 2 2 15 2" xfId="14575" xr:uid="{00000000-0005-0000-0000-0000E5380000}"/>
    <cellStyle name="QEPS-H1 2 2 2" xfId="14576" xr:uid="{00000000-0005-0000-0000-0000E6380000}"/>
    <cellStyle name="QEPS-H1 2 2 2 2" xfId="14577" xr:uid="{00000000-0005-0000-0000-0000E7380000}"/>
    <cellStyle name="QEPS-H1 2 2 2 2 2" xfId="14578" xr:uid="{00000000-0005-0000-0000-0000E8380000}"/>
    <cellStyle name="QEPS-H1 2 2 3" xfId="14579" xr:uid="{00000000-0005-0000-0000-0000E9380000}"/>
    <cellStyle name="QEPS-H1 2 2 3 2" xfId="14580" xr:uid="{00000000-0005-0000-0000-0000EA380000}"/>
    <cellStyle name="QEPS-H1 2 2 3 2 2" xfId="14581" xr:uid="{00000000-0005-0000-0000-0000EB380000}"/>
    <cellStyle name="QEPS-H1 2 2 4" xfId="14582" xr:uid="{00000000-0005-0000-0000-0000EC380000}"/>
    <cellStyle name="QEPS-H1 2 2 4 2" xfId="14583" xr:uid="{00000000-0005-0000-0000-0000ED380000}"/>
    <cellStyle name="QEPS-H1 2 2 4 2 2" xfId="14584" xr:uid="{00000000-0005-0000-0000-0000EE380000}"/>
    <cellStyle name="QEPS-H1 2 2 5" xfId="14585" xr:uid="{00000000-0005-0000-0000-0000EF380000}"/>
    <cellStyle name="QEPS-H1 2 2 5 2" xfId="14586" xr:uid="{00000000-0005-0000-0000-0000F0380000}"/>
    <cellStyle name="QEPS-H1 2 2 5 2 2" xfId="14587" xr:uid="{00000000-0005-0000-0000-0000F1380000}"/>
    <cellStyle name="QEPS-H1 2 2 6" xfId="14588" xr:uid="{00000000-0005-0000-0000-0000F2380000}"/>
    <cellStyle name="QEPS-H1 2 2 6 2" xfId="14589" xr:uid="{00000000-0005-0000-0000-0000F3380000}"/>
    <cellStyle name="QEPS-H1 2 2 6 2 2" xfId="14590" xr:uid="{00000000-0005-0000-0000-0000F4380000}"/>
    <cellStyle name="QEPS-H1 2 2 7" xfId="14591" xr:uid="{00000000-0005-0000-0000-0000F5380000}"/>
    <cellStyle name="QEPS-H1 2 2 7 2" xfId="14592" xr:uid="{00000000-0005-0000-0000-0000F6380000}"/>
    <cellStyle name="QEPS-H1 2 2 7 2 2" xfId="14593" xr:uid="{00000000-0005-0000-0000-0000F7380000}"/>
    <cellStyle name="QEPS-H1 2 2 8" xfId="14594" xr:uid="{00000000-0005-0000-0000-0000F8380000}"/>
    <cellStyle name="QEPS-H1 2 2 8 2" xfId="14595" xr:uid="{00000000-0005-0000-0000-0000F9380000}"/>
    <cellStyle name="QEPS-H1 2 2 8 2 2" xfId="14596" xr:uid="{00000000-0005-0000-0000-0000FA380000}"/>
    <cellStyle name="QEPS-H1 2 2 9" xfId="14597" xr:uid="{00000000-0005-0000-0000-0000FB380000}"/>
    <cellStyle name="QEPS-H1 2 2 9 2" xfId="14598" xr:uid="{00000000-0005-0000-0000-0000FC380000}"/>
    <cellStyle name="QEPS-H1 2 2 9 2 2" xfId="14599" xr:uid="{00000000-0005-0000-0000-0000FD380000}"/>
    <cellStyle name="QEPS-H1 2 3" xfId="14600" xr:uid="{00000000-0005-0000-0000-0000FE380000}"/>
    <cellStyle name="QEPS-H1 2 3 2" xfId="14601" xr:uid="{00000000-0005-0000-0000-0000FF380000}"/>
    <cellStyle name="QEPS-H1 2 3 2 2" xfId="14602" xr:uid="{00000000-0005-0000-0000-000000390000}"/>
    <cellStyle name="QEPS-H1 2 4" xfId="14603" xr:uid="{00000000-0005-0000-0000-000001390000}"/>
    <cellStyle name="QEPS-H1 2 4 2" xfId="14604" xr:uid="{00000000-0005-0000-0000-000002390000}"/>
    <cellStyle name="QEPS-H1 2 4 2 2" xfId="14605" xr:uid="{00000000-0005-0000-0000-000003390000}"/>
    <cellStyle name="QEPS-H1 3" xfId="14606" xr:uid="{00000000-0005-0000-0000-000004390000}"/>
    <cellStyle name="QEPS-H1 3 10" xfId="14607" xr:uid="{00000000-0005-0000-0000-000005390000}"/>
    <cellStyle name="QEPS-H1 3 10 2" xfId="14608" xr:uid="{00000000-0005-0000-0000-000006390000}"/>
    <cellStyle name="QEPS-H1 3 10 2 2" xfId="14609" xr:uid="{00000000-0005-0000-0000-000007390000}"/>
    <cellStyle name="QEPS-H1 3 2" xfId="14610" xr:uid="{00000000-0005-0000-0000-000008390000}"/>
    <cellStyle name="QEPS-H1 3 2 2" xfId="14611" xr:uid="{00000000-0005-0000-0000-000009390000}"/>
    <cellStyle name="QEPS-H1 3 2 2 2" xfId="14612" xr:uid="{00000000-0005-0000-0000-00000A390000}"/>
    <cellStyle name="QEPS-H1 3 2 3" xfId="14613" xr:uid="{00000000-0005-0000-0000-00000B390000}"/>
    <cellStyle name="QEPS-H1 3 3" xfId="14614" xr:uid="{00000000-0005-0000-0000-00000C390000}"/>
    <cellStyle name="QEPS-H1 3 3 2" xfId="14615" xr:uid="{00000000-0005-0000-0000-00000D390000}"/>
    <cellStyle name="QEPS-H1 3 3 2 2" xfId="14616" xr:uid="{00000000-0005-0000-0000-00000E390000}"/>
    <cellStyle name="QEPS-H1 3 3 3" xfId="14617" xr:uid="{00000000-0005-0000-0000-00000F390000}"/>
    <cellStyle name="QEPS-H1 3 4" xfId="14618" xr:uid="{00000000-0005-0000-0000-000010390000}"/>
    <cellStyle name="QEPS-H1 3 4 2" xfId="14619" xr:uid="{00000000-0005-0000-0000-000011390000}"/>
    <cellStyle name="QEPS-H1 3 5" xfId="14620" xr:uid="{00000000-0005-0000-0000-000012390000}"/>
    <cellStyle name="QEPS-H1 3 5 2" xfId="14621" xr:uid="{00000000-0005-0000-0000-000013390000}"/>
    <cellStyle name="QEPS-H1 3 5 2 2" xfId="14622" xr:uid="{00000000-0005-0000-0000-000014390000}"/>
    <cellStyle name="QEPS-H1 3 6" xfId="14623" xr:uid="{00000000-0005-0000-0000-000015390000}"/>
    <cellStyle name="QEPS-H1 3 6 2" xfId="14624" xr:uid="{00000000-0005-0000-0000-000016390000}"/>
    <cellStyle name="QEPS-H1 3 6 2 2" xfId="14625" xr:uid="{00000000-0005-0000-0000-000017390000}"/>
    <cellStyle name="QEPS-H1 3 7" xfId="14626" xr:uid="{00000000-0005-0000-0000-000018390000}"/>
    <cellStyle name="QEPS-H1 3 7 2" xfId="14627" xr:uid="{00000000-0005-0000-0000-000019390000}"/>
    <cellStyle name="QEPS-H1 3 7 2 2" xfId="14628" xr:uid="{00000000-0005-0000-0000-00001A390000}"/>
    <cellStyle name="QEPS-H1 3 8" xfId="14629" xr:uid="{00000000-0005-0000-0000-00001B390000}"/>
    <cellStyle name="QEPS-H1 3 8 2" xfId="14630" xr:uid="{00000000-0005-0000-0000-00001C390000}"/>
    <cellStyle name="QEPS-H1 3 8 2 2" xfId="14631" xr:uid="{00000000-0005-0000-0000-00001D390000}"/>
    <cellStyle name="QEPS-H1 3 9" xfId="14632" xr:uid="{00000000-0005-0000-0000-00001E390000}"/>
    <cellStyle name="QEPS-H1 3 9 2" xfId="14633" xr:uid="{00000000-0005-0000-0000-00001F390000}"/>
    <cellStyle name="QEPS-H1 3 9 2 2" xfId="14634" xr:uid="{00000000-0005-0000-0000-000020390000}"/>
    <cellStyle name="QEPS-H1 4" xfId="14635" xr:uid="{00000000-0005-0000-0000-000021390000}"/>
    <cellStyle name="QEPS-H1 4 10" xfId="14636" xr:uid="{00000000-0005-0000-0000-000022390000}"/>
    <cellStyle name="QEPS-H1 4 10 2" xfId="14637" xr:uid="{00000000-0005-0000-0000-000023390000}"/>
    <cellStyle name="QEPS-H1 4 10 2 2" xfId="14638" xr:uid="{00000000-0005-0000-0000-000024390000}"/>
    <cellStyle name="QEPS-H1 4 11" xfId="14639" xr:uid="{00000000-0005-0000-0000-000025390000}"/>
    <cellStyle name="QEPS-H1 4 11 2" xfId="14640" xr:uid="{00000000-0005-0000-0000-000026390000}"/>
    <cellStyle name="QEPS-H1 4 11 2 2" xfId="14641" xr:uid="{00000000-0005-0000-0000-000027390000}"/>
    <cellStyle name="QEPS-H1 4 12" xfId="14642" xr:uid="{00000000-0005-0000-0000-000028390000}"/>
    <cellStyle name="QEPS-H1 4 12 2" xfId="14643" xr:uid="{00000000-0005-0000-0000-000029390000}"/>
    <cellStyle name="QEPS-H1 4 12 2 2" xfId="14644" xr:uid="{00000000-0005-0000-0000-00002A390000}"/>
    <cellStyle name="QEPS-H1 4 13" xfId="14645" xr:uid="{00000000-0005-0000-0000-00002B390000}"/>
    <cellStyle name="QEPS-H1 4 13 2" xfId="14646" xr:uid="{00000000-0005-0000-0000-00002C390000}"/>
    <cellStyle name="QEPS-H1 4 13 2 2" xfId="14647" xr:uid="{00000000-0005-0000-0000-00002D390000}"/>
    <cellStyle name="QEPS-H1 4 14" xfId="14648" xr:uid="{00000000-0005-0000-0000-00002E390000}"/>
    <cellStyle name="QEPS-H1 4 14 2" xfId="14649" xr:uid="{00000000-0005-0000-0000-00002F390000}"/>
    <cellStyle name="QEPS-H1 4 14 2 2" xfId="14650" xr:uid="{00000000-0005-0000-0000-000030390000}"/>
    <cellStyle name="QEPS-H1 4 2" xfId="14651" xr:uid="{00000000-0005-0000-0000-000031390000}"/>
    <cellStyle name="QEPS-H1 4 2 2" xfId="14652" xr:uid="{00000000-0005-0000-0000-000032390000}"/>
    <cellStyle name="QEPS-H1 4 2 2 2" xfId="14653" xr:uid="{00000000-0005-0000-0000-000033390000}"/>
    <cellStyle name="QEPS-H1 4 2 3" xfId="14654" xr:uid="{00000000-0005-0000-0000-000034390000}"/>
    <cellStyle name="QEPS-H1 4 3" xfId="14655" xr:uid="{00000000-0005-0000-0000-000035390000}"/>
    <cellStyle name="QEPS-H1 4 3 2" xfId="14656" xr:uid="{00000000-0005-0000-0000-000036390000}"/>
    <cellStyle name="QEPS-H1 4 3 2 2" xfId="14657" xr:uid="{00000000-0005-0000-0000-000037390000}"/>
    <cellStyle name="QEPS-H1 4 3 3" xfId="14658" xr:uid="{00000000-0005-0000-0000-000038390000}"/>
    <cellStyle name="QEPS-H1 4 4" xfId="14659" xr:uid="{00000000-0005-0000-0000-000039390000}"/>
    <cellStyle name="QEPS-H1 4 4 2" xfId="14660" xr:uid="{00000000-0005-0000-0000-00003A390000}"/>
    <cellStyle name="QEPS-H1 4 5" xfId="14661" xr:uid="{00000000-0005-0000-0000-00003B390000}"/>
    <cellStyle name="QEPS-H1 4 5 2" xfId="14662" xr:uid="{00000000-0005-0000-0000-00003C390000}"/>
    <cellStyle name="QEPS-H1 4 5 2 2" xfId="14663" xr:uid="{00000000-0005-0000-0000-00003D390000}"/>
    <cellStyle name="QEPS-H1 4 6" xfId="14664" xr:uid="{00000000-0005-0000-0000-00003E390000}"/>
    <cellStyle name="QEPS-H1 4 6 2" xfId="14665" xr:uid="{00000000-0005-0000-0000-00003F390000}"/>
    <cellStyle name="QEPS-H1 4 6 2 2" xfId="14666" xr:uid="{00000000-0005-0000-0000-000040390000}"/>
    <cellStyle name="QEPS-H1 4 7" xfId="14667" xr:uid="{00000000-0005-0000-0000-000041390000}"/>
    <cellStyle name="QEPS-H1 4 7 2" xfId="14668" xr:uid="{00000000-0005-0000-0000-000042390000}"/>
    <cellStyle name="QEPS-H1 4 7 2 2" xfId="14669" xr:uid="{00000000-0005-0000-0000-000043390000}"/>
    <cellStyle name="QEPS-H1 4 8" xfId="14670" xr:uid="{00000000-0005-0000-0000-000044390000}"/>
    <cellStyle name="QEPS-H1 4 8 2" xfId="14671" xr:uid="{00000000-0005-0000-0000-000045390000}"/>
    <cellStyle name="QEPS-H1 4 8 2 2" xfId="14672" xr:uid="{00000000-0005-0000-0000-000046390000}"/>
    <cellStyle name="QEPS-H1 4 9" xfId="14673" xr:uid="{00000000-0005-0000-0000-000047390000}"/>
    <cellStyle name="QEPS-H1 4 9 2" xfId="14674" xr:uid="{00000000-0005-0000-0000-000048390000}"/>
    <cellStyle name="QEPS-H1 4 9 2 2" xfId="14675" xr:uid="{00000000-0005-0000-0000-000049390000}"/>
    <cellStyle name="QEPS-H1 5" xfId="14676" xr:uid="{00000000-0005-0000-0000-00004A390000}"/>
    <cellStyle name="QEPS-H1 5 10" xfId="14677" xr:uid="{00000000-0005-0000-0000-00004B390000}"/>
    <cellStyle name="QEPS-H1 5 10 2" xfId="14678" xr:uid="{00000000-0005-0000-0000-00004C390000}"/>
    <cellStyle name="QEPS-H1 5 10 2 2" xfId="14679" xr:uid="{00000000-0005-0000-0000-00004D390000}"/>
    <cellStyle name="QEPS-H1 5 11" xfId="14680" xr:uid="{00000000-0005-0000-0000-00004E390000}"/>
    <cellStyle name="QEPS-H1 5 11 2" xfId="14681" xr:uid="{00000000-0005-0000-0000-00004F390000}"/>
    <cellStyle name="QEPS-H1 5 11 2 2" xfId="14682" xr:uid="{00000000-0005-0000-0000-000050390000}"/>
    <cellStyle name="QEPS-H1 5 12" xfId="14683" xr:uid="{00000000-0005-0000-0000-000051390000}"/>
    <cellStyle name="QEPS-H1 5 12 2" xfId="14684" xr:uid="{00000000-0005-0000-0000-000052390000}"/>
    <cellStyle name="QEPS-H1 5 12 2 2" xfId="14685" xr:uid="{00000000-0005-0000-0000-000053390000}"/>
    <cellStyle name="QEPS-H1 5 13" xfId="14686" xr:uid="{00000000-0005-0000-0000-000054390000}"/>
    <cellStyle name="QEPS-H1 5 13 2" xfId="14687" xr:uid="{00000000-0005-0000-0000-000055390000}"/>
    <cellStyle name="QEPS-H1 5 13 2 2" xfId="14688" xr:uid="{00000000-0005-0000-0000-000056390000}"/>
    <cellStyle name="QEPS-H1 5 14" xfId="14689" xr:uid="{00000000-0005-0000-0000-000057390000}"/>
    <cellStyle name="QEPS-H1 5 14 2" xfId="14690" xr:uid="{00000000-0005-0000-0000-000058390000}"/>
    <cellStyle name="QEPS-H1 5 14 2 2" xfId="14691" xr:uid="{00000000-0005-0000-0000-000059390000}"/>
    <cellStyle name="QEPS-H1 5 2" xfId="14692" xr:uid="{00000000-0005-0000-0000-00005A390000}"/>
    <cellStyle name="QEPS-H1 5 2 2" xfId="14693" xr:uid="{00000000-0005-0000-0000-00005B390000}"/>
    <cellStyle name="QEPS-H1 5 2 2 2" xfId="14694" xr:uid="{00000000-0005-0000-0000-00005C390000}"/>
    <cellStyle name="QEPS-H1 5 3" xfId="14695" xr:uid="{00000000-0005-0000-0000-00005D390000}"/>
    <cellStyle name="QEPS-H1 5 3 2" xfId="14696" xr:uid="{00000000-0005-0000-0000-00005E390000}"/>
    <cellStyle name="QEPS-H1 5 3 2 2" xfId="14697" xr:uid="{00000000-0005-0000-0000-00005F390000}"/>
    <cellStyle name="QEPS-H1 5 4" xfId="14698" xr:uid="{00000000-0005-0000-0000-000060390000}"/>
    <cellStyle name="QEPS-H1 5 4 2" xfId="14699" xr:uid="{00000000-0005-0000-0000-000061390000}"/>
    <cellStyle name="QEPS-H1 5 4 2 2" xfId="14700" xr:uid="{00000000-0005-0000-0000-000062390000}"/>
    <cellStyle name="QEPS-H1 5 5" xfId="14701" xr:uid="{00000000-0005-0000-0000-000063390000}"/>
    <cellStyle name="QEPS-H1 5 5 2" xfId="14702" xr:uid="{00000000-0005-0000-0000-000064390000}"/>
    <cellStyle name="QEPS-H1 5 5 2 2" xfId="14703" xr:uid="{00000000-0005-0000-0000-000065390000}"/>
    <cellStyle name="QEPS-H1 5 6" xfId="14704" xr:uid="{00000000-0005-0000-0000-000066390000}"/>
    <cellStyle name="QEPS-H1 5 6 2" xfId="14705" xr:uid="{00000000-0005-0000-0000-000067390000}"/>
    <cellStyle name="QEPS-H1 5 6 2 2" xfId="14706" xr:uid="{00000000-0005-0000-0000-000068390000}"/>
    <cellStyle name="QEPS-H1 5 7" xfId="14707" xr:uid="{00000000-0005-0000-0000-000069390000}"/>
    <cellStyle name="QEPS-H1 5 7 2" xfId="14708" xr:uid="{00000000-0005-0000-0000-00006A390000}"/>
    <cellStyle name="QEPS-H1 5 7 2 2" xfId="14709" xr:uid="{00000000-0005-0000-0000-00006B390000}"/>
    <cellStyle name="QEPS-H1 5 8" xfId="14710" xr:uid="{00000000-0005-0000-0000-00006C390000}"/>
    <cellStyle name="QEPS-H1 5 8 2" xfId="14711" xr:uid="{00000000-0005-0000-0000-00006D390000}"/>
    <cellStyle name="QEPS-H1 5 8 2 2" xfId="14712" xr:uid="{00000000-0005-0000-0000-00006E390000}"/>
    <cellStyle name="QEPS-H1 5 9" xfId="14713" xr:uid="{00000000-0005-0000-0000-00006F390000}"/>
    <cellStyle name="QEPS-H1 5 9 2" xfId="14714" xr:uid="{00000000-0005-0000-0000-000070390000}"/>
    <cellStyle name="QEPS-H1 5 9 2 2" xfId="14715" xr:uid="{00000000-0005-0000-0000-000071390000}"/>
    <cellStyle name="QEPS-H1 6" xfId="14716" xr:uid="{00000000-0005-0000-0000-000072390000}"/>
    <cellStyle name="QEPS-H1 6 2" xfId="14717" xr:uid="{00000000-0005-0000-0000-000073390000}"/>
    <cellStyle name="QEPS-H1 6 2 2" xfId="14718" xr:uid="{00000000-0005-0000-0000-000074390000}"/>
    <cellStyle name="QEPS-H1 7" xfId="14719" xr:uid="{00000000-0005-0000-0000-000075390000}"/>
    <cellStyle name="QEPS-H1 7 2" xfId="14720" xr:uid="{00000000-0005-0000-0000-000076390000}"/>
    <cellStyle name="QEPS-H1 7 2 2" xfId="14721" xr:uid="{00000000-0005-0000-0000-000077390000}"/>
    <cellStyle name="QEPS-H1 8" xfId="14722" xr:uid="{00000000-0005-0000-0000-000078390000}"/>
    <cellStyle name="QEPS-H1 8 2" xfId="14723" xr:uid="{00000000-0005-0000-0000-000079390000}"/>
    <cellStyle name="QEPS-H1 8 2 2" xfId="14724" xr:uid="{00000000-0005-0000-0000-00007A390000}"/>
    <cellStyle name="QEPS-H1 9" xfId="14725" xr:uid="{00000000-0005-0000-0000-00007B390000}"/>
    <cellStyle name="QEPS-H1 9 2" xfId="14726" xr:uid="{00000000-0005-0000-0000-00007C390000}"/>
    <cellStyle name="QEPS-H1 9 2 2" xfId="14727" xr:uid="{00000000-0005-0000-0000-00007D390000}"/>
    <cellStyle name="qRange" xfId="14728" xr:uid="{00000000-0005-0000-0000-00007E390000}"/>
    <cellStyle name="Qté calculées" xfId="14729" xr:uid="{00000000-0005-0000-0000-00007F390000}"/>
    <cellStyle name="Qté calculées 2" xfId="14730" xr:uid="{00000000-0005-0000-0000-000080390000}"/>
    <cellStyle name="Qté calculées 2 2" xfId="14731" xr:uid="{00000000-0005-0000-0000-000081390000}"/>
    <cellStyle name="Qté calculées 2 2 2" xfId="14732" xr:uid="{00000000-0005-0000-0000-000082390000}"/>
    <cellStyle name="Qté calculées 2 2 2 2" xfId="14733" xr:uid="{00000000-0005-0000-0000-000083390000}"/>
    <cellStyle name="Qté calculées 2 2 2 2 2" xfId="14734" xr:uid="{00000000-0005-0000-0000-000084390000}"/>
    <cellStyle name="Qté calculées 2 2 2 3" xfId="14735" xr:uid="{00000000-0005-0000-0000-000085390000}"/>
    <cellStyle name="Qté calculées 2 2 2 4" xfId="14736" xr:uid="{00000000-0005-0000-0000-000086390000}"/>
    <cellStyle name="Qté calculées 2 2 3" xfId="14737" xr:uid="{00000000-0005-0000-0000-000087390000}"/>
    <cellStyle name="Qté calculées 2 2 3 2" xfId="14738" xr:uid="{00000000-0005-0000-0000-000088390000}"/>
    <cellStyle name="Qté calculées 2 2 4" xfId="14739" xr:uid="{00000000-0005-0000-0000-000089390000}"/>
    <cellStyle name="Qté calculées 2 2 5" xfId="14740" xr:uid="{00000000-0005-0000-0000-00008A390000}"/>
    <cellStyle name="Qté calculées 2 3" xfId="14741" xr:uid="{00000000-0005-0000-0000-00008B390000}"/>
    <cellStyle name="Qté calculées 2 3 2" xfId="14742" xr:uid="{00000000-0005-0000-0000-00008C390000}"/>
    <cellStyle name="Qté calculées 2 3 2 2" xfId="14743" xr:uid="{00000000-0005-0000-0000-00008D390000}"/>
    <cellStyle name="Qté calculées 2 3 2 2 2" xfId="14744" xr:uid="{00000000-0005-0000-0000-00008E390000}"/>
    <cellStyle name="Qté calculées 2 3 2 3" xfId="14745" xr:uid="{00000000-0005-0000-0000-00008F390000}"/>
    <cellStyle name="Qté calculées 2 3 2 4" xfId="14746" xr:uid="{00000000-0005-0000-0000-000090390000}"/>
    <cellStyle name="Qté calculées 2 3 3" xfId="14747" xr:uid="{00000000-0005-0000-0000-000091390000}"/>
    <cellStyle name="Qté calculées 2 3 3 2" xfId="14748" xr:uid="{00000000-0005-0000-0000-000092390000}"/>
    <cellStyle name="Qté calculées 2 3 4" xfId="14749" xr:uid="{00000000-0005-0000-0000-000093390000}"/>
    <cellStyle name="Qté calculées 2 3 5" xfId="14750" xr:uid="{00000000-0005-0000-0000-000094390000}"/>
    <cellStyle name="Qté calculées 2 4" xfId="14751" xr:uid="{00000000-0005-0000-0000-000095390000}"/>
    <cellStyle name="Qté calculées 2 4 2" xfId="14752" xr:uid="{00000000-0005-0000-0000-000096390000}"/>
    <cellStyle name="Qté calculées 2 4 2 2" xfId="14753" xr:uid="{00000000-0005-0000-0000-000097390000}"/>
    <cellStyle name="Qté calculées 2 4 2 2 2" xfId="14754" xr:uid="{00000000-0005-0000-0000-000098390000}"/>
    <cellStyle name="Qté calculées 2 4 2 3" xfId="14755" xr:uid="{00000000-0005-0000-0000-000099390000}"/>
    <cellStyle name="Qté calculées 2 4 2 4" xfId="14756" xr:uid="{00000000-0005-0000-0000-00009A390000}"/>
    <cellStyle name="Qté calculées 2 4 3" xfId="14757" xr:uid="{00000000-0005-0000-0000-00009B390000}"/>
    <cellStyle name="Qté calculées 2 4 3 2" xfId="14758" xr:uid="{00000000-0005-0000-0000-00009C390000}"/>
    <cellStyle name="Qté calculées 2 4 4" xfId="14759" xr:uid="{00000000-0005-0000-0000-00009D390000}"/>
    <cellStyle name="Qté calculées 2 4 5" xfId="14760" xr:uid="{00000000-0005-0000-0000-00009E390000}"/>
    <cellStyle name="Qté calculées 2 5" xfId="14761" xr:uid="{00000000-0005-0000-0000-00009F390000}"/>
    <cellStyle name="Qté calculées 2 5 2" xfId="14762" xr:uid="{00000000-0005-0000-0000-0000A0390000}"/>
    <cellStyle name="Qté calculées 2 5 2 2" xfId="14763" xr:uid="{00000000-0005-0000-0000-0000A1390000}"/>
    <cellStyle name="Qté calculées 2 5 2 2 2" xfId="14764" xr:uid="{00000000-0005-0000-0000-0000A2390000}"/>
    <cellStyle name="Qté calculées 2 5 2 3" xfId="14765" xr:uid="{00000000-0005-0000-0000-0000A3390000}"/>
    <cellStyle name="Qté calculées 2 5 2 4" xfId="14766" xr:uid="{00000000-0005-0000-0000-0000A4390000}"/>
    <cellStyle name="Qté calculées 2 5 3" xfId="14767" xr:uid="{00000000-0005-0000-0000-0000A5390000}"/>
    <cellStyle name="Qté calculées 2 5 3 2" xfId="14768" xr:uid="{00000000-0005-0000-0000-0000A6390000}"/>
    <cellStyle name="Qté calculées 2 5 4" xfId="14769" xr:uid="{00000000-0005-0000-0000-0000A7390000}"/>
    <cellStyle name="Qté calculées 2 5 5" xfId="14770" xr:uid="{00000000-0005-0000-0000-0000A8390000}"/>
    <cellStyle name="Qté calculées 2 6" xfId="14771" xr:uid="{00000000-0005-0000-0000-0000A9390000}"/>
    <cellStyle name="Qté calculées 2 6 2" xfId="14772" xr:uid="{00000000-0005-0000-0000-0000AA390000}"/>
    <cellStyle name="Qté calculées 2 7" xfId="14773" xr:uid="{00000000-0005-0000-0000-0000AB390000}"/>
    <cellStyle name="Qté calculées 2 8" xfId="14774" xr:uid="{00000000-0005-0000-0000-0000AC390000}"/>
    <cellStyle name="Qté calculées 3" xfId="14775" xr:uid="{00000000-0005-0000-0000-0000AD390000}"/>
    <cellStyle name="Qté calculées 3 2" xfId="14776" xr:uid="{00000000-0005-0000-0000-0000AE390000}"/>
    <cellStyle name="Qté calculées 3 2 2" xfId="14777" xr:uid="{00000000-0005-0000-0000-0000AF390000}"/>
    <cellStyle name="Qté calculées 3 2 2 2" xfId="14778" xr:uid="{00000000-0005-0000-0000-0000B0390000}"/>
    <cellStyle name="Qté calculées 3 2 3" xfId="14779" xr:uid="{00000000-0005-0000-0000-0000B1390000}"/>
    <cellStyle name="Qté calculées 3 2 4" xfId="14780" xr:uid="{00000000-0005-0000-0000-0000B2390000}"/>
    <cellStyle name="Qté calculées 3 3" xfId="14781" xr:uid="{00000000-0005-0000-0000-0000B3390000}"/>
    <cellStyle name="Qté calculées 3 3 2" xfId="14782" xr:uid="{00000000-0005-0000-0000-0000B4390000}"/>
    <cellStyle name="Qté calculées 3 4" xfId="14783" xr:uid="{00000000-0005-0000-0000-0000B5390000}"/>
    <cellStyle name="Qté calculées 3 5" xfId="14784" xr:uid="{00000000-0005-0000-0000-0000B6390000}"/>
    <cellStyle name="Qté calculées 4" xfId="14785" xr:uid="{00000000-0005-0000-0000-0000B7390000}"/>
    <cellStyle name="Qté calculées 4 2" xfId="14786" xr:uid="{00000000-0005-0000-0000-0000B8390000}"/>
    <cellStyle name="Qté calculées 4 2 2" xfId="14787" xr:uid="{00000000-0005-0000-0000-0000B9390000}"/>
    <cellStyle name="Qté calculées 4 2 2 2" xfId="14788" xr:uid="{00000000-0005-0000-0000-0000BA390000}"/>
    <cellStyle name="Qté calculées 4 2 3" xfId="14789" xr:uid="{00000000-0005-0000-0000-0000BB390000}"/>
    <cellStyle name="Qté calculées 4 2 4" xfId="14790" xr:uid="{00000000-0005-0000-0000-0000BC390000}"/>
    <cellStyle name="Qté calculées 4 3" xfId="14791" xr:uid="{00000000-0005-0000-0000-0000BD390000}"/>
    <cellStyle name="Qté calculées 4 3 2" xfId="14792" xr:uid="{00000000-0005-0000-0000-0000BE390000}"/>
    <cellStyle name="Qté calculées 4 4" xfId="14793" xr:uid="{00000000-0005-0000-0000-0000BF390000}"/>
    <cellStyle name="Qté calculées 4 5" xfId="14794" xr:uid="{00000000-0005-0000-0000-0000C0390000}"/>
    <cellStyle name="Qté calculées 5" xfId="14795" xr:uid="{00000000-0005-0000-0000-0000C1390000}"/>
    <cellStyle name="Qté calculées 5 2" xfId="14796" xr:uid="{00000000-0005-0000-0000-0000C2390000}"/>
    <cellStyle name="Qté calculées 5 2 2" xfId="14797" xr:uid="{00000000-0005-0000-0000-0000C3390000}"/>
    <cellStyle name="Qté calculées 5 2 2 2" xfId="14798" xr:uid="{00000000-0005-0000-0000-0000C4390000}"/>
    <cellStyle name="Qté calculées 5 2 3" xfId="14799" xr:uid="{00000000-0005-0000-0000-0000C5390000}"/>
    <cellStyle name="Qté calculées 5 2 4" xfId="14800" xr:uid="{00000000-0005-0000-0000-0000C6390000}"/>
    <cellStyle name="Qté calculées 5 3" xfId="14801" xr:uid="{00000000-0005-0000-0000-0000C7390000}"/>
    <cellStyle name="Qté calculées 5 3 2" xfId="14802" xr:uid="{00000000-0005-0000-0000-0000C8390000}"/>
    <cellStyle name="Qté calculées 5 4" xfId="14803" xr:uid="{00000000-0005-0000-0000-0000C9390000}"/>
    <cellStyle name="Qté calculées 5 5" xfId="14804" xr:uid="{00000000-0005-0000-0000-0000CA390000}"/>
    <cellStyle name="Qté calculées 6" xfId="14805" xr:uid="{00000000-0005-0000-0000-0000CB390000}"/>
    <cellStyle name="Qté calculées 6 2" xfId="14806" xr:uid="{00000000-0005-0000-0000-0000CC390000}"/>
    <cellStyle name="Qté calculées 6 2 2" xfId="14807" xr:uid="{00000000-0005-0000-0000-0000CD390000}"/>
    <cellStyle name="Qté calculées 6 2 2 2" xfId="14808" xr:uid="{00000000-0005-0000-0000-0000CE390000}"/>
    <cellStyle name="Qté calculées 6 2 3" xfId="14809" xr:uid="{00000000-0005-0000-0000-0000CF390000}"/>
    <cellStyle name="Qté calculées 6 2 4" xfId="14810" xr:uid="{00000000-0005-0000-0000-0000D0390000}"/>
    <cellStyle name="Qté calculées 6 3" xfId="14811" xr:uid="{00000000-0005-0000-0000-0000D1390000}"/>
    <cellStyle name="Qté calculées 6 3 2" xfId="14812" xr:uid="{00000000-0005-0000-0000-0000D2390000}"/>
    <cellStyle name="Qté calculées 6 4" xfId="14813" xr:uid="{00000000-0005-0000-0000-0000D3390000}"/>
    <cellStyle name="Qté calculées 6 5" xfId="14814" xr:uid="{00000000-0005-0000-0000-0000D4390000}"/>
    <cellStyle name="Qté calculées 7" xfId="14815" xr:uid="{00000000-0005-0000-0000-0000D5390000}"/>
    <cellStyle name="Qté calculées 7 2" xfId="14816" xr:uid="{00000000-0005-0000-0000-0000D6390000}"/>
    <cellStyle name="Qté calculées 8" xfId="14817" xr:uid="{00000000-0005-0000-0000-0000D7390000}"/>
    <cellStyle name="Qté calculées 9" xfId="14818" xr:uid="{00000000-0005-0000-0000-0000D8390000}"/>
    <cellStyle name="QTé entrées" xfId="14819" xr:uid="{00000000-0005-0000-0000-0000D9390000}"/>
    <cellStyle name="QTé entrées 2" xfId="14820" xr:uid="{00000000-0005-0000-0000-0000DA390000}"/>
    <cellStyle name="r" xfId="14821" xr:uid="{00000000-0005-0000-0000-0000DB390000}"/>
    <cellStyle name="r_Dominion_One_Pager 05_28_02 v34" xfId="14822" xr:uid="{00000000-0005-0000-0000-0000DC390000}"/>
    <cellStyle name="r_Dominion_One_Pager 05_28_02 v34_HRT O&amp;G" xfId="14823" xr:uid="{00000000-0005-0000-0000-0000DD390000}"/>
    <cellStyle name="r_EXC-PSEG PF v5" xfId="14824" xr:uid="{00000000-0005-0000-0000-0000DE390000}"/>
    <cellStyle name="r_EXC-PSEG PF v5_HRT O&amp;G" xfId="14825" xr:uid="{00000000-0005-0000-0000-0000DF390000}"/>
    <cellStyle name="r_HRT O&amp;G" xfId="14826" xr:uid="{00000000-0005-0000-0000-0000E0390000}"/>
    <cellStyle name="r_Merger_PSEG_v9.2" xfId="14827" xr:uid="{00000000-0005-0000-0000-0000E1390000}"/>
    <cellStyle name="r_Merger_PSEG_v9.2_Exelon Power Fuel Forecast - Project P 6-11-2004 ver21" xfId="14828" xr:uid="{00000000-0005-0000-0000-0000E2390000}"/>
    <cellStyle name="r_Merger_PSEG_v9.2_Exelon Power Fuel Forecast - Project P 6-11-2004 ver21_HRT O&amp;G" xfId="14829" xr:uid="{00000000-0005-0000-0000-0000E3390000}"/>
    <cellStyle name="r_Merger_PSEG_v9.2_HRT O&amp;G" xfId="14830" xr:uid="{00000000-0005-0000-0000-0000E4390000}"/>
    <cellStyle name="r_Merger_PSEG_v9.2_ML Outputs" xfId="14831" xr:uid="{00000000-0005-0000-0000-0000E5390000}"/>
    <cellStyle name="r_Merger_PSEG_v9.2_ML Outputs_HRT O&amp;G" xfId="14832" xr:uid="{00000000-0005-0000-0000-0000E6390000}"/>
    <cellStyle name="r_Merger_PSEG_v9.2_Project Forest Pro Forma Model v58" xfId="14833" xr:uid="{00000000-0005-0000-0000-0000E7390000}"/>
    <cellStyle name="r_Merger_PSEG_v9.2_Project Forest Pro Forma Model v58_HRT O&amp;G" xfId="14834" xr:uid="{00000000-0005-0000-0000-0000E8390000}"/>
    <cellStyle name="r_ML Outputs" xfId="14835" xr:uid="{00000000-0005-0000-0000-0000E9390000}"/>
    <cellStyle name="r_ML Outputs_HRT O&amp;G" xfId="14836" xr:uid="{00000000-0005-0000-0000-0000EA390000}"/>
    <cellStyle name="r_Model v9.8" xfId="14837" xr:uid="{00000000-0005-0000-0000-0000EB390000}"/>
    <cellStyle name="r_Model v9.8_HRT O&amp;G" xfId="14838" xr:uid="{00000000-0005-0000-0000-0000EC390000}"/>
    <cellStyle name="r_Modeling3" xfId="14839" xr:uid="{00000000-0005-0000-0000-0000ED390000}"/>
    <cellStyle name="r_Modeling3_HRT O&amp;G" xfId="14840" xr:uid="{00000000-0005-0000-0000-0000EE390000}"/>
    <cellStyle name="r_pldt" xfId="14841" xr:uid="{00000000-0005-0000-0000-0000EF390000}"/>
    <cellStyle name="r_pldt_HRT O&amp;G" xfId="14842" xr:uid="{00000000-0005-0000-0000-0000F0390000}"/>
    <cellStyle name="r_Project Forest Pro Forma Model v58" xfId="14843" xr:uid="{00000000-0005-0000-0000-0000F1390000}"/>
    <cellStyle name="r_Project Forest Pro Forma Model v58_HRT O&amp;G" xfId="14844" xr:uid="{00000000-0005-0000-0000-0000F2390000}"/>
    <cellStyle name="r_PSEG Consolidated Model ver 23" xfId="14845" xr:uid="{00000000-0005-0000-0000-0000F3390000}"/>
    <cellStyle name="r_PSEG Consolidated Model ver 23_HRT O&amp;G" xfId="14846" xr:uid="{00000000-0005-0000-0000-0000F4390000}"/>
    <cellStyle name="range" xfId="14847" xr:uid="{00000000-0005-0000-0000-0000F5390000}"/>
    <cellStyle name="range 2" xfId="14848" xr:uid="{00000000-0005-0000-0000-0000F6390000}"/>
    <cellStyle name="range 2 2" xfId="14849" xr:uid="{00000000-0005-0000-0000-0000F7390000}"/>
    <cellStyle name="range 2 2 2" xfId="14850" xr:uid="{00000000-0005-0000-0000-0000F8390000}"/>
    <cellStyle name="range 2 3" xfId="14851" xr:uid="{00000000-0005-0000-0000-0000F9390000}"/>
    <cellStyle name="range 3" xfId="14852" xr:uid="{00000000-0005-0000-0000-0000FA390000}"/>
    <cellStyle name="range 3 2" xfId="14853" xr:uid="{00000000-0005-0000-0000-0000FB390000}"/>
    <cellStyle name="range 4" xfId="14854" xr:uid="{00000000-0005-0000-0000-0000FC390000}"/>
    <cellStyle name="ras" xfId="14855" xr:uid="{00000000-0005-0000-0000-0000FD390000}"/>
    <cellStyle name="ras 2" xfId="14856" xr:uid="{00000000-0005-0000-0000-0000FE390000}"/>
    <cellStyle name="ras 2 2" xfId="14857" xr:uid="{00000000-0005-0000-0000-0000FF390000}"/>
    <cellStyle name="ras 2 2 2" xfId="14858" xr:uid="{00000000-0005-0000-0000-0000003A0000}"/>
    <cellStyle name="ras 2 2 2 2" xfId="14859" xr:uid="{00000000-0005-0000-0000-0000013A0000}"/>
    <cellStyle name="ras 2 2 2 2 2" xfId="14860" xr:uid="{00000000-0005-0000-0000-0000023A0000}"/>
    <cellStyle name="ras 2 2 2 3" xfId="14861" xr:uid="{00000000-0005-0000-0000-0000033A0000}"/>
    <cellStyle name="ras 2 2 2 4" xfId="14862" xr:uid="{00000000-0005-0000-0000-0000043A0000}"/>
    <cellStyle name="ras 2 2 3" xfId="14863" xr:uid="{00000000-0005-0000-0000-0000053A0000}"/>
    <cellStyle name="ras 2 2 3 2" xfId="14864" xr:uid="{00000000-0005-0000-0000-0000063A0000}"/>
    <cellStyle name="ras 2 2 4" xfId="14865" xr:uid="{00000000-0005-0000-0000-0000073A0000}"/>
    <cellStyle name="ras 2 2 5" xfId="14866" xr:uid="{00000000-0005-0000-0000-0000083A0000}"/>
    <cellStyle name="ras 2 3" xfId="14867" xr:uid="{00000000-0005-0000-0000-0000093A0000}"/>
    <cellStyle name="ras 2 3 2" xfId="14868" xr:uid="{00000000-0005-0000-0000-00000A3A0000}"/>
    <cellStyle name="ras 2 3 2 2" xfId="14869" xr:uid="{00000000-0005-0000-0000-00000B3A0000}"/>
    <cellStyle name="ras 2 3 2 2 2" xfId="14870" xr:uid="{00000000-0005-0000-0000-00000C3A0000}"/>
    <cellStyle name="ras 2 3 2 3" xfId="14871" xr:uid="{00000000-0005-0000-0000-00000D3A0000}"/>
    <cellStyle name="ras 2 3 2 4" xfId="14872" xr:uid="{00000000-0005-0000-0000-00000E3A0000}"/>
    <cellStyle name="ras 2 3 3" xfId="14873" xr:uid="{00000000-0005-0000-0000-00000F3A0000}"/>
    <cellStyle name="ras 2 3 3 2" xfId="14874" xr:uid="{00000000-0005-0000-0000-0000103A0000}"/>
    <cellStyle name="ras 2 3 4" xfId="14875" xr:uid="{00000000-0005-0000-0000-0000113A0000}"/>
    <cellStyle name="ras 2 3 5" xfId="14876" xr:uid="{00000000-0005-0000-0000-0000123A0000}"/>
    <cellStyle name="ras 2 4" xfId="14877" xr:uid="{00000000-0005-0000-0000-0000133A0000}"/>
    <cellStyle name="ras 2 4 2" xfId="14878" xr:uid="{00000000-0005-0000-0000-0000143A0000}"/>
    <cellStyle name="ras 2 4 2 2" xfId="14879" xr:uid="{00000000-0005-0000-0000-0000153A0000}"/>
    <cellStyle name="ras 2 4 2 2 2" xfId="14880" xr:uid="{00000000-0005-0000-0000-0000163A0000}"/>
    <cellStyle name="ras 2 4 2 3" xfId="14881" xr:uid="{00000000-0005-0000-0000-0000173A0000}"/>
    <cellStyle name="ras 2 4 2 4" xfId="14882" xr:uid="{00000000-0005-0000-0000-0000183A0000}"/>
    <cellStyle name="ras 2 4 3" xfId="14883" xr:uid="{00000000-0005-0000-0000-0000193A0000}"/>
    <cellStyle name="ras 2 4 3 2" xfId="14884" xr:uid="{00000000-0005-0000-0000-00001A3A0000}"/>
    <cellStyle name="ras 2 4 4" xfId="14885" xr:uid="{00000000-0005-0000-0000-00001B3A0000}"/>
    <cellStyle name="ras 2 4 5" xfId="14886" xr:uid="{00000000-0005-0000-0000-00001C3A0000}"/>
    <cellStyle name="ras 2 5" xfId="14887" xr:uid="{00000000-0005-0000-0000-00001D3A0000}"/>
    <cellStyle name="ras 2 5 2" xfId="14888" xr:uid="{00000000-0005-0000-0000-00001E3A0000}"/>
    <cellStyle name="ras 2 5 2 2" xfId="14889" xr:uid="{00000000-0005-0000-0000-00001F3A0000}"/>
    <cellStyle name="ras 2 5 2 2 2" xfId="14890" xr:uid="{00000000-0005-0000-0000-0000203A0000}"/>
    <cellStyle name="ras 2 5 2 3" xfId="14891" xr:uid="{00000000-0005-0000-0000-0000213A0000}"/>
    <cellStyle name="ras 2 5 2 4" xfId="14892" xr:uid="{00000000-0005-0000-0000-0000223A0000}"/>
    <cellStyle name="ras 2 5 3" xfId="14893" xr:uid="{00000000-0005-0000-0000-0000233A0000}"/>
    <cellStyle name="ras 2 5 3 2" xfId="14894" xr:uid="{00000000-0005-0000-0000-0000243A0000}"/>
    <cellStyle name="ras 2 5 4" xfId="14895" xr:uid="{00000000-0005-0000-0000-0000253A0000}"/>
    <cellStyle name="ras 2 5 5" xfId="14896" xr:uid="{00000000-0005-0000-0000-0000263A0000}"/>
    <cellStyle name="ras 2 6" xfId="14897" xr:uid="{00000000-0005-0000-0000-0000273A0000}"/>
    <cellStyle name="ras 2 6 2" xfId="14898" xr:uid="{00000000-0005-0000-0000-0000283A0000}"/>
    <cellStyle name="ras 2 7" xfId="14899" xr:uid="{00000000-0005-0000-0000-0000293A0000}"/>
    <cellStyle name="ras 2 8" xfId="14900" xr:uid="{00000000-0005-0000-0000-00002A3A0000}"/>
    <cellStyle name="ras 3" xfId="14901" xr:uid="{00000000-0005-0000-0000-00002B3A0000}"/>
    <cellStyle name="ras 3 2" xfId="14902" xr:uid="{00000000-0005-0000-0000-00002C3A0000}"/>
    <cellStyle name="ras 3 2 2" xfId="14903" xr:uid="{00000000-0005-0000-0000-00002D3A0000}"/>
    <cellStyle name="ras 3 2 2 2" xfId="14904" xr:uid="{00000000-0005-0000-0000-00002E3A0000}"/>
    <cellStyle name="ras 3 2 3" xfId="14905" xr:uid="{00000000-0005-0000-0000-00002F3A0000}"/>
    <cellStyle name="ras 3 2 4" xfId="14906" xr:uid="{00000000-0005-0000-0000-0000303A0000}"/>
    <cellStyle name="ras 3 3" xfId="14907" xr:uid="{00000000-0005-0000-0000-0000313A0000}"/>
    <cellStyle name="ras 3 3 2" xfId="14908" xr:uid="{00000000-0005-0000-0000-0000323A0000}"/>
    <cellStyle name="ras 3 4" xfId="14909" xr:uid="{00000000-0005-0000-0000-0000333A0000}"/>
    <cellStyle name="ras 3 5" xfId="14910" xr:uid="{00000000-0005-0000-0000-0000343A0000}"/>
    <cellStyle name="ras 4" xfId="14911" xr:uid="{00000000-0005-0000-0000-0000353A0000}"/>
    <cellStyle name="ras 4 2" xfId="14912" xr:uid="{00000000-0005-0000-0000-0000363A0000}"/>
    <cellStyle name="ras 4 2 2" xfId="14913" xr:uid="{00000000-0005-0000-0000-0000373A0000}"/>
    <cellStyle name="ras 4 2 2 2" xfId="14914" xr:uid="{00000000-0005-0000-0000-0000383A0000}"/>
    <cellStyle name="ras 4 2 3" xfId="14915" xr:uid="{00000000-0005-0000-0000-0000393A0000}"/>
    <cellStyle name="ras 4 2 4" xfId="14916" xr:uid="{00000000-0005-0000-0000-00003A3A0000}"/>
    <cellStyle name="ras 4 3" xfId="14917" xr:uid="{00000000-0005-0000-0000-00003B3A0000}"/>
    <cellStyle name="ras 4 3 2" xfId="14918" xr:uid="{00000000-0005-0000-0000-00003C3A0000}"/>
    <cellStyle name="ras 4 4" xfId="14919" xr:uid="{00000000-0005-0000-0000-00003D3A0000}"/>
    <cellStyle name="ras 4 5" xfId="14920" xr:uid="{00000000-0005-0000-0000-00003E3A0000}"/>
    <cellStyle name="ras 5" xfId="14921" xr:uid="{00000000-0005-0000-0000-00003F3A0000}"/>
    <cellStyle name="ras 5 2" xfId="14922" xr:uid="{00000000-0005-0000-0000-0000403A0000}"/>
    <cellStyle name="ras 5 2 2" xfId="14923" xr:uid="{00000000-0005-0000-0000-0000413A0000}"/>
    <cellStyle name="ras 5 2 2 2" xfId="14924" xr:uid="{00000000-0005-0000-0000-0000423A0000}"/>
    <cellStyle name="ras 5 2 3" xfId="14925" xr:uid="{00000000-0005-0000-0000-0000433A0000}"/>
    <cellStyle name="ras 5 2 4" xfId="14926" xr:uid="{00000000-0005-0000-0000-0000443A0000}"/>
    <cellStyle name="ras 5 3" xfId="14927" xr:uid="{00000000-0005-0000-0000-0000453A0000}"/>
    <cellStyle name="ras 5 3 2" xfId="14928" xr:uid="{00000000-0005-0000-0000-0000463A0000}"/>
    <cellStyle name="ras 5 4" xfId="14929" xr:uid="{00000000-0005-0000-0000-0000473A0000}"/>
    <cellStyle name="ras 5 5" xfId="14930" xr:uid="{00000000-0005-0000-0000-0000483A0000}"/>
    <cellStyle name="ras 6" xfId="14931" xr:uid="{00000000-0005-0000-0000-0000493A0000}"/>
    <cellStyle name="ras 6 2" xfId="14932" xr:uid="{00000000-0005-0000-0000-00004A3A0000}"/>
    <cellStyle name="ras 6 2 2" xfId="14933" xr:uid="{00000000-0005-0000-0000-00004B3A0000}"/>
    <cellStyle name="ras 6 2 2 2" xfId="14934" xr:uid="{00000000-0005-0000-0000-00004C3A0000}"/>
    <cellStyle name="ras 6 2 3" xfId="14935" xr:uid="{00000000-0005-0000-0000-00004D3A0000}"/>
    <cellStyle name="ras 6 2 4" xfId="14936" xr:uid="{00000000-0005-0000-0000-00004E3A0000}"/>
    <cellStyle name="ras 6 3" xfId="14937" xr:uid="{00000000-0005-0000-0000-00004F3A0000}"/>
    <cellStyle name="ras 6 3 2" xfId="14938" xr:uid="{00000000-0005-0000-0000-0000503A0000}"/>
    <cellStyle name="ras 6 4" xfId="14939" xr:uid="{00000000-0005-0000-0000-0000513A0000}"/>
    <cellStyle name="ras 6 5" xfId="14940" xr:uid="{00000000-0005-0000-0000-0000523A0000}"/>
    <cellStyle name="ras 7" xfId="14941" xr:uid="{00000000-0005-0000-0000-0000533A0000}"/>
    <cellStyle name="ras 7 2" xfId="14942" xr:uid="{00000000-0005-0000-0000-0000543A0000}"/>
    <cellStyle name="ras 8" xfId="14943" xr:uid="{00000000-0005-0000-0000-0000553A0000}"/>
    <cellStyle name="ras 9" xfId="14944" xr:uid="{00000000-0005-0000-0000-0000563A0000}"/>
    <cellStyle name="Rate" xfId="14945" xr:uid="{00000000-0005-0000-0000-0000573A0000}"/>
    <cellStyle name="Ratio" xfId="14946" xr:uid="{00000000-0005-0000-0000-0000583A0000}"/>
    <cellStyle name="Ratio Comma" xfId="14947" xr:uid="{00000000-0005-0000-0000-0000593A0000}"/>
    <cellStyle name="Ratio_Backus model v.38" xfId="14948" xr:uid="{00000000-0005-0000-0000-00005A3A0000}"/>
    <cellStyle name="RatioX" xfId="14949" xr:uid="{00000000-0005-0000-0000-00005B3A0000}"/>
    <cellStyle name="Red font" xfId="14950" xr:uid="{00000000-0005-0000-0000-00005C3A0000}"/>
    <cellStyle name="Red Text" xfId="14951" xr:uid="{00000000-0005-0000-0000-00005D3A0000}"/>
    <cellStyle name="Red Text 2" xfId="14952" xr:uid="{00000000-0005-0000-0000-00005E3A0000}"/>
    <cellStyle name="Red Text 2 2" xfId="14953" xr:uid="{00000000-0005-0000-0000-00005F3A0000}"/>
    <cellStyle name="Red Text 2 2 2" xfId="14954" xr:uid="{00000000-0005-0000-0000-0000603A0000}"/>
    <cellStyle name="Red Text 2 2 2 2" xfId="14955" xr:uid="{00000000-0005-0000-0000-0000613A0000}"/>
    <cellStyle name="Red Text 2 2 3" xfId="14956" xr:uid="{00000000-0005-0000-0000-0000623A0000}"/>
    <cellStyle name="Red Text 2 3" xfId="14957" xr:uid="{00000000-0005-0000-0000-0000633A0000}"/>
    <cellStyle name="Red Text 2 3 2" xfId="14958" xr:uid="{00000000-0005-0000-0000-0000643A0000}"/>
    <cellStyle name="Red Text 2 4" xfId="14959" xr:uid="{00000000-0005-0000-0000-0000653A0000}"/>
    <cellStyle name="Red Text 3" xfId="14960" xr:uid="{00000000-0005-0000-0000-0000663A0000}"/>
    <cellStyle name="Red Text 3 2" xfId="14961" xr:uid="{00000000-0005-0000-0000-0000673A0000}"/>
    <cellStyle name="Red Text 3 2 2" xfId="14962" xr:uid="{00000000-0005-0000-0000-0000683A0000}"/>
    <cellStyle name="Red Text 3 3" xfId="14963" xr:uid="{00000000-0005-0000-0000-0000693A0000}"/>
    <cellStyle name="Red Text 4" xfId="14964" xr:uid="{00000000-0005-0000-0000-00006A3A0000}"/>
    <cellStyle name="Red Text 4 2" xfId="14965" xr:uid="{00000000-0005-0000-0000-00006B3A0000}"/>
    <cellStyle name="Red Text 5" xfId="14966" xr:uid="{00000000-0005-0000-0000-00006C3A0000}"/>
    <cellStyle name="Reference" xfId="14967" xr:uid="{00000000-0005-0000-0000-00006D3A0000}"/>
    <cellStyle name="Regular" xfId="14968" xr:uid="{00000000-0005-0000-0000-00006E3A0000}"/>
    <cellStyle name="Renata" xfId="14969" xr:uid="{00000000-0005-0000-0000-00006F3A0000}"/>
    <cellStyle name="Renata I" xfId="14970" xr:uid="{00000000-0005-0000-0000-0000703A0000}"/>
    <cellStyle name="Renata II" xfId="14971" xr:uid="{00000000-0005-0000-0000-0000713A0000}"/>
    <cellStyle name="Renata III" xfId="14972" xr:uid="{00000000-0005-0000-0000-0000723A0000}"/>
    <cellStyle name="Renata_HRT O&amp;G" xfId="14973" xr:uid="{00000000-0005-0000-0000-0000733A0000}"/>
    <cellStyle name="RevList" xfId="14974" xr:uid="{00000000-0005-0000-0000-0000743A0000}"/>
    <cellStyle name="Right" xfId="14975" xr:uid="{00000000-0005-0000-0000-0000753A0000}"/>
    <cellStyle name="RM" xfId="14976" xr:uid="{00000000-0005-0000-0000-0000763A0000}"/>
    <cellStyle name="Roadrunner" xfId="14977" xr:uid="{00000000-0005-0000-0000-0000773A0000}"/>
    <cellStyle name="robs" xfId="14978" xr:uid="{00000000-0005-0000-0000-0000783A0000}"/>
    <cellStyle name="robs 10" xfId="14979" xr:uid="{00000000-0005-0000-0000-0000793A0000}"/>
    <cellStyle name="robs 2" xfId="14980" xr:uid="{00000000-0005-0000-0000-00007A3A0000}"/>
    <cellStyle name="robs 2 2" xfId="14981" xr:uid="{00000000-0005-0000-0000-00007B3A0000}"/>
    <cellStyle name="robs 2 2 2" xfId="14982" xr:uid="{00000000-0005-0000-0000-00007C3A0000}"/>
    <cellStyle name="robs 2 2 2 2" xfId="14983" xr:uid="{00000000-0005-0000-0000-00007D3A0000}"/>
    <cellStyle name="robs 2 2 2 2 2" xfId="14984" xr:uid="{00000000-0005-0000-0000-00007E3A0000}"/>
    <cellStyle name="robs 2 2 2 3" xfId="14985" xr:uid="{00000000-0005-0000-0000-00007F3A0000}"/>
    <cellStyle name="robs 2 2 3" xfId="14986" xr:uid="{00000000-0005-0000-0000-0000803A0000}"/>
    <cellStyle name="robs 2 2 3 2" xfId="14987" xr:uid="{00000000-0005-0000-0000-0000813A0000}"/>
    <cellStyle name="robs 2 2 4" xfId="14988" xr:uid="{00000000-0005-0000-0000-0000823A0000}"/>
    <cellStyle name="robs 2 3" xfId="14989" xr:uid="{00000000-0005-0000-0000-0000833A0000}"/>
    <cellStyle name="robs 2 3 2" xfId="14990" xr:uid="{00000000-0005-0000-0000-0000843A0000}"/>
    <cellStyle name="robs 2 3 2 2" xfId="14991" xr:uid="{00000000-0005-0000-0000-0000853A0000}"/>
    <cellStyle name="robs 2 3 3" xfId="14992" xr:uid="{00000000-0005-0000-0000-0000863A0000}"/>
    <cellStyle name="robs 2 4" xfId="14993" xr:uid="{00000000-0005-0000-0000-0000873A0000}"/>
    <cellStyle name="robs 2 4 2" xfId="14994" xr:uid="{00000000-0005-0000-0000-0000883A0000}"/>
    <cellStyle name="robs 2 5" xfId="14995" xr:uid="{00000000-0005-0000-0000-0000893A0000}"/>
    <cellStyle name="robs 3" xfId="14996" xr:uid="{00000000-0005-0000-0000-00008A3A0000}"/>
    <cellStyle name="robs 3 2" xfId="14997" xr:uid="{00000000-0005-0000-0000-00008B3A0000}"/>
    <cellStyle name="robs 3 2 2" xfId="14998" xr:uid="{00000000-0005-0000-0000-00008C3A0000}"/>
    <cellStyle name="robs 3 2 2 2" xfId="14999" xr:uid="{00000000-0005-0000-0000-00008D3A0000}"/>
    <cellStyle name="robs 3 2 2 2 2" xfId="15000" xr:uid="{00000000-0005-0000-0000-00008E3A0000}"/>
    <cellStyle name="robs 3 2 2 3" xfId="15001" xr:uid="{00000000-0005-0000-0000-00008F3A0000}"/>
    <cellStyle name="robs 3 2 3" xfId="15002" xr:uid="{00000000-0005-0000-0000-0000903A0000}"/>
    <cellStyle name="robs 3 2 3 2" xfId="15003" xr:uid="{00000000-0005-0000-0000-0000913A0000}"/>
    <cellStyle name="robs 3 2 4" xfId="15004" xr:uid="{00000000-0005-0000-0000-0000923A0000}"/>
    <cellStyle name="robs 3 3" xfId="15005" xr:uid="{00000000-0005-0000-0000-0000933A0000}"/>
    <cellStyle name="robs 3 3 2" xfId="15006" xr:uid="{00000000-0005-0000-0000-0000943A0000}"/>
    <cellStyle name="robs 3 3 2 2" xfId="15007" xr:uid="{00000000-0005-0000-0000-0000953A0000}"/>
    <cellStyle name="robs 3 3 3" xfId="15008" xr:uid="{00000000-0005-0000-0000-0000963A0000}"/>
    <cellStyle name="robs 3 4" xfId="15009" xr:uid="{00000000-0005-0000-0000-0000973A0000}"/>
    <cellStyle name="robs 3 4 2" xfId="15010" xr:uid="{00000000-0005-0000-0000-0000983A0000}"/>
    <cellStyle name="robs 3 5" xfId="15011" xr:uid="{00000000-0005-0000-0000-0000993A0000}"/>
    <cellStyle name="robs 4" xfId="15012" xr:uid="{00000000-0005-0000-0000-00009A3A0000}"/>
    <cellStyle name="robs 4 2" xfId="15013" xr:uid="{00000000-0005-0000-0000-00009B3A0000}"/>
    <cellStyle name="robs 4 2 2" xfId="15014" xr:uid="{00000000-0005-0000-0000-00009C3A0000}"/>
    <cellStyle name="robs 4 2 2 2" xfId="15015" xr:uid="{00000000-0005-0000-0000-00009D3A0000}"/>
    <cellStyle name="robs 4 2 2 2 2" xfId="15016" xr:uid="{00000000-0005-0000-0000-00009E3A0000}"/>
    <cellStyle name="robs 4 2 2 3" xfId="15017" xr:uid="{00000000-0005-0000-0000-00009F3A0000}"/>
    <cellStyle name="robs 4 2 3" xfId="15018" xr:uid="{00000000-0005-0000-0000-0000A03A0000}"/>
    <cellStyle name="robs 4 2 3 2" xfId="15019" xr:uid="{00000000-0005-0000-0000-0000A13A0000}"/>
    <cellStyle name="robs 4 2 4" xfId="15020" xr:uid="{00000000-0005-0000-0000-0000A23A0000}"/>
    <cellStyle name="robs 4 3" xfId="15021" xr:uid="{00000000-0005-0000-0000-0000A33A0000}"/>
    <cellStyle name="robs 4 3 2" xfId="15022" xr:uid="{00000000-0005-0000-0000-0000A43A0000}"/>
    <cellStyle name="robs 4 3 2 2" xfId="15023" xr:uid="{00000000-0005-0000-0000-0000A53A0000}"/>
    <cellStyle name="robs 4 3 3" xfId="15024" xr:uid="{00000000-0005-0000-0000-0000A63A0000}"/>
    <cellStyle name="robs 4 4" xfId="15025" xr:uid="{00000000-0005-0000-0000-0000A73A0000}"/>
    <cellStyle name="robs 4 4 2" xfId="15026" xr:uid="{00000000-0005-0000-0000-0000A83A0000}"/>
    <cellStyle name="robs 4 5" xfId="15027" xr:uid="{00000000-0005-0000-0000-0000A93A0000}"/>
    <cellStyle name="robs 5" xfId="15028" xr:uid="{00000000-0005-0000-0000-0000AA3A0000}"/>
    <cellStyle name="robs 5 2" xfId="15029" xr:uid="{00000000-0005-0000-0000-0000AB3A0000}"/>
    <cellStyle name="robs 5 2 2" xfId="15030" xr:uid="{00000000-0005-0000-0000-0000AC3A0000}"/>
    <cellStyle name="robs 5 2 2 2" xfId="15031" xr:uid="{00000000-0005-0000-0000-0000AD3A0000}"/>
    <cellStyle name="robs 5 2 2 2 2" xfId="15032" xr:uid="{00000000-0005-0000-0000-0000AE3A0000}"/>
    <cellStyle name="robs 5 2 2 3" xfId="15033" xr:uid="{00000000-0005-0000-0000-0000AF3A0000}"/>
    <cellStyle name="robs 5 2 3" xfId="15034" xr:uid="{00000000-0005-0000-0000-0000B03A0000}"/>
    <cellStyle name="robs 5 2 3 2" xfId="15035" xr:uid="{00000000-0005-0000-0000-0000B13A0000}"/>
    <cellStyle name="robs 5 2 4" xfId="15036" xr:uid="{00000000-0005-0000-0000-0000B23A0000}"/>
    <cellStyle name="robs 5 3" xfId="15037" xr:uid="{00000000-0005-0000-0000-0000B33A0000}"/>
    <cellStyle name="robs 5 3 2" xfId="15038" xr:uid="{00000000-0005-0000-0000-0000B43A0000}"/>
    <cellStyle name="robs 5 3 2 2" xfId="15039" xr:uid="{00000000-0005-0000-0000-0000B53A0000}"/>
    <cellStyle name="robs 5 3 3" xfId="15040" xr:uid="{00000000-0005-0000-0000-0000B63A0000}"/>
    <cellStyle name="robs 5 4" xfId="15041" xr:uid="{00000000-0005-0000-0000-0000B73A0000}"/>
    <cellStyle name="robs 5 4 2" xfId="15042" xr:uid="{00000000-0005-0000-0000-0000B83A0000}"/>
    <cellStyle name="robs 5 5" xfId="15043" xr:uid="{00000000-0005-0000-0000-0000B93A0000}"/>
    <cellStyle name="robs 6" xfId="15044" xr:uid="{00000000-0005-0000-0000-0000BA3A0000}"/>
    <cellStyle name="robs 6 2" xfId="15045" xr:uid="{00000000-0005-0000-0000-0000BB3A0000}"/>
    <cellStyle name="robs 6 2 2" xfId="15046" xr:uid="{00000000-0005-0000-0000-0000BC3A0000}"/>
    <cellStyle name="robs 6 2 2 2" xfId="15047" xr:uid="{00000000-0005-0000-0000-0000BD3A0000}"/>
    <cellStyle name="robs 6 2 2 2 2" xfId="15048" xr:uid="{00000000-0005-0000-0000-0000BE3A0000}"/>
    <cellStyle name="robs 6 2 2 3" xfId="15049" xr:uid="{00000000-0005-0000-0000-0000BF3A0000}"/>
    <cellStyle name="robs 6 2 3" xfId="15050" xr:uid="{00000000-0005-0000-0000-0000C03A0000}"/>
    <cellStyle name="robs 6 2 3 2" xfId="15051" xr:uid="{00000000-0005-0000-0000-0000C13A0000}"/>
    <cellStyle name="robs 6 2 4" xfId="15052" xr:uid="{00000000-0005-0000-0000-0000C23A0000}"/>
    <cellStyle name="robs 6 3" xfId="15053" xr:uid="{00000000-0005-0000-0000-0000C33A0000}"/>
    <cellStyle name="robs 6 3 2" xfId="15054" xr:uid="{00000000-0005-0000-0000-0000C43A0000}"/>
    <cellStyle name="robs 6 3 2 2" xfId="15055" xr:uid="{00000000-0005-0000-0000-0000C53A0000}"/>
    <cellStyle name="robs 6 3 3" xfId="15056" xr:uid="{00000000-0005-0000-0000-0000C63A0000}"/>
    <cellStyle name="robs 6 4" xfId="15057" xr:uid="{00000000-0005-0000-0000-0000C73A0000}"/>
    <cellStyle name="robs 6 4 2" xfId="15058" xr:uid="{00000000-0005-0000-0000-0000C83A0000}"/>
    <cellStyle name="robs 6 5" xfId="15059" xr:uid="{00000000-0005-0000-0000-0000C93A0000}"/>
    <cellStyle name="robs 7" xfId="15060" xr:uid="{00000000-0005-0000-0000-0000CA3A0000}"/>
    <cellStyle name="robs 7 2" xfId="15061" xr:uid="{00000000-0005-0000-0000-0000CB3A0000}"/>
    <cellStyle name="robs 7 2 2" xfId="15062" xr:uid="{00000000-0005-0000-0000-0000CC3A0000}"/>
    <cellStyle name="robs 7 2 2 2" xfId="15063" xr:uid="{00000000-0005-0000-0000-0000CD3A0000}"/>
    <cellStyle name="robs 7 2 3" xfId="15064" xr:uid="{00000000-0005-0000-0000-0000CE3A0000}"/>
    <cellStyle name="robs 7 3" xfId="15065" xr:uid="{00000000-0005-0000-0000-0000CF3A0000}"/>
    <cellStyle name="robs 7 3 2" xfId="15066" xr:uid="{00000000-0005-0000-0000-0000D03A0000}"/>
    <cellStyle name="robs 7 4" xfId="15067" xr:uid="{00000000-0005-0000-0000-0000D13A0000}"/>
    <cellStyle name="robs 8" xfId="15068" xr:uid="{00000000-0005-0000-0000-0000D23A0000}"/>
    <cellStyle name="robs 8 2" xfId="15069" xr:uid="{00000000-0005-0000-0000-0000D33A0000}"/>
    <cellStyle name="robs 8 2 2" xfId="15070" xr:uid="{00000000-0005-0000-0000-0000D43A0000}"/>
    <cellStyle name="robs 8 3" xfId="15071" xr:uid="{00000000-0005-0000-0000-0000D53A0000}"/>
    <cellStyle name="robs 9" xfId="15072" xr:uid="{00000000-0005-0000-0000-0000D63A0000}"/>
    <cellStyle name="robs 9 2" xfId="15073" xr:uid="{00000000-0005-0000-0000-0000D73A0000}"/>
    <cellStyle name="Round" xfId="15074" xr:uid="{00000000-0005-0000-0000-0000D83A0000}"/>
    <cellStyle name="Row Headings" xfId="15075" xr:uid="{00000000-0005-0000-0000-0000D93A0000}"/>
    <cellStyle name="Ruim" xfId="8" builtinId="27" customBuiltin="1"/>
    <cellStyle name="S%" xfId="15076" xr:uid="{00000000-0005-0000-0000-0000DA3A0000}"/>
    <cellStyle name="Saída" xfId="10" builtinId="21" customBuiltin="1"/>
    <cellStyle name="Saída 10" xfId="15077" xr:uid="{00000000-0005-0000-0000-0000DC3A0000}"/>
    <cellStyle name="Saída 11" xfId="15078" xr:uid="{00000000-0005-0000-0000-0000DD3A0000}"/>
    <cellStyle name="Saída 12" xfId="15079" xr:uid="{00000000-0005-0000-0000-0000DE3A0000}"/>
    <cellStyle name="Saída 13" xfId="15080" xr:uid="{00000000-0005-0000-0000-0000DF3A0000}"/>
    <cellStyle name="Saída 14" xfId="15081" xr:uid="{00000000-0005-0000-0000-0000E03A0000}"/>
    <cellStyle name="Saída 15" xfId="15082" xr:uid="{00000000-0005-0000-0000-0000E13A0000}"/>
    <cellStyle name="Saída 16" xfId="15083" xr:uid="{00000000-0005-0000-0000-0000E23A0000}"/>
    <cellStyle name="Saída 17" xfId="15084" xr:uid="{00000000-0005-0000-0000-0000E33A0000}"/>
    <cellStyle name="Saída 18" xfId="15085" xr:uid="{00000000-0005-0000-0000-0000E43A0000}"/>
    <cellStyle name="Saída 19" xfId="15086" xr:uid="{00000000-0005-0000-0000-0000E53A0000}"/>
    <cellStyle name="Saída 2" xfId="15087" xr:uid="{00000000-0005-0000-0000-0000E63A0000}"/>
    <cellStyle name="Saída 2 2" xfId="15088" xr:uid="{00000000-0005-0000-0000-0000E73A0000}"/>
    <cellStyle name="Saída 2 2 2" xfId="15089" xr:uid="{00000000-0005-0000-0000-0000E83A0000}"/>
    <cellStyle name="Saída 2 2 2 2" xfId="15090" xr:uid="{00000000-0005-0000-0000-0000E93A0000}"/>
    <cellStyle name="Saída 2 2 2 2 2" xfId="15091" xr:uid="{00000000-0005-0000-0000-0000EA3A0000}"/>
    <cellStyle name="Saída 2 2 2 2 2 2" xfId="15092" xr:uid="{00000000-0005-0000-0000-0000EB3A0000}"/>
    <cellStyle name="Saída 2 2 2 2 3" xfId="15093" xr:uid="{00000000-0005-0000-0000-0000EC3A0000}"/>
    <cellStyle name="Saída 2 2 2 3" xfId="15094" xr:uid="{00000000-0005-0000-0000-0000ED3A0000}"/>
    <cellStyle name="Saída 2 2 2 3 2" xfId="15095" xr:uid="{00000000-0005-0000-0000-0000EE3A0000}"/>
    <cellStyle name="Saída 2 2 2 4" xfId="15096" xr:uid="{00000000-0005-0000-0000-0000EF3A0000}"/>
    <cellStyle name="Saída 2 2 3" xfId="15097" xr:uid="{00000000-0005-0000-0000-0000F03A0000}"/>
    <cellStyle name="Saída 2 2 3 2" xfId="15098" xr:uid="{00000000-0005-0000-0000-0000F13A0000}"/>
    <cellStyle name="Saída 2 2 3 2 2" xfId="15099" xr:uid="{00000000-0005-0000-0000-0000F23A0000}"/>
    <cellStyle name="Saída 2 2 3 3" xfId="15100" xr:uid="{00000000-0005-0000-0000-0000F33A0000}"/>
    <cellStyle name="Saída 2 2 4" xfId="15101" xr:uid="{00000000-0005-0000-0000-0000F43A0000}"/>
    <cellStyle name="Saída 2 2 4 2" xfId="15102" xr:uid="{00000000-0005-0000-0000-0000F53A0000}"/>
    <cellStyle name="Saída 2 2 5" xfId="15103" xr:uid="{00000000-0005-0000-0000-0000F63A0000}"/>
    <cellStyle name="Saída 2 3" xfId="15104" xr:uid="{00000000-0005-0000-0000-0000F73A0000}"/>
    <cellStyle name="Saída 2 3 2" xfId="15105" xr:uid="{00000000-0005-0000-0000-0000F83A0000}"/>
    <cellStyle name="Saída 2 3 2 2" xfId="15106" xr:uid="{00000000-0005-0000-0000-0000F93A0000}"/>
    <cellStyle name="Saída 2 3 2 2 2" xfId="15107" xr:uid="{00000000-0005-0000-0000-0000FA3A0000}"/>
    <cellStyle name="Saída 2 3 2 2 2 2" xfId="15108" xr:uid="{00000000-0005-0000-0000-0000FB3A0000}"/>
    <cellStyle name="Saída 2 3 2 2 3" xfId="15109" xr:uid="{00000000-0005-0000-0000-0000FC3A0000}"/>
    <cellStyle name="Saída 2 3 2 3" xfId="15110" xr:uid="{00000000-0005-0000-0000-0000FD3A0000}"/>
    <cellStyle name="Saída 2 3 2 3 2" xfId="15111" xr:uid="{00000000-0005-0000-0000-0000FE3A0000}"/>
    <cellStyle name="Saída 2 3 2 4" xfId="15112" xr:uid="{00000000-0005-0000-0000-0000FF3A0000}"/>
    <cellStyle name="Saída 2 3 3" xfId="15113" xr:uid="{00000000-0005-0000-0000-0000003B0000}"/>
    <cellStyle name="Saída 2 3 3 2" xfId="15114" xr:uid="{00000000-0005-0000-0000-0000013B0000}"/>
    <cellStyle name="Saída 2 3 3 2 2" xfId="15115" xr:uid="{00000000-0005-0000-0000-0000023B0000}"/>
    <cellStyle name="Saída 2 3 3 3" xfId="15116" xr:uid="{00000000-0005-0000-0000-0000033B0000}"/>
    <cellStyle name="Saída 2 3 4" xfId="15117" xr:uid="{00000000-0005-0000-0000-0000043B0000}"/>
    <cellStyle name="Saída 2 3 4 2" xfId="15118" xr:uid="{00000000-0005-0000-0000-0000053B0000}"/>
    <cellStyle name="Saída 2 3 5" xfId="15119" xr:uid="{00000000-0005-0000-0000-0000063B0000}"/>
    <cellStyle name="Saída 2 4" xfId="15120" xr:uid="{00000000-0005-0000-0000-0000073B0000}"/>
    <cellStyle name="Saída 2 4 2" xfId="15121" xr:uid="{00000000-0005-0000-0000-0000083B0000}"/>
    <cellStyle name="Saída 2 4 2 2" xfId="15122" xr:uid="{00000000-0005-0000-0000-0000093B0000}"/>
    <cellStyle name="Saída 2 4 2 2 2" xfId="15123" xr:uid="{00000000-0005-0000-0000-00000A3B0000}"/>
    <cellStyle name="Saída 2 4 2 2 2 2" xfId="15124" xr:uid="{00000000-0005-0000-0000-00000B3B0000}"/>
    <cellStyle name="Saída 2 4 2 2 3" xfId="15125" xr:uid="{00000000-0005-0000-0000-00000C3B0000}"/>
    <cellStyle name="Saída 2 4 2 3" xfId="15126" xr:uid="{00000000-0005-0000-0000-00000D3B0000}"/>
    <cellStyle name="Saída 2 4 2 3 2" xfId="15127" xr:uid="{00000000-0005-0000-0000-00000E3B0000}"/>
    <cellStyle name="Saída 2 4 2 4" xfId="15128" xr:uid="{00000000-0005-0000-0000-00000F3B0000}"/>
    <cellStyle name="Saída 2 4 3" xfId="15129" xr:uid="{00000000-0005-0000-0000-0000103B0000}"/>
    <cellStyle name="Saída 2 4 3 2" xfId="15130" xr:uid="{00000000-0005-0000-0000-0000113B0000}"/>
    <cellStyle name="Saída 2 4 3 2 2" xfId="15131" xr:uid="{00000000-0005-0000-0000-0000123B0000}"/>
    <cellStyle name="Saída 2 4 3 3" xfId="15132" xr:uid="{00000000-0005-0000-0000-0000133B0000}"/>
    <cellStyle name="Saída 2 4 4" xfId="15133" xr:uid="{00000000-0005-0000-0000-0000143B0000}"/>
    <cellStyle name="Saída 2 4 4 2" xfId="15134" xr:uid="{00000000-0005-0000-0000-0000153B0000}"/>
    <cellStyle name="Saída 2 4 5" xfId="15135" xr:uid="{00000000-0005-0000-0000-0000163B0000}"/>
    <cellStyle name="Saída 2 5" xfId="15136" xr:uid="{00000000-0005-0000-0000-0000173B0000}"/>
    <cellStyle name="Saída 2 5 2" xfId="15137" xr:uid="{00000000-0005-0000-0000-0000183B0000}"/>
    <cellStyle name="Saída 2 5 2 2" xfId="15138" xr:uid="{00000000-0005-0000-0000-0000193B0000}"/>
    <cellStyle name="Saída 2 5 2 2 2" xfId="15139" xr:uid="{00000000-0005-0000-0000-00001A3B0000}"/>
    <cellStyle name="Saída 2 5 2 2 2 2" xfId="15140" xr:uid="{00000000-0005-0000-0000-00001B3B0000}"/>
    <cellStyle name="Saída 2 5 2 2 3" xfId="15141" xr:uid="{00000000-0005-0000-0000-00001C3B0000}"/>
    <cellStyle name="Saída 2 5 2 3" xfId="15142" xr:uid="{00000000-0005-0000-0000-00001D3B0000}"/>
    <cellStyle name="Saída 2 5 2 3 2" xfId="15143" xr:uid="{00000000-0005-0000-0000-00001E3B0000}"/>
    <cellStyle name="Saída 2 5 2 4" xfId="15144" xr:uid="{00000000-0005-0000-0000-00001F3B0000}"/>
    <cellStyle name="Saída 2 5 3" xfId="15145" xr:uid="{00000000-0005-0000-0000-0000203B0000}"/>
    <cellStyle name="Saída 2 5 3 2" xfId="15146" xr:uid="{00000000-0005-0000-0000-0000213B0000}"/>
    <cellStyle name="Saída 2 5 3 2 2" xfId="15147" xr:uid="{00000000-0005-0000-0000-0000223B0000}"/>
    <cellStyle name="Saída 2 5 3 3" xfId="15148" xr:uid="{00000000-0005-0000-0000-0000233B0000}"/>
    <cellStyle name="Saída 2 5 4" xfId="15149" xr:uid="{00000000-0005-0000-0000-0000243B0000}"/>
    <cellStyle name="Saída 2 5 4 2" xfId="15150" xr:uid="{00000000-0005-0000-0000-0000253B0000}"/>
    <cellStyle name="Saída 2 5 5" xfId="15151" xr:uid="{00000000-0005-0000-0000-0000263B0000}"/>
    <cellStyle name="Saída 2 6" xfId="15152" xr:uid="{00000000-0005-0000-0000-0000273B0000}"/>
    <cellStyle name="Saída 2 6 2" xfId="15153" xr:uid="{00000000-0005-0000-0000-0000283B0000}"/>
    <cellStyle name="Saída 2 6 2 2" xfId="15154" xr:uid="{00000000-0005-0000-0000-0000293B0000}"/>
    <cellStyle name="Saída 2 6 2 2 2" xfId="15155" xr:uid="{00000000-0005-0000-0000-00002A3B0000}"/>
    <cellStyle name="Saída 2 6 2 2 2 2" xfId="15156" xr:uid="{00000000-0005-0000-0000-00002B3B0000}"/>
    <cellStyle name="Saída 2 6 2 2 3" xfId="15157" xr:uid="{00000000-0005-0000-0000-00002C3B0000}"/>
    <cellStyle name="Saída 2 6 2 3" xfId="15158" xr:uid="{00000000-0005-0000-0000-00002D3B0000}"/>
    <cellStyle name="Saída 2 6 2 3 2" xfId="15159" xr:uid="{00000000-0005-0000-0000-00002E3B0000}"/>
    <cellStyle name="Saída 2 6 2 4" xfId="15160" xr:uid="{00000000-0005-0000-0000-00002F3B0000}"/>
    <cellStyle name="Saída 2 6 3" xfId="15161" xr:uid="{00000000-0005-0000-0000-0000303B0000}"/>
    <cellStyle name="Saída 2 6 3 2" xfId="15162" xr:uid="{00000000-0005-0000-0000-0000313B0000}"/>
    <cellStyle name="Saída 2 6 3 2 2" xfId="15163" xr:uid="{00000000-0005-0000-0000-0000323B0000}"/>
    <cellStyle name="Saída 2 6 3 3" xfId="15164" xr:uid="{00000000-0005-0000-0000-0000333B0000}"/>
    <cellStyle name="Saída 2 6 4" xfId="15165" xr:uid="{00000000-0005-0000-0000-0000343B0000}"/>
    <cellStyle name="Saída 2 6 4 2" xfId="15166" xr:uid="{00000000-0005-0000-0000-0000353B0000}"/>
    <cellStyle name="Saída 2 6 5" xfId="15167" xr:uid="{00000000-0005-0000-0000-0000363B0000}"/>
    <cellStyle name="Saída 2 7" xfId="15168" xr:uid="{00000000-0005-0000-0000-0000373B0000}"/>
    <cellStyle name="Saída 2 7 2" xfId="15169" xr:uid="{00000000-0005-0000-0000-0000383B0000}"/>
    <cellStyle name="Saída 2 7 2 2" xfId="15170" xr:uid="{00000000-0005-0000-0000-0000393B0000}"/>
    <cellStyle name="Saída 2 7 3" xfId="15171" xr:uid="{00000000-0005-0000-0000-00003A3B0000}"/>
    <cellStyle name="Saída 2 8" xfId="15172" xr:uid="{00000000-0005-0000-0000-00003B3B0000}"/>
    <cellStyle name="Saída 2 8 2" xfId="15173" xr:uid="{00000000-0005-0000-0000-00003C3B0000}"/>
    <cellStyle name="Saída 2 9" xfId="15174" xr:uid="{00000000-0005-0000-0000-00003D3B0000}"/>
    <cellStyle name="Saída 20" xfId="15175" xr:uid="{00000000-0005-0000-0000-00003E3B0000}"/>
    <cellStyle name="Saída 21" xfId="15176" xr:uid="{00000000-0005-0000-0000-00003F3B0000}"/>
    <cellStyle name="Saída 22" xfId="15177" xr:uid="{00000000-0005-0000-0000-0000403B0000}"/>
    <cellStyle name="Saída 23" xfId="15178" xr:uid="{00000000-0005-0000-0000-0000413B0000}"/>
    <cellStyle name="Saída 24" xfId="15179" xr:uid="{00000000-0005-0000-0000-0000423B0000}"/>
    <cellStyle name="Saída 25" xfId="15180" xr:uid="{00000000-0005-0000-0000-0000433B0000}"/>
    <cellStyle name="Saída 26" xfId="15181" xr:uid="{00000000-0005-0000-0000-0000443B0000}"/>
    <cellStyle name="Saída 27" xfId="15182" xr:uid="{00000000-0005-0000-0000-0000453B0000}"/>
    <cellStyle name="Saída 28" xfId="15183" xr:uid="{00000000-0005-0000-0000-0000463B0000}"/>
    <cellStyle name="Saída 29" xfId="15184" xr:uid="{00000000-0005-0000-0000-0000473B0000}"/>
    <cellStyle name="Saída 3" xfId="15185" xr:uid="{00000000-0005-0000-0000-0000483B0000}"/>
    <cellStyle name="Saída 30" xfId="15186" xr:uid="{00000000-0005-0000-0000-0000493B0000}"/>
    <cellStyle name="Saída 31" xfId="15187" xr:uid="{00000000-0005-0000-0000-00004A3B0000}"/>
    <cellStyle name="Saída 32" xfId="15188" xr:uid="{00000000-0005-0000-0000-00004B3B0000}"/>
    <cellStyle name="Saída 33" xfId="15189" xr:uid="{00000000-0005-0000-0000-00004C3B0000}"/>
    <cellStyle name="Saída 34" xfId="15190" xr:uid="{00000000-0005-0000-0000-00004D3B0000}"/>
    <cellStyle name="Saída 35" xfId="15191" xr:uid="{00000000-0005-0000-0000-00004E3B0000}"/>
    <cellStyle name="Saída 36" xfId="15192" xr:uid="{00000000-0005-0000-0000-00004F3B0000}"/>
    <cellStyle name="Saída 37" xfId="15193" xr:uid="{00000000-0005-0000-0000-0000503B0000}"/>
    <cellStyle name="Saída 38" xfId="15194" xr:uid="{00000000-0005-0000-0000-0000513B0000}"/>
    <cellStyle name="Saída 39" xfId="15195" xr:uid="{00000000-0005-0000-0000-0000523B0000}"/>
    <cellStyle name="Saída 4" xfId="15196" xr:uid="{00000000-0005-0000-0000-0000533B0000}"/>
    <cellStyle name="Saída 40" xfId="15197" xr:uid="{00000000-0005-0000-0000-0000543B0000}"/>
    <cellStyle name="Saída 5" xfId="15198" xr:uid="{00000000-0005-0000-0000-0000553B0000}"/>
    <cellStyle name="Saída 6" xfId="15199" xr:uid="{00000000-0005-0000-0000-0000563B0000}"/>
    <cellStyle name="Saída 7" xfId="15200" xr:uid="{00000000-0005-0000-0000-0000573B0000}"/>
    <cellStyle name="Saída 8" xfId="15201" xr:uid="{00000000-0005-0000-0000-0000583B0000}"/>
    <cellStyle name="Saída 9" xfId="15202" xr:uid="{00000000-0005-0000-0000-0000593B0000}"/>
    <cellStyle name="Salomon Logo" xfId="15203" xr:uid="{00000000-0005-0000-0000-00005A3B0000}"/>
    <cellStyle name="SComment" xfId="15204" xr:uid="{00000000-0005-0000-0000-00005B3B0000}"/>
    <cellStyle name="ScripFactor" xfId="15205" xr:uid="{00000000-0005-0000-0000-00005C3B0000}"/>
    <cellStyle name="Section" xfId="15206" xr:uid="{00000000-0005-0000-0000-00005D3B0000}"/>
    <cellStyle name="SectionHeading" xfId="15207" xr:uid="{00000000-0005-0000-0000-00005E3B0000}"/>
    <cellStyle name="SectionHeading 2" xfId="15208" xr:uid="{00000000-0005-0000-0000-00005F3B0000}"/>
    <cellStyle name="SectionHeading 2 2" xfId="15209" xr:uid="{00000000-0005-0000-0000-0000603B0000}"/>
    <cellStyle name="SectionHeading 2 2 2" xfId="15210" xr:uid="{00000000-0005-0000-0000-0000613B0000}"/>
    <cellStyle name="SectionHeading 2 3" xfId="15211" xr:uid="{00000000-0005-0000-0000-0000623B0000}"/>
    <cellStyle name="SectionHeading 2 4" xfId="15212" xr:uid="{00000000-0005-0000-0000-0000633B0000}"/>
    <cellStyle name="SectionHeading 3" xfId="15213" xr:uid="{00000000-0005-0000-0000-0000643B0000}"/>
    <cellStyle name="SectionHeading 3 2" xfId="15214" xr:uid="{00000000-0005-0000-0000-0000653B0000}"/>
    <cellStyle name="SectionHeading 4" xfId="15215" xr:uid="{00000000-0005-0000-0000-0000663B0000}"/>
    <cellStyle name="SectionHeading 5" xfId="15216" xr:uid="{00000000-0005-0000-0000-0000673B0000}"/>
    <cellStyle name="Separador de milhares 10 2" xfId="15217" xr:uid="{00000000-0005-0000-0000-0000683B0000}"/>
    <cellStyle name="Separador de milhares 10 3" xfId="15218" xr:uid="{00000000-0005-0000-0000-0000693B0000}"/>
    <cellStyle name="Separador de milhares 2" xfId="15219" xr:uid="{00000000-0005-0000-0000-00006A3B0000}"/>
    <cellStyle name="Separador de milhares 2 2" xfId="15220" xr:uid="{00000000-0005-0000-0000-00006B3B0000}"/>
    <cellStyle name="Separador de milhares 2 2 2" xfId="15221" xr:uid="{00000000-0005-0000-0000-00006C3B0000}"/>
    <cellStyle name="Separador de milhares 2 2 3" xfId="15222" xr:uid="{00000000-0005-0000-0000-00006D3B0000}"/>
    <cellStyle name="Separador de milhares 2 2_HRT O&amp;G" xfId="15223" xr:uid="{00000000-0005-0000-0000-00006E3B0000}"/>
    <cellStyle name="Separador de milhares 2 3" xfId="15224" xr:uid="{00000000-0005-0000-0000-00006F3B0000}"/>
    <cellStyle name="Separador de milhares 2 3 2" xfId="15225" xr:uid="{00000000-0005-0000-0000-0000703B0000}"/>
    <cellStyle name="Separador de milhares 2 3_HRT O&amp;G" xfId="15226" xr:uid="{00000000-0005-0000-0000-0000713B0000}"/>
    <cellStyle name="Separador de milhares 2 4" xfId="15227" xr:uid="{00000000-0005-0000-0000-0000723B0000}"/>
    <cellStyle name="Separador de milhares 2 4 2" xfId="15228" xr:uid="{00000000-0005-0000-0000-0000733B0000}"/>
    <cellStyle name="Separador de milhares 2 4_HRT O&amp;G" xfId="15229" xr:uid="{00000000-0005-0000-0000-0000743B0000}"/>
    <cellStyle name="Separador de milhares 2 5" xfId="15230" xr:uid="{00000000-0005-0000-0000-0000753B0000}"/>
    <cellStyle name="Separador de milhares 2 5 2" xfId="15231" xr:uid="{00000000-0005-0000-0000-0000763B0000}"/>
    <cellStyle name="Separador de milhares 2 5_HRT O&amp;G" xfId="15232" xr:uid="{00000000-0005-0000-0000-0000773B0000}"/>
    <cellStyle name="Separador de milhares 2 6" xfId="15233" xr:uid="{00000000-0005-0000-0000-0000783B0000}"/>
    <cellStyle name="Separador de milhares 2 6 2" xfId="15234" xr:uid="{00000000-0005-0000-0000-0000793B0000}"/>
    <cellStyle name="Separador de milhares 2 6_HRT O&amp;G" xfId="15235" xr:uid="{00000000-0005-0000-0000-00007A3B0000}"/>
    <cellStyle name="Separador de milhares 2 7" xfId="15236" xr:uid="{00000000-0005-0000-0000-00007B3B0000}"/>
    <cellStyle name="Separador de milhares 2 7 2" xfId="15237" xr:uid="{00000000-0005-0000-0000-00007C3B0000}"/>
    <cellStyle name="Separador de milhares 2 7_HRT O&amp;G" xfId="15238" xr:uid="{00000000-0005-0000-0000-00007D3B0000}"/>
    <cellStyle name="Separador de milhares 2 8" xfId="15239" xr:uid="{00000000-0005-0000-0000-00007E3B0000}"/>
    <cellStyle name="Separador de milhares 2 8 2" xfId="15240" xr:uid="{00000000-0005-0000-0000-00007F3B0000}"/>
    <cellStyle name="Separador de milhares 2 8_HRT O&amp;G" xfId="15241" xr:uid="{00000000-0005-0000-0000-0000803B0000}"/>
    <cellStyle name="Separador de milhares 2 9" xfId="15242" xr:uid="{00000000-0005-0000-0000-0000813B0000}"/>
    <cellStyle name="Separador de milhares 2 9 2" xfId="15243" xr:uid="{00000000-0005-0000-0000-0000823B0000}"/>
    <cellStyle name="Separador de milhares 2 9_HRT O&amp;G" xfId="15244" xr:uid="{00000000-0005-0000-0000-0000833B0000}"/>
    <cellStyle name="Separador de milhares 2_HRT O&amp;G" xfId="15245" xr:uid="{00000000-0005-0000-0000-0000843B0000}"/>
    <cellStyle name="Separador de milhares 27" xfId="15246" xr:uid="{00000000-0005-0000-0000-0000853B0000}"/>
    <cellStyle name="Separador de milhares 3" xfId="15247" xr:uid="{00000000-0005-0000-0000-0000863B0000}"/>
    <cellStyle name="Separador de milhares 3 10" xfId="15248" xr:uid="{00000000-0005-0000-0000-0000873B0000}"/>
    <cellStyle name="Separador de milhares 3 11" xfId="15249" xr:uid="{00000000-0005-0000-0000-0000883B0000}"/>
    <cellStyle name="Separador de milhares 3 12" xfId="15250" xr:uid="{00000000-0005-0000-0000-0000893B0000}"/>
    <cellStyle name="Separador de milhares 3 13" xfId="15251" xr:uid="{00000000-0005-0000-0000-00008A3B0000}"/>
    <cellStyle name="Separador de milhares 3 14" xfId="15252" xr:uid="{00000000-0005-0000-0000-00008B3B0000}"/>
    <cellStyle name="Separador de milhares 3 15" xfId="15253" xr:uid="{00000000-0005-0000-0000-00008C3B0000}"/>
    <cellStyle name="Separador de milhares 3 16" xfId="15254" xr:uid="{00000000-0005-0000-0000-00008D3B0000}"/>
    <cellStyle name="Separador de milhares 3 17" xfId="15255" xr:uid="{00000000-0005-0000-0000-00008E3B0000}"/>
    <cellStyle name="Separador de milhares 3 18" xfId="15256" xr:uid="{00000000-0005-0000-0000-00008F3B0000}"/>
    <cellStyle name="Separador de milhares 3 19" xfId="15257" xr:uid="{00000000-0005-0000-0000-0000903B0000}"/>
    <cellStyle name="Separador de milhares 3 2" xfId="15258" xr:uid="{00000000-0005-0000-0000-0000913B0000}"/>
    <cellStyle name="Separador de milhares 3 20" xfId="15259" xr:uid="{00000000-0005-0000-0000-0000923B0000}"/>
    <cellStyle name="Separador de milhares 3 21" xfId="15260" xr:uid="{00000000-0005-0000-0000-0000933B0000}"/>
    <cellStyle name="Separador de milhares 3 22" xfId="15261" xr:uid="{00000000-0005-0000-0000-0000943B0000}"/>
    <cellStyle name="Separador de milhares 3 23" xfId="15262" xr:uid="{00000000-0005-0000-0000-0000953B0000}"/>
    <cellStyle name="Separador de milhares 3 24" xfId="15263" xr:uid="{00000000-0005-0000-0000-0000963B0000}"/>
    <cellStyle name="Separador de milhares 3 25" xfId="15264" xr:uid="{00000000-0005-0000-0000-0000973B0000}"/>
    <cellStyle name="Separador de milhares 3 26" xfId="15265" xr:uid="{00000000-0005-0000-0000-0000983B0000}"/>
    <cellStyle name="Separador de milhares 3 27" xfId="15266" xr:uid="{00000000-0005-0000-0000-0000993B0000}"/>
    <cellStyle name="Separador de milhares 3 28" xfId="15267" xr:uid="{00000000-0005-0000-0000-00009A3B0000}"/>
    <cellStyle name="Separador de milhares 3 29" xfId="15268" xr:uid="{00000000-0005-0000-0000-00009B3B0000}"/>
    <cellStyle name="Separador de milhares 3 3" xfId="15269" xr:uid="{00000000-0005-0000-0000-00009C3B0000}"/>
    <cellStyle name="Separador de milhares 3 30" xfId="15270" xr:uid="{00000000-0005-0000-0000-00009D3B0000}"/>
    <cellStyle name="Separador de milhares 3 31" xfId="15271" xr:uid="{00000000-0005-0000-0000-00009E3B0000}"/>
    <cellStyle name="Separador de milhares 3 32" xfId="15272" xr:uid="{00000000-0005-0000-0000-00009F3B0000}"/>
    <cellStyle name="Separador de milhares 3 33" xfId="15273" xr:uid="{00000000-0005-0000-0000-0000A03B0000}"/>
    <cellStyle name="Separador de milhares 3 34" xfId="15274" xr:uid="{00000000-0005-0000-0000-0000A13B0000}"/>
    <cellStyle name="Separador de milhares 3 35" xfId="15275" xr:uid="{00000000-0005-0000-0000-0000A23B0000}"/>
    <cellStyle name="Separador de milhares 3 36" xfId="15276" xr:uid="{00000000-0005-0000-0000-0000A33B0000}"/>
    <cellStyle name="Separador de milhares 3 37" xfId="15277" xr:uid="{00000000-0005-0000-0000-0000A43B0000}"/>
    <cellStyle name="Separador de milhares 3 38" xfId="15278" xr:uid="{00000000-0005-0000-0000-0000A53B0000}"/>
    <cellStyle name="Separador de milhares 3 39" xfId="15279" xr:uid="{00000000-0005-0000-0000-0000A63B0000}"/>
    <cellStyle name="Separador de milhares 3 4" xfId="15280" xr:uid="{00000000-0005-0000-0000-0000A73B0000}"/>
    <cellStyle name="Separador de milhares 3 40" xfId="15281" xr:uid="{00000000-0005-0000-0000-0000A83B0000}"/>
    <cellStyle name="Separador de milhares 3 5" xfId="15282" xr:uid="{00000000-0005-0000-0000-0000A93B0000}"/>
    <cellStyle name="Separador de milhares 3 6" xfId="15283" xr:uid="{00000000-0005-0000-0000-0000AA3B0000}"/>
    <cellStyle name="Separador de milhares 3 7" xfId="15284" xr:uid="{00000000-0005-0000-0000-0000AB3B0000}"/>
    <cellStyle name="Separador de milhares 3 8" xfId="15285" xr:uid="{00000000-0005-0000-0000-0000AC3B0000}"/>
    <cellStyle name="Separador de milhares 3 9" xfId="15286" xr:uid="{00000000-0005-0000-0000-0000AD3B0000}"/>
    <cellStyle name="Separador de milhares 3_HRT O&amp;G" xfId="15287" xr:uid="{00000000-0005-0000-0000-0000AE3B0000}"/>
    <cellStyle name="Separador de milhares 4" xfId="15288" xr:uid="{00000000-0005-0000-0000-0000AF3B0000}"/>
    <cellStyle name="Separador de milhares 4 2" xfId="15289" xr:uid="{00000000-0005-0000-0000-0000B03B0000}"/>
    <cellStyle name="Separador de milhares 4_HRT O&amp;G" xfId="15290" xr:uid="{00000000-0005-0000-0000-0000B13B0000}"/>
    <cellStyle name="Separador de milhares 5" xfId="15291" xr:uid="{00000000-0005-0000-0000-0000B23B0000}"/>
    <cellStyle name="Separador de milhares 5 2" xfId="15292" xr:uid="{00000000-0005-0000-0000-0000B33B0000}"/>
    <cellStyle name="Separador de milhares 5 3" xfId="15293" xr:uid="{00000000-0005-0000-0000-0000B43B0000}"/>
    <cellStyle name="Separador de milhares 5 4" xfId="15294" xr:uid="{00000000-0005-0000-0000-0000B53B0000}"/>
    <cellStyle name="Separador de milhares 5 4 2" xfId="15295" xr:uid="{00000000-0005-0000-0000-0000B63B0000}"/>
    <cellStyle name="Separador de milhares 5 4_HRT O&amp;G" xfId="15296" xr:uid="{00000000-0005-0000-0000-0000B73B0000}"/>
    <cellStyle name="Separador de milhares 5 5" xfId="15297" xr:uid="{00000000-0005-0000-0000-0000B83B0000}"/>
    <cellStyle name="Separador de milhares 5 5 2" xfId="15298" xr:uid="{00000000-0005-0000-0000-0000B93B0000}"/>
    <cellStyle name="Separador de milhares 5 5_HRT O&amp;G" xfId="15299" xr:uid="{00000000-0005-0000-0000-0000BA3B0000}"/>
    <cellStyle name="Separador de milhares 5 6" xfId="15300" xr:uid="{00000000-0005-0000-0000-0000BB3B0000}"/>
    <cellStyle name="Separador de milhares 5 6 2" xfId="15301" xr:uid="{00000000-0005-0000-0000-0000BC3B0000}"/>
    <cellStyle name="Separador de milhares 5 6_HRT O&amp;G" xfId="15302" xr:uid="{00000000-0005-0000-0000-0000BD3B0000}"/>
    <cellStyle name="Separador de milhares 5 7" xfId="15303" xr:uid="{00000000-0005-0000-0000-0000BE3B0000}"/>
    <cellStyle name="Separador de milhares 5_HRT O&amp;G" xfId="15304" xr:uid="{00000000-0005-0000-0000-0000BF3B0000}"/>
    <cellStyle name="Separador de milhares 6" xfId="15305" xr:uid="{00000000-0005-0000-0000-0000C03B0000}"/>
    <cellStyle name="Separador de milhares 6 2" xfId="15306" xr:uid="{00000000-0005-0000-0000-0000C13B0000}"/>
    <cellStyle name="Separador de milhares 6 3" xfId="15307" xr:uid="{00000000-0005-0000-0000-0000C23B0000}"/>
    <cellStyle name="Separador de milhares 6_HRT O&amp;G" xfId="15308" xr:uid="{00000000-0005-0000-0000-0000C33B0000}"/>
    <cellStyle name="Separador de milhares 7" xfId="15309" xr:uid="{00000000-0005-0000-0000-0000C43B0000}"/>
    <cellStyle name="SFig" xfId="15310" xr:uid="{00000000-0005-0000-0000-0000C53B0000}"/>
    <cellStyle name="Sg%" xfId="15311" xr:uid="{00000000-0005-0000-0000-0000C63B0000}"/>
    <cellStyle name="Shaded" xfId="15312" xr:uid="{00000000-0005-0000-0000-0000C73B0000}"/>
    <cellStyle name="Shares" xfId="15313" xr:uid="{00000000-0005-0000-0000-0000C83B0000}"/>
    <cellStyle name="Sheet Name" xfId="15314" xr:uid="{00000000-0005-0000-0000-0000C93B0000}"/>
    <cellStyle name="Short Date" xfId="15315" xr:uid="{00000000-0005-0000-0000-0000CA3B0000}"/>
    <cellStyle name="Short Date 2" xfId="15316" xr:uid="{00000000-0005-0000-0000-0000CB3B0000}"/>
    <cellStyle name="Short Date 2 2" xfId="15317" xr:uid="{00000000-0005-0000-0000-0000CC3B0000}"/>
    <cellStyle name="Short Date 2 2 2" xfId="15318" xr:uid="{00000000-0005-0000-0000-0000CD3B0000}"/>
    <cellStyle name="Short Date 3" xfId="15319" xr:uid="{00000000-0005-0000-0000-0000CE3B0000}"/>
    <cellStyle name="Short Date 3 2" xfId="15320" xr:uid="{00000000-0005-0000-0000-0000CF3B0000}"/>
    <cellStyle name="ShOut" xfId="15321" xr:uid="{00000000-0005-0000-0000-0000D03B0000}"/>
    <cellStyle name="SI%" xfId="15322" xr:uid="{00000000-0005-0000-0000-0000D13B0000}"/>
    <cellStyle name="Sname" xfId="15323" xr:uid="{00000000-0005-0000-0000-0000D23B0000}"/>
    <cellStyle name="Sous-Titre" xfId="15324" xr:uid="{00000000-0005-0000-0000-0000D33B0000}"/>
    <cellStyle name="SPerc" xfId="15325" xr:uid="{00000000-0005-0000-0000-0000D43B0000}"/>
    <cellStyle name="SSComma0" xfId="15326" xr:uid="{00000000-0005-0000-0000-0000D53B0000}"/>
    <cellStyle name="SSComma0 2" xfId="15327" xr:uid="{00000000-0005-0000-0000-0000D63B0000}"/>
    <cellStyle name="SSComma0 2 2" xfId="15328" xr:uid="{00000000-0005-0000-0000-0000D73B0000}"/>
    <cellStyle name="SSComma0 3" xfId="15329" xr:uid="{00000000-0005-0000-0000-0000D83B0000}"/>
    <cellStyle name="SSComma2" xfId="15330" xr:uid="{00000000-0005-0000-0000-0000D93B0000}"/>
    <cellStyle name="SSComma2 2" xfId="15331" xr:uid="{00000000-0005-0000-0000-0000DA3B0000}"/>
    <cellStyle name="SSComma2 2 2" xfId="15332" xr:uid="{00000000-0005-0000-0000-0000DB3B0000}"/>
    <cellStyle name="SSComma2 3" xfId="15333" xr:uid="{00000000-0005-0000-0000-0000DC3B0000}"/>
    <cellStyle name="SSDecs3" xfId="15334" xr:uid="{00000000-0005-0000-0000-0000DD3B0000}"/>
    <cellStyle name="SSDecs3 2" xfId="15335" xr:uid="{00000000-0005-0000-0000-0000DE3B0000}"/>
    <cellStyle name="SSDecs3 2 2" xfId="15336" xr:uid="{00000000-0005-0000-0000-0000DF3B0000}"/>
    <cellStyle name="SSDecs3 3" xfId="15337" xr:uid="{00000000-0005-0000-0000-0000E03B0000}"/>
    <cellStyle name="SSDflt" xfId="15338" xr:uid="{00000000-0005-0000-0000-0000E13B0000}"/>
    <cellStyle name="SSDfltPct" xfId="15339" xr:uid="{00000000-0005-0000-0000-0000E23B0000}"/>
    <cellStyle name="SSDfltPct 2" xfId="15340" xr:uid="{00000000-0005-0000-0000-0000E33B0000}"/>
    <cellStyle name="SSDfltPct 2 2" xfId="15341" xr:uid="{00000000-0005-0000-0000-0000E43B0000}"/>
    <cellStyle name="SSDfltPct 3" xfId="15342" xr:uid="{00000000-0005-0000-0000-0000E53B0000}"/>
    <cellStyle name="SSDfltPct0" xfId="15343" xr:uid="{00000000-0005-0000-0000-0000E63B0000}"/>
    <cellStyle name="SSDfltPct0 2" xfId="15344" xr:uid="{00000000-0005-0000-0000-0000E73B0000}"/>
    <cellStyle name="SSDfltPct0 2 2" xfId="15345" xr:uid="{00000000-0005-0000-0000-0000E83B0000}"/>
    <cellStyle name="SSDfltPct0 3" xfId="15346" xr:uid="{00000000-0005-0000-0000-0000E93B0000}"/>
    <cellStyle name="SSFixed2" xfId="15347" xr:uid="{00000000-0005-0000-0000-0000EA3B0000}"/>
    <cellStyle name="SSFixed2 2" xfId="15348" xr:uid="{00000000-0005-0000-0000-0000EB3B0000}"/>
    <cellStyle name="SSFixed2 2 2" xfId="15349" xr:uid="{00000000-0005-0000-0000-0000EC3B0000}"/>
    <cellStyle name="SSFixed2 3" xfId="15350" xr:uid="{00000000-0005-0000-0000-0000ED3B0000}"/>
    <cellStyle name="ssubtitulo" xfId="15351" xr:uid="{00000000-0005-0000-0000-0000EE3B0000}"/>
    <cellStyle name="Standaard_Sheet1" xfId="15352" xr:uid="{00000000-0005-0000-0000-0000EF3B0000}"/>
    <cellStyle name="Standard__Utopia Index Index und Guidance (Deutsch)" xfId="15353" xr:uid="{00000000-0005-0000-0000-0000F03B0000}"/>
    <cellStyle name="Stitle" xfId="15354" xr:uid="{00000000-0005-0000-0000-0000F13B0000}"/>
    <cellStyle name="Stock Comma" xfId="15355" xr:uid="{00000000-0005-0000-0000-0000F23B0000}"/>
    <cellStyle name="Stock Price" xfId="15356" xr:uid="{00000000-0005-0000-0000-0000F33B0000}"/>
    <cellStyle name="Ston" xfId="15357" xr:uid="{00000000-0005-0000-0000-0000F43B0000}"/>
    <cellStyle name="Style 1" xfId="15358" xr:uid="{00000000-0005-0000-0000-0000F53B0000}"/>
    <cellStyle name="Style 21" xfId="15359" xr:uid="{00000000-0005-0000-0000-0000F63B0000}"/>
    <cellStyle name="Style 27" xfId="15360" xr:uid="{00000000-0005-0000-0000-0000F73B0000}"/>
    <cellStyle name="Style 32" xfId="15361" xr:uid="{00000000-0005-0000-0000-0000F83B0000}"/>
    <cellStyle name="Style 33" xfId="15362" xr:uid="{00000000-0005-0000-0000-0000F93B0000}"/>
    <cellStyle name="Style 41" xfId="15363" xr:uid="{00000000-0005-0000-0000-0000FA3B0000}"/>
    <cellStyle name="Style 42" xfId="15364" xr:uid="{00000000-0005-0000-0000-0000FB3B0000}"/>
    <cellStyle name="Style 43" xfId="15365" xr:uid="{00000000-0005-0000-0000-0000FC3B0000}"/>
    <cellStyle name="Style 44" xfId="15366" xr:uid="{00000000-0005-0000-0000-0000FD3B0000}"/>
    <cellStyle name="Style 45" xfId="15367" xr:uid="{00000000-0005-0000-0000-0000FE3B0000}"/>
    <cellStyle name="Style 46" xfId="15368" xr:uid="{00000000-0005-0000-0000-0000FF3B0000}"/>
    <cellStyle name="Style 47" xfId="15369" xr:uid="{00000000-0005-0000-0000-0000003C0000}"/>
    <cellStyle name="Style 48" xfId="15370" xr:uid="{00000000-0005-0000-0000-0000013C0000}"/>
    <cellStyle name="Style 49" xfId="15371" xr:uid="{00000000-0005-0000-0000-0000023C0000}"/>
    <cellStyle name="Style 50" xfId="15372" xr:uid="{00000000-0005-0000-0000-0000033C0000}"/>
    <cellStyle name="Style 56" xfId="15373" xr:uid="{00000000-0005-0000-0000-0000043C0000}"/>
    <cellStyle name="Style 57" xfId="15374" xr:uid="{00000000-0005-0000-0000-0000053C0000}"/>
    <cellStyle name="Style 58" xfId="15375" xr:uid="{00000000-0005-0000-0000-0000063C0000}"/>
    <cellStyle name="Style 59" xfId="15376" xr:uid="{00000000-0005-0000-0000-0000073C0000}"/>
    <cellStyle name="Style 60" xfId="15377" xr:uid="{00000000-0005-0000-0000-0000083C0000}"/>
    <cellStyle name="Style 61" xfId="15378" xr:uid="{00000000-0005-0000-0000-0000093C0000}"/>
    <cellStyle name="Style 62" xfId="15379" xr:uid="{00000000-0005-0000-0000-00000A3C0000}"/>
    <cellStyle name="Style 63" xfId="15380" xr:uid="{00000000-0005-0000-0000-00000B3C0000}"/>
    <cellStyle name="Style 64" xfId="15381" xr:uid="{00000000-0005-0000-0000-00000C3C0000}"/>
    <cellStyle name="Style 65" xfId="15382" xr:uid="{00000000-0005-0000-0000-00000D3C0000}"/>
    <cellStyle name="style1" xfId="15383" xr:uid="{00000000-0005-0000-0000-00000E3C0000}"/>
    <cellStyle name="style2" xfId="15384" xr:uid="{00000000-0005-0000-0000-00000F3C0000}"/>
    <cellStyle name="SubHeading" xfId="15385" xr:uid="{00000000-0005-0000-0000-0000103C0000}"/>
    <cellStyle name="Subtitle" xfId="15386" xr:uid="{00000000-0005-0000-0000-0000113C0000}"/>
    <cellStyle name="subtitulo" xfId="15387" xr:uid="{00000000-0005-0000-0000-0000123C0000}"/>
    <cellStyle name="Sub-Título" xfId="15388" xr:uid="{00000000-0005-0000-0000-0000133C0000}"/>
    <cellStyle name="subtitulo_HRT O&amp;G" xfId="15389" xr:uid="{00000000-0005-0000-0000-0000143C0000}"/>
    <cellStyle name="Sub-Título_HRT O&amp;G" xfId="15390" xr:uid="{00000000-0005-0000-0000-0000153C0000}"/>
    <cellStyle name="SubTotal" xfId="15391" xr:uid="{00000000-0005-0000-0000-0000163C0000}"/>
    <cellStyle name="SubTotal 2" xfId="15392" xr:uid="{00000000-0005-0000-0000-0000173C0000}"/>
    <cellStyle name="SubTotal 2 2" xfId="15393" xr:uid="{00000000-0005-0000-0000-0000183C0000}"/>
    <cellStyle name="SubTotal 3" xfId="15394" xr:uid="{00000000-0005-0000-0000-0000193C0000}"/>
    <cellStyle name="Summary" xfId="15395" xr:uid="{00000000-0005-0000-0000-00001A3C0000}"/>
    <cellStyle name="Summary2" xfId="15396" xr:uid="{00000000-0005-0000-0000-00001B3C0000}"/>
    <cellStyle name="Superscript" xfId="15397" xr:uid="{00000000-0005-0000-0000-00001C3C0000}"/>
    <cellStyle name="Sx" xfId="15398" xr:uid="{00000000-0005-0000-0000-00001D3C0000}"/>
    <cellStyle name="Table Col Head" xfId="15399" xr:uid="{00000000-0005-0000-0000-00001E3C0000}"/>
    <cellStyle name="Table Head" xfId="15400" xr:uid="{00000000-0005-0000-0000-00001F3C0000}"/>
    <cellStyle name="Table Head Aligned" xfId="15401" xr:uid="{00000000-0005-0000-0000-0000203C0000}"/>
    <cellStyle name="Table Head Aligned 10" xfId="15402" xr:uid="{00000000-0005-0000-0000-0000213C0000}"/>
    <cellStyle name="Table Head Aligned 10 2" xfId="15403" xr:uid="{00000000-0005-0000-0000-0000223C0000}"/>
    <cellStyle name="Table Head Aligned 10 2 2" xfId="15404" xr:uid="{00000000-0005-0000-0000-0000233C0000}"/>
    <cellStyle name="Table Head Aligned 11" xfId="15405" xr:uid="{00000000-0005-0000-0000-0000243C0000}"/>
    <cellStyle name="Table Head Aligned 11 2" xfId="15406" xr:uid="{00000000-0005-0000-0000-0000253C0000}"/>
    <cellStyle name="Table Head Aligned 11 2 2" xfId="15407" xr:uid="{00000000-0005-0000-0000-0000263C0000}"/>
    <cellStyle name="Table Head Aligned 2" xfId="15408" xr:uid="{00000000-0005-0000-0000-0000273C0000}"/>
    <cellStyle name="Table Head Aligned 2 2" xfId="15409" xr:uid="{00000000-0005-0000-0000-0000283C0000}"/>
    <cellStyle name="Table Head Aligned 2 2 10" xfId="15410" xr:uid="{00000000-0005-0000-0000-0000293C0000}"/>
    <cellStyle name="Table Head Aligned 2 2 10 2" xfId="15411" xr:uid="{00000000-0005-0000-0000-00002A3C0000}"/>
    <cellStyle name="Table Head Aligned 2 2 10 2 2" xfId="15412" xr:uid="{00000000-0005-0000-0000-00002B3C0000}"/>
    <cellStyle name="Table Head Aligned 2 2 11" xfId="15413" xr:uid="{00000000-0005-0000-0000-00002C3C0000}"/>
    <cellStyle name="Table Head Aligned 2 2 11 2" xfId="15414" xr:uid="{00000000-0005-0000-0000-00002D3C0000}"/>
    <cellStyle name="Table Head Aligned 2 2 11 2 2" xfId="15415" xr:uid="{00000000-0005-0000-0000-00002E3C0000}"/>
    <cellStyle name="Table Head Aligned 2 2 12" xfId="15416" xr:uid="{00000000-0005-0000-0000-00002F3C0000}"/>
    <cellStyle name="Table Head Aligned 2 2 12 2" xfId="15417" xr:uid="{00000000-0005-0000-0000-0000303C0000}"/>
    <cellStyle name="Table Head Aligned 2 2 12 2 2" xfId="15418" xr:uid="{00000000-0005-0000-0000-0000313C0000}"/>
    <cellStyle name="Table Head Aligned 2 2 13" xfId="15419" xr:uid="{00000000-0005-0000-0000-0000323C0000}"/>
    <cellStyle name="Table Head Aligned 2 2 13 2" xfId="15420" xr:uid="{00000000-0005-0000-0000-0000333C0000}"/>
    <cellStyle name="Table Head Aligned 2 2 13 2 2" xfId="15421" xr:uid="{00000000-0005-0000-0000-0000343C0000}"/>
    <cellStyle name="Table Head Aligned 2 2 14" xfId="15422" xr:uid="{00000000-0005-0000-0000-0000353C0000}"/>
    <cellStyle name="Table Head Aligned 2 2 14 2" xfId="15423" xr:uid="{00000000-0005-0000-0000-0000363C0000}"/>
    <cellStyle name="Table Head Aligned 2 2 14 2 2" xfId="15424" xr:uid="{00000000-0005-0000-0000-0000373C0000}"/>
    <cellStyle name="Table Head Aligned 2 2 15" xfId="15425" xr:uid="{00000000-0005-0000-0000-0000383C0000}"/>
    <cellStyle name="Table Head Aligned 2 2 15 2" xfId="15426" xr:uid="{00000000-0005-0000-0000-0000393C0000}"/>
    <cellStyle name="Table Head Aligned 2 2 2" xfId="15427" xr:uid="{00000000-0005-0000-0000-00003A3C0000}"/>
    <cellStyle name="Table Head Aligned 2 2 2 2" xfId="15428" xr:uid="{00000000-0005-0000-0000-00003B3C0000}"/>
    <cellStyle name="Table Head Aligned 2 2 2 2 2" xfId="15429" xr:uid="{00000000-0005-0000-0000-00003C3C0000}"/>
    <cellStyle name="Table Head Aligned 2 2 3" xfId="15430" xr:uid="{00000000-0005-0000-0000-00003D3C0000}"/>
    <cellStyle name="Table Head Aligned 2 2 3 2" xfId="15431" xr:uid="{00000000-0005-0000-0000-00003E3C0000}"/>
    <cellStyle name="Table Head Aligned 2 2 3 2 2" xfId="15432" xr:uid="{00000000-0005-0000-0000-00003F3C0000}"/>
    <cellStyle name="Table Head Aligned 2 2 4" xfId="15433" xr:uid="{00000000-0005-0000-0000-0000403C0000}"/>
    <cellStyle name="Table Head Aligned 2 2 4 2" xfId="15434" xr:uid="{00000000-0005-0000-0000-0000413C0000}"/>
    <cellStyle name="Table Head Aligned 2 2 4 2 2" xfId="15435" xr:uid="{00000000-0005-0000-0000-0000423C0000}"/>
    <cellStyle name="Table Head Aligned 2 2 5" xfId="15436" xr:uid="{00000000-0005-0000-0000-0000433C0000}"/>
    <cellStyle name="Table Head Aligned 2 2 5 2" xfId="15437" xr:uid="{00000000-0005-0000-0000-0000443C0000}"/>
    <cellStyle name="Table Head Aligned 2 2 5 2 2" xfId="15438" xr:uid="{00000000-0005-0000-0000-0000453C0000}"/>
    <cellStyle name="Table Head Aligned 2 2 6" xfId="15439" xr:uid="{00000000-0005-0000-0000-0000463C0000}"/>
    <cellStyle name="Table Head Aligned 2 2 6 2" xfId="15440" xr:uid="{00000000-0005-0000-0000-0000473C0000}"/>
    <cellStyle name="Table Head Aligned 2 2 6 2 2" xfId="15441" xr:uid="{00000000-0005-0000-0000-0000483C0000}"/>
    <cellStyle name="Table Head Aligned 2 2 7" xfId="15442" xr:uid="{00000000-0005-0000-0000-0000493C0000}"/>
    <cellStyle name="Table Head Aligned 2 2 7 2" xfId="15443" xr:uid="{00000000-0005-0000-0000-00004A3C0000}"/>
    <cellStyle name="Table Head Aligned 2 2 7 2 2" xfId="15444" xr:uid="{00000000-0005-0000-0000-00004B3C0000}"/>
    <cellStyle name="Table Head Aligned 2 2 8" xfId="15445" xr:uid="{00000000-0005-0000-0000-00004C3C0000}"/>
    <cellStyle name="Table Head Aligned 2 2 8 2" xfId="15446" xr:uid="{00000000-0005-0000-0000-00004D3C0000}"/>
    <cellStyle name="Table Head Aligned 2 2 8 2 2" xfId="15447" xr:uid="{00000000-0005-0000-0000-00004E3C0000}"/>
    <cellStyle name="Table Head Aligned 2 2 9" xfId="15448" xr:uid="{00000000-0005-0000-0000-00004F3C0000}"/>
    <cellStyle name="Table Head Aligned 2 2 9 2" xfId="15449" xr:uid="{00000000-0005-0000-0000-0000503C0000}"/>
    <cellStyle name="Table Head Aligned 2 2 9 2 2" xfId="15450" xr:uid="{00000000-0005-0000-0000-0000513C0000}"/>
    <cellStyle name="Table Head Aligned 2 3" xfId="15451" xr:uid="{00000000-0005-0000-0000-0000523C0000}"/>
    <cellStyle name="Table Head Aligned 2 3 2" xfId="15452" xr:uid="{00000000-0005-0000-0000-0000533C0000}"/>
    <cellStyle name="Table Head Aligned 2 3 2 2" xfId="15453" xr:uid="{00000000-0005-0000-0000-0000543C0000}"/>
    <cellStyle name="Table Head Aligned 2 4" xfId="15454" xr:uid="{00000000-0005-0000-0000-0000553C0000}"/>
    <cellStyle name="Table Head Aligned 2 4 2" xfId="15455" xr:uid="{00000000-0005-0000-0000-0000563C0000}"/>
    <cellStyle name="Table Head Aligned 2 4 2 2" xfId="15456" xr:uid="{00000000-0005-0000-0000-0000573C0000}"/>
    <cellStyle name="Table Head Aligned 3" xfId="15457" xr:uid="{00000000-0005-0000-0000-0000583C0000}"/>
    <cellStyle name="Table Head Aligned 3 10" xfId="15458" xr:uid="{00000000-0005-0000-0000-0000593C0000}"/>
    <cellStyle name="Table Head Aligned 3 10 2" xfId="15459" xr:uid="{00000000-0005-0000-0000-00005A3C0000}"/>
    <cellStyle name="Table Head Aligned 3 10 2 2" xfId="15460" xr:uid="{00000000-0005-0000-0000-00005B3C0000}"/>
    <cellStyle name="Table Head Aligned 3 11" xfId="15461" xr:uid="{00000000-0005-0000-0000-00005C3C0000}"/>
    <cellStyle name="Table Head Aligned 3 11 2" xfId="15462" xr:uid="{00000000-0005-0000-0000-00005D3C0000}"/>
    <cellStyle name="Table Head Aligned 3 2" xfId="15463" xr:uid="{00000000-0005-0000-0000-00005E3C0000}"/>
    <cellStyle name="Table Head Aligned 3 2 2" xfId="15464" xr:uid="{00000000-0005-0000-0000-00005F3C0000}"/>
    <cellStyle name="Table Head Aligned 3 2 2 2" xfId="15465" xr:uid="{00000000-0005-0000-0000-0000603C0000}"/>
    <cellStyle name="Table Head Aligned 3 2 2 2 2" xfId="15466" xr:uid="{00000000-0005-0000-0000-0000613C0000}"/>
    <cellStyle name="Table Head Aligned 3 2 3" xfId="15467" xr:uid="{00000000-0005-0000-0000-0000623C0000}"/>
    <cellStyle name="Table Head Aligned 3 2 3 2" xfId="15468" xr:uid="{00000000-0005-0000-0000-0000633C0000}"/>
    <cellStyle name="Table Head Aligned 3 3" xfId="15469" xr:uid="{00000000-0005-0000-0000-0000643C0000}"/>
    <cellStyle name="Table Head Aligned 3 3 2" xfId="15470" xr:uid="{00000000-0005-0000-0000-0000653C0000}"/>
    <cellStyle name="Table Head Aligned 3 3 2 2" xfId="15471" xr:uid="{00000000-0005-0000-0000-0000663C0000}"/>
    <cellStyle name="Table Head Aligned 3 4" xfId="15472" xr:uid="{00000000-0005-0000-0000-0000673C0000}"/>
    <cellStyle name="Table Head Aligned 3 4 2" xfId="15473" xr:uid="{00000000-0005-0000-0000-0000683C0000}"/>
    <cellStyle name="Table Head Aligned 3 4 2 2" xfId="15474" xr:uid="{00000000-0005-0000-0000-0000693C0000}"/>
    <cellStyle name="Table Head Aligned 3 5" xfId="15475" xr:uid="{00000000-0005-0000-0000-00006A3C0000}"/>
    <cellStyle name="Table Head Aligned 3 5 2" xfId="15476" xr:uid="{00000000-0005-0000-0000-00006B3C0000}"/>
    <cellStyle name="Table Head Aligned 3 5 2 2" xfId="15477" xr:uid="{00000000-0005-0000-0000-00006C3C0000}"/>
    <cellStyle name="Table Head Aligned 3 6" xfId="15478" xr:uid="{00000000-0005-0000-0000-00006D3C0000}"/>
    <cellStyle name="Table Head Aligned 3 6 2" xfId="15479" xr:uid="{00000000-0005-0000-0000-00006E3C0000}"/>
    <cellStyle name="Table Head Aligned 3 6 2 2" xfId="15480" xr:uid="{00000000-0005-0000-0000-00006F3C0000}"/>
    <cellStyle name="Table Head Aligned 3 7" xfId="15481" xr:uid="{00000000-0005-0000-0000-0000703C0000}"/>
    <cellStyle name="Table Head Aligned 3 7 2" xfId="15482" xr:uid="{00000000-0005-0000-0000-0000713C0000}"/>
    <cellStyle name="Table Head Aligned 3 7 2 2" xfId="15483" xr:uid="{00000000-0005-0000-0000-0000723C0000}"/>
    <cellStyle name="Table Head Aligned 3 8" xfId="15484" xr:uid="{00000000-0005-0000-0000-0000733C0000}"/>
    <cellStyle name="Table Head Aligned 3 8 2" xfId="15485" xr:uid="{00000000-0005-0000-0000-0000743C0000}"/>
    <cellStyle name="Table Head Aligned 3 8 2 2" xfId="15486" xr:uid="{00000000-0005-0000-0000-0000753C0000}"/>
    <cellStyle name="Table Head Aligned 3 9" xfId="15487" xr:uid="{00000000-0005-0000-0000-0000763C0000}"/>
    <cellStyle name="Table Head Aligned 3 9 2" xfId="15488" xr:uid="{00000000-0005-0000-0000-0000773C0000}"/>
    <cellStyle name="Table Head Aligned 3 9 2 2" xfId="15489" xr:uid="{00000000-0005-0000-0000-0000783C0000}"/>
    <cellStyle name="Table Head Aligned 4" xfId="15490" xr:uid="{00000000-0005-0000-0000-0000793C0000}"/>
    <cellStyle name="Table Head Aligned 4 10" xfId="15491" xr:uid="{00000000-0005-0000-0000-00007A3C0000}"/>
    <cellStyle name="Table Head Aligned 4 10 2" xfId="15492" xr:uid="{00000000-0005-0000-0000-00007B3C0000}"/>
    <cellStyle name="Table Head Aligned 4 10 2 2" xfId="15493" xr:uid="{00000000-0005-0000-0000-00007C3C0000}"/>
    <cellStyle name="Table Head Aligned 4 11" xfId="15494" xr:uid="{00000000-0005-0000-0000-00007D3C0000}"/>
    <cellStyle name="Table Head Aligned 4 11 2" xfId="15495" xr:uid="{00000000-0005-0000-0000-00007E3C0000}"/>
    <cellStyle name="Table Head Aligned 4 11 2 2" xfId="15496" xr:uid="{00000000-0005-0000-0000-00007F3C0000}"/>
    <cellStyle name="Table Head Aligned 4 12" xfId="15497" xr:uid="{00000000-0005-0000-0000-0000803C0000}"/>
    <cellStyle name="Table Head Aligned 4 12 2" xfId="15498" xr:uid="{00000000-0005-0000-0000-0000813C0000}"/>
    <cellStyle name="Table Head Aligned 4 12 2 2" xfId="15499" xr:uid="{00000000-0005-0000-0000-0000823C0000}"/>
    <cellStyle name="Table Head Aligned 4 13" xfId="15500" xr:uid="{00000000-0005-0000-0000-0000833C0000}"/>
    <cellStyle name="Table Head Aligned 4 13 2" xfId="15501" xr:uid="{00000000-0005-0000-0000-0000843C0000}"/>
    <cellStyle name="Table Head Aligned 4 13 2 2" xfId="15502" xr:uid="{00000000-0005-0000-0000-0000853C0000}"/>
    <cellStyle name="Table Head Aligned 4 14" xfId="15503" xr:uid="{00000000-0005-0000-0000-0000863C0000}"/>
    <cellStyle name="Table Head Aligned 4 14 2" xfId="15504" xr:uid="{00000000-0005-0000-0000-0000873C0000}"/>
    <cellStyle name="Table Head Aligned 4 14 2 2" xfId="15505" xr:uid="{00000000-0005-0000-0000-0000883C0000}"/>
    <cellStyle name="Table Head Aligned 4 15" xfId="15506" xr:uid="{00000000-0005-0000-0000-0000893C0000}"/>
    <cellStyle name="Table Head Aligned 4 15 2" xfId="15507" xr:uid="{00000000-0005-0000-0000-00008A3C0000}"/>
    <cellStyle name="Table Head Aligned 4 2" xfId="15508" xr:uid="{00000000-0005-0000-0000-00008B3C0000}"/>
    <cellStyle name="Table Head Aligned 4 2 2" xfId="15509" xr:uid="{00000000-0005-0000-0000-00008C3C0000}"/>
    <cellStyle name="Table Head Aligned 4 2 2 2" xfId="15510" xr:uid="{00000000-0005-0000-0000-00008D3C0000}"/>
    <cellStyle name="Table Head Aligned 4 3" xfId="15511" xr:uid="{00000000-0005-0000-0000-00008E3C0000}"/>
    <cellStyle name="Table Head Aligned 4 3 2" xfId="15512" xr:uid="{00000000-0005-0000-0000-00008F3C0000}"/>
    <cellStyle name="Table Head Aligned 4 3 2 2" xfId="15513" xr:uid="{00000000-0005-0000-0000-0000903C0000}"/>
    <cellStyle name="Table Head Aligned 4 4" xfId="15514" xr:uid="{00000000-0005-0000-0000-0000913C0000}"/>
    <cellStyle name="Table Head Aligned 4 4 2" xfId="15515" xr:uid="{00000000-0005-0000-0000-0000923C0000}"/>
    <cellStyle name="Table Head Aligned 4 4 2 2" xfId="15516" xr:uid="{00000000-0005-0000-0000-0000933C0000}"/>
    <cellStyle name="Table Head Aligned 4 5" xfId="15517" xr:uid="{00000000-0005-0000-0000-0000943C0000}"/>
    <cellStyle name="Table Head Aligned 4 5 2" xfId="15518" xr:uid="{00000000-0005-0000-0000-0000953C0000}"/>
    <cellStyle name="Table Head Aligned 4 5 2 2" xfId="15519" xr:uid="{00000000-0005-0000-0000-0000963C0000}"/>
    <cellStyle name="Table Head Aligned 4 6" xfId="15520" xr:uid="{00000000-0005-0000-0000-0000973C0000}"/>
    <cellStyle name="Table Head Aligned 4 6 2" xfId="15521" xr:uid="{00000000-0005-0000-0000-0000983C0000}"/>
    <cellStyle name="Table Head Aligned 4 6 2 2" xfId="15522" xr:uid="{00000000-0005-0000-0000-0000993C0000}"/>
    <cellStyle name="Table Head Aligned 4 7" xfId="15523" xr:uid="{00000000-0005-0000-0000-00009A3C0000}"/>
    <cellStyle name="Table Head Aligned 4 7 2" xfId="15524" xr:uid="{00000000-0005-0000-0000-00009B3C0000}"/>
    <cellStyle name="Table Head Aligned 4 7 2 2" xfId="15525" xr:uid="{00000000-0005-0000-0000-00009C3C0000}"/>
    <cellStyle name="Table Head Aligned 4 8" xfId="15526" xr:uid="{00000000-0005-0000-0000-00009D3C0000}"/>
    <cellStyle name="Table Head Aligned 4 8 2" xfId="15527" xr:uid="{00000000-0005-0000-0000-00009E3C0000}"/>
    <cellStyle name="Table Head Aligned 4 8 2 2" xfId="15528" xr:uid="{00000000-0005-0000-0000-00009F3C0000}"/>
    <cellStyle name="Table Head Aligned 4 9" xfId="15529" xr:uid="{00000000-0005-0000-0000-0000A03C0000}"/>
    <cellStyle name="Table Head Aligned 4 9 2" xfId="15530" xr:uid="{00000000-0005-0000-0000-0000A13C0000}"/>
    <cellStyle name="Table Head Aligned 4 9 2 2" xfId="15531" xr:uid="{00000000-0005-0000-0000-0000A23C0000}"/>
    <cellStyle name="Table Head Aligned 5" xfId="15532" xr:uid="{00000000-0005-0000-0000-0000A33C0000}"/>
    <cellStyle name="Table Head Aligned 5 10" xfId="15533" xr:uid="{00000000-0005-0000-0000-0000A43C0000}"/>
    <cellStyle name="Table Head Aligned 5 10 2" xfId="15534" xr:uid="{00000000-0005-0000-0000-0000A53C0000}"/>
    <cellStyle name="Table Head Aligned 5 10 2 2" xfId="15535" xr:uid="{00000000-0005-0000-0000-0000A63C0000}"/>
    <cellStyle name="Table Head Aligned 5 11" xfId="15536" xr:uid="{00000000-0005-0000-0000-0000A73C0000}"/>
    <cellStyle name="Table Head Aligned 5 11 2" xfId="15537" xr:uid="{00000000-0005-0000-0000-0000A83C0000}"/>
    <cellStyle name="Table Head Aligned 5 11 2 2" xfId="15538" xr:uid="{00000000-0005-0000-0000-0000A93C0000}"/>
    <cellStyle name="Table Head Aligned 5 12" xfId="15539" xr:uid="{00000000-0005-0000-0000-0000AA3C0000}"/>
    <cellStyle name="Table Head Aligned 5 12 2" xfId="15540" xr:uid="{00000000-0005-0000-0000-0000AB3C0000}"/>
    <cellStyle name="Table Head Aligned 5 12 2 2" xfId="15541" xr:uid="{00000000-0005-0000-0000-0000AC3C0000}"/>
    <cellStyle name="Table Head Aligned 5 13" xfId="15542" xr:uid="{00000000-0005-0000-0000-0000AD3C0000}"/>
    <cellStyle name="Table Head Aligned 5 13 2" xfId="15543" xr:uid="{00000000-0005-0000-0000-0000AE3C0000}"/>
    <cellStyle name="Table Head Aligned 5 13 2 2" xfId="15544" xr:uid="{00000000-0005-0000-0000-0000AF3C0000}"/>
    <cellStyle name="Table Head Aligned 5 14" xfId="15545" xr:uid="{00000000-0005-0000-0000-0000B03C0000}"/>
    <cellStyle name="Table Head Aligned 5 14 2" xfId="15546" xr:uid="{00000000-0005-0000-0000-0000B13C0000}"/>
    <cellStyle name="Table Head Aligned 5 14 2 2" xfId="15547" xr:uid="{00000000-0005-0000-0000-0000B23C0000}"/>
    <cellStyle name="Table Head Aligned 5 15" xfId="15548" xr:uid="{00000000-0005-0000-0000-0000B33C0000}"/>
    <cellStyle name="Table Head Aligned 5 15 2" xfId="15549" xr:uid="{00000000-0005-0000-0000-0000B43C0000}"/>
    <cellStyle name="Table Head Aligned 5 2" xfId="15550" xr:uid="{00000000-0005-0000-0000-0000B53C0000}"/>
    <cellStyle name="Table Head Aligned 5 2 2" xfId="15551" xr:uid="{00000000-0005-0000-0000-0000B63C0000}"/>
    <cellStyle name="Table Head Aligned 5 2 2 2" xfId="15552" xr:uid="{00000000-0005-0000-0000-0000B73C0000}"/>
    <cellStyle name="Table Head Aligned 5 3" xfId="15553" xr:uid="{00000000-0005-0000-0000-0000B83C0000}"/>
    <cellStyle name="Table Head Aligned 5 3 2" xfId="15554" xr:uid="{00000000-0005-0000-0000-0000B93C0000}"/>
    <cellStyle name="Table Head Aligned 5 3 2 2" xfId="15555" xr:uid="{00000000-0005-0000-0000-0000BA3C0000}"/>
    <cellStyle name="Table Head Aligned 5 4" xfId="15556" xr:uid="{00000000-0005-0000-0000-0000BB3C0000}"/>
    <cellStyle name="Table Head Aligned 5 4 2" xfId="15557" xr:uid="{00000000-0005-0000-0000-0000BC3C0000}"/>
    <cellStyle name="Table Head Aligned 5 4 2 2" xfId="15558" xr:uid="{00000000-0005-0000-0000-0000BD3C0000}"/>
    <cellStyle name="Table Head Aligned 5 5" xfId="15559" xr:uid="{00000000-0005-0000-0000-0000BE3C0000}"/>
    <cellStyle name="Table Head Aligned 5 5 2" xfId="15560" xr:uid="{00000000-0005-0000-0000-0000BF3C0000}"/>
    <cellStyle name="Table Head Aligned 5 5 2 2" xfId="15561" xr:uid="{00000000-0005-0000-0000-0000C03C0000}"/>
    <cellStyle name="Table Head Aligned 5 6" xfId="15562" xr:uid="{00000000-0005-0000-0000-0000C13C0000}"/>
    <cellStyle name="Table Head Aligned 5 6 2" xfId="15563" xr:uid="{00000000-0005-0000-0000-0000C23C0000}"/>
    <cellStyle name="Table Head Aligned 5 6 2 2" xfId="15564" xr:uid="{00000000-0005-0000-0000-0000C33C0000}"/>
    <cellStyle name="Table Head Aligned 5 7" xfId="15565" xr:uid="{00000000-0005-0000-0000-0000C43C0000}"/>
    <cellStyle name="Table Head Aligned 5 7 2" xfId="15566" xr:uid="{00000000-0005-0000-0000-0000C53C0000}"/>
    <cellStyle name="Table Head Aligned 5 7 2 2" xfId="15567" xr:uid="{00000000-0005-0000-0000-0000C63C0000}"/>
    <cellStyle name="Table Head Aligned 5 8" xfId="15568" xr:uid="{00000000-0005-0000-0000-0000C73C0000}"/>
    <cellStyle name="Table Head Aligned 5 8 2" xfId="15569" xr:uid="{00000000-0005-0000-0000-0000C83C0000}"/>
    <cellStyle name="Table Head Aligned 5 8 2 2" xfId="15570" xr:uid="{00000000-0005-0000-0000-0000C93C0000}"/>
    <cellStyle name="Table Head Aligned 5 9" xfId="15571" xr:uid="{00000000-0005-0000-0000-0000CA3C0000}"/>
    <cellStyle name="Table Head Aligned 5 9 2" xfId="15572" xr:uid="{00000000-0005-0000-0000-0000CB3C0000}"/>
    <cellStyle name="Table Head Aligned 5 9 2 2" xfId="15573" xr:uid="{00000000-0005-0000-0000-0000CC3C0000}"/>
    <cellStyle name="Table Head Aligned 6" xfId="15574" xr:uid="{00000000-0005-0000-0000-0000CD3C0000}"/>
    <cellStyle name="Table Head Aligned 6 2" xfId="15575" xr:uid="{00000000-0005-0000-0000-0000CE3C0000}"/>
    <cellStyle name="Table Head Aligned 6 2 2" xfId="15576" xr:uid="{00000000-0005-0000-0000-0000CF3C0000}"/>
    <cellStyle name="Table Head Aligned 7" xfId="15577" xr:uid="{00000000-0005-0000-0000-0000D03C0000}"/>
    <cellStyle name="Table Head Aligned 7 2" xfId="15578" xr:uid="{00000000-0005-0000-0000-0000D13C0000}"/>
    <cellStyle name="Table Head Aligned 7 2 2" xfId="15579" xr:uid="{00000000-0005-0000-0000-0000D23C0000}"/>
    <cellStyle name="Table Head Aligned 8" xfId="15580" xr:uid="{00000000-0005-0000-0000-0000D33C0000}"/>
    <cellStyle name="Table Head Aligned 8 2" xfId="15581" xr:uid="{00000000-0005-0000-0000-0000D43C0000}"/>
    <cellStyle name="Table Head Aligned 8 2 2" xfId="15582" xr:uid="{00000000-0005-0000-0000-0000D53C0000}"/>
    <cellStyle name="Table Head Aligned 9" xfId="15583" xr:uid="{00000000-0005-0000-0000-0000D63C0000}"/>
    <cellStyle name="Table Head Aligned 9 2" xfId="15584" xr:uid="{00000000-0005-0000-0000-0000D73C0000}"/>
    <cellStyle name="Table Head Aligned 9 2 2" xfId="15585" xr:uid="{00000000-0005-0000-0000-0000D83C0000}"/>
    <cellStyle name="Table Head Blue" xfId="15586" xr:uid="{00000000-0005-0000-0000-0000D93C0000}"/>
    <cellStyle name="Table Head Green" xfId="15587" xr:uid="{00000000-0005-0000-0000-0000DA3C0000}"/>
    <cellStyle name="Table Head Green 10" xfId="15588" xr:uid="{00000000-0005-0000-0000-0000DB3C0000}"/>
    <cellStyle name="Table Head Green 10 2" xfId="15589" xr:uid="{00000000-0005-0000-0000-0000DC3C0000}"/>
    <cellStyle name="Table Head Green 10 2 2" xfId="15590" xr:uid="{00000000-0005-0000-0000-0000DD3C0000}"/>
    <cellStyle name="Table Head Green 11" xfId="15591" xr:uid="{00000000-0005-0000-0000-0000DE3C0000}"/>
    <cellStyle name="Table Head Green 11 2" xfId="15592" xr:uid="{00000000-0005-0000-0000-0000DF3C0000}"/>
    <cellStyle name="Table Head Green 11 2 2" xfId="15593" xr:uid="{00000000-0005-0000-0000-0000E03C0000}"/>
    <cellStyle name="Table Head Green 2" xfId="15594" xr:uid="{00000000-0005-0000-0000-0000E13C0000}"/>
    <cellStyle name="Table Head Green 2 2" xfId="15595" xr:uid="{00000000-0005-0000-0000-0000E23C0000}"/>
    <cellStyle name="Table Head Green 2 2 10" xfId="15596" xr:uid="{00000000-0005-0000-0000-0000E33C0000}"/>
    <cellStyle name="Table Head Green 2 2 10 2" xfId="15597" xr:uid="{00000000-0005-0000-0000-0000E43C0000}"/>
    <cellStyle name="Table Head Green 2 2 10 2 2" xfId="15598" xr:uid="{00000000-0005-0000-0000-0000E53C0000}"/>
    <cellStyle name="Table Head Green 2 2 11" xfId="15599" xr:uid="{00000000-0005-0000-0000-0000E63C0000}"/>
    <cellStyle name="Table Head Green 2 2 11 2" xfId="15600" xr:uid="{00000000-0005-0000-0000-0000E73C0000}"/>
    <cellStyle name="Table Head Green 2 2 11 2 2" xfId="15601" xr:uid="{00000000-0005-0000-0000-0000E83C0000}"/>
    <cellStyle name="Table Head Green 2 2 12" xfId="15602" xr:uid="{00000000-0005-0000-0000-0000E93C0000}"/>
    <cellStyle name="Table Head Green 2 2 12 2" xfId="15603" xr:uid="{00000000-0005-0000-0000-0000EA3C0000}"/>
    <cellStyle name="Table Head Green 2 2 12 2 2" xfId="15604" xr:uid="{00000000-0005-0000-0000-0000EB3C0000}"/>
    <cellStyle name="Table Head Green 2 2 13" xfId="15605" xr:uid="{00000000-0005-0000-0000-0000EC3C0000}"/>
    <cellStyle name="Table Head Green 2 2 13 2" xfId="15606" xr:uid="{00000000-0005-0000-0000-0000ED3C0000}"/>
    <cellStyle name="Table Head Green 2 2 13 2 2" xfId="15607" xr:uid="{00000000-0005-0000-0000-0000EE3C0000}"/>
    <cellStyle name="Table Head Green 2 2 14" xfId="15608" xr:uid="{00000000-0005-0000-0000-0000EF3C0000}"/>
    <cellStyle name="Table Head Green 2 2 14 2" xfId="15609" xr:uid="{00000000-0005-0000-0000-0000F03C0000}"/>
    <cellStyle name="Table Head Green 2 2 14 2 2" xfId="15610" xr:uid="{00000000-0005-0000-0000-0000F13C0000}"/>
    <cellStyle name="Table Head Green 2 2 15" xfId="15611" xr:uid="{00000000-0005-0000-0000-0000F23C0000}"/>
    <cellStyle name="Table Head Green 2 2 15 2" xfId="15612" xr:uid="{00000000-0005-0000-0000-0000F33C0000}"/>
    <cellStyle name="Table Head Green 2 2 2" xfId="15613" xr:uid="{00000000-0005-0000-0000-0000F43C0000}"/>
    <cellStyle name="Table Head Green 2 2 2 2" xfId="15614" xr:uid="{00000000-0005-0000-0000-0000F53C0000}"/>
    <cellStyle name="Table Head Green 2 2 2 2 2" xfId="15615" xr:uid="{00000000-0005-0000-0000-0000F63C0000}"/>
    <cellStyle name="Table Head Green 2 2 3" xfId="15616" xr:uid="{00000000-0005-0000-0000-0000F73C0000}"/>
    <cellStyle name="Table Head Green 2 2 3 2" xfId="15617" xr:uid="{00000000-0005-0000-0000-0000F83C0000}"/>
    <cellStyle name="Table Head Green 2 2 3 2 2" xfId="15618" xr:uid="{00000000-0005-0000-0000-0000F93C0000}"/>
    <cellStyle name="Table Head Green 2 2 4" xfId="15619" xr:uid="{00000000-0005-0000-0000-0000FA3C0000}"/>
    <cellStyle name="Table Head Green 2 2 4 2" xfId="15620" xr:uid="{00000000-0005-0000-0000-0000FB3C0000}"/>
    <cellStyle name="Table Head Green 2 2 4 2 2" xfId="15621" xr:uid="{00000000-0005-0000-0000-0000FC3C0000}"/>
    <cellStyle name="Table Head Green 2 2 5" xfId="15622" xr:uid="{00000000-0005-0000-0000-0000FD3C0000}"/>
    <cellStyle name="Table Head Green 2 2 5 2" xfId="15623" xr:uid="{00000000-0005-0000-0000-0000FE3C0000}"/>
    <cellStyle name="Table Head Green 2 2 5 2 2" xfId="15624" xr:uid="{00000000-0005-0000-0000-0000FF3C0000}"/>
    <cellStyle name="Table Head Green 2 2 6" xfId="15625" xr:uid="{00000000-0005-0000-0000-0000003D0000}"/>
    <cellStyle name="Table Head Green 2 2 6 2" xfId="15626" xr:uid="{00000000-0005-0000-0000-0000013D0000}"/>
    <cellStyle name="Table Head Green 2 2 6 2 2" xfId="15627" xr:uid="{00000000-0005-0000-0000-0000023D0000}"/>
    <cellStyle name="Table Head Green 2 2 7" xfId="15628" xr:uid="{00000000-0005-0000-0000-0000033D0000}"/>
    <cellStyle name="Table Head Green 2 2 7 2" xfId="15629" xr:uid="{00000000-0005-0000-0000-0000043D0000}"/>
    <cellStyle name="Table Head Green 2 2 7 2 2" xfId="15630" xr:uid="{00000000-0005-0000-0000-0000053D0000}"/>
    <cellStyle name="Table Head Green 2 2 8" xfId="15631" xr:uid="{00000000-0005-0000-0000-0000063D0000}"/>
    <cellStyle name="Table Head Green 2 2 8 2" xfId="15632" xr:uid="{00000000-0005-0000-0000-0000073D0000}"/>
    <cellStyle name="Table Head Green 2 2 8 2 2" xfId="15633" xr:uid="{00000000-0005-0000-0000-0000083D0000}"/>
    <cellStyle name="Table Head Green 2 2 9" xfId="15634" xr:uid="{00000000-0005-0000-0000-0000093D0000}"/>
    <cellStyle name="Table Head Green 2 2 9 2" xfId="15635" xr:uid="{00000000-0005-0000-0000-00000A3D0000}"/>
    <cellStyle name="Table Head Green 2 2 9 2 2" xfId="15636" xr:uid="{00000000-0005-0000-0000-00000B3D0000}"/>
    <cellStyle name="Table Head Green 2 3" xfId="15637" xr:uid="{00000000-0005-0000-0000-00000C3D0000}"/>
    <cellStyle name="Table Head Green 2 3 2" xfId="15638" xr:uid="{00000000-0005-0000-0000-00000D3D0000}"/>
    <cellStyle name="Table Head Green 2 3 2 2" xfId="15639" xr:uid="{00000000-0005-0000-0000-00000E3D0000}"/>
    <cellStyle name="Table Head Green 2 4" xfId="15640" xr:uid="{00000000-0005-0000-0000-00000F3D0000}"/>
    <cellStyle name="Table Head Green 2 4 2" xfId="15641" xr:uid="{00000000-0005-0000-0000-0000103D0000}"/>
    <cellStyle name="Table Head Green 2 4 2 2" xfId="15642" xr:uid="{00000000-0005-0000-0000-0000113D0000}"/>
    <cellStyle name="Table Head Green 3" xfId="15643" xr:uid="{00000000-0005-0000-0000-0000123D0000}"/>
    <cellStyle name="Table Head Green 3 10" xfId="15644" xr:uid="{00000000-0005-0000-0000-0000133D0000}"/>
    <cellStyle name="Table Head Green 3 10 2" xfId="15645" xr:uid="{00000000-0005-0000-0000-0000143D0000}"/>
    <cellStyle name="Table Head Green 3 10 2 2" xfId="15646" xr:uid="{00000000-0005-0000-0000-0000153D0000}"/>
    <cellStyle name="Table Head Green 3 11" xfId="15647" xr:uid="{00000000-0005-0000-0000-0000163D0000}"/>
    <cellStyle name="Table Head Green 3 11 2" xfId="15648" xr:uid="{00000000-0005-0000-0000-0000173D0000}"/>
    <cellStyle name="Table Head Green 3 2" xfId="15649" xr:uid="{00000000-0005-0000-0000-0000183D0000}"/>
    <cellStyle name="Table Head Green 3 2 2" xfId="15650" xr:uid="{00000000-0005-0000-0000-0000193D0000}"/>
    <cellStyle name="Table Head Green 3 2 2 2" xfId="15651" xr:uid="{00000000-0005-0000-0000-00001A3D0000}"/>
    <cellStyle name="Table Head Green 3 2 2 2 2" xfId="15652" xr:uid="{00000000-0005-0000-0000-00001B3D0000}"/>
    <cellStyle name="Table Head Green 3 2 3" xfId="15653" xr:uid="{00000000-0005-0000-0000-00001C3D0000}"/>
    <cellStyle name="Table Head Green 3 2 3 2" xfId="15654" xr:uid="{00000000-0005-0000-0000-00001D3D0000}"/>
    <cellStyle name="Table Head Green 3 3" xfId="15655" xr:uid="{00000000-0005-0000-0000-00001E3D0000}"/>
    <cellStyle name="Table Head Green 3 3 2" xfId="15656" xr:uid="{00000000-0005-0000-0000-00001F3D0000}"/>
    <cellStyle name="Table Head Green 3 3 2 2" xfId="15657" xr:uid="{00000000-0005-0000-0000-0000203D0000}"/>
    <cellStyle name="Table Head Green 3 4" xfId="15658" xr:uid="{00000000-0005-0000-0000-0000213D0000}"/>
    <cellStyle name="Table Head Green 3 4 2" xfId="15659" xr:uid="{00000000-0005-0000-0000-0000223D0000}"/>
    <cellStyle name="Table Head Green 3 4 2 2" xfId="15660" xr:uid="{00000000-0005-0000-0000-0000233D0000}"/>
    <cellStyle name="Table Head Green 3 5" xfId="15661" xr:uid="{00000000-0005-0000-0000-0000243D0000}"/>
    <cellStyle name="Table Head Green 3 5 2" xfId="15662" xr:uid="{00000000-0005-0000-0000-0000253D0000}"/>
    <cellStyle name="Table Head Green 3 5 2 2" xfId="15663" xr:uid="{00000000-0005-0000-0000-0000263D0000}"/>
    <cellStyle name="Table Head Green 3 6" xfId="15664" xr:uid="{00000000-0005-0000-0000-0000273D0000}"/>
    <cellStyle name="Table Head Green 3 6 2" xfId="15665" xr:uid="{00000000-0005-0000-0000-0000283D0000}"/>
    <cellStyle name="Table Head Green 3 6 2 2" xfId="15666" xr:uid="{00000000-0005-0000-0000-0000293D0000}"/>
    <cellStyle name="Table Head Green 3 7" xfId="15667" xr:uid="{00000000-0005-0000-0000-00002A3D0000}"/>
    <cellStyle name="Table Head Green 3 7 2" xfId="15668" xr:uid="{00000000-0005-0000-0000-00002B3D0000}"/>
    <cellStyle name="Table Head Green 3 7 2 2" xfId="15669" xr:uid="{00000000-0005-0000-0000-00002C3D0000}"/>
    <cellStyle name="Table Head Green 3 8" xfId="15670" xr:uid="{00000000-0005-0000-0000-00002D3D0000}"/>
    <cellStyle name="Table Head Green 3 8 2" xfId="15671" xr:uid="{00000000-0005-0000-0000-00002E3D0000}"/>
    <cellStyle name="Table Head Green 3 8 2 2" xfId="15672" xr:uid="{00000000-0005-0000-0000-00002F3D0000}"/>
    <cellStyle name="Table Head Green 3 9" xfId="15673" xr:uid="{00000000-0005-0000-0000-0000303D0000}"/>
    <cellStyle name="Table Head Green 3 9 2" xfId="15674" xr:uid="{00000000-0005-0000-0000-0000313D0000}"/>
    <cellStyle name="Table Head Green 3 9 2 2" xfId="15675" xr:uid="{00000000-0005-0000-0000-0000323D0000}"/>
    <cellStyle name="Table Head Green 4" xfId="15676" xr:uid="{00000000-0005-0000-0000-0000333D0000}"/>
    <cellStyle name="Table Head Green 4 10" xfId="15677" xr:uid="{00000000-0005-0000-0000-0000343D0000}"/>
    <cellStyle name="Table Head Green 4 10 2" xfId="15678" xr:uid="{00000000-0005-0000-0000-0000353D0000}"/>
    <cellStyle name="Table Head Green 4 10 2 2" xfId="15679" xr:uid="{00000000-0005-0000-0000-0000363D0000}"/>
    <cellStyle name="Table Head Green 4 11" xfId="15680" xr:uid="{00000000-0005-0000-0000-0000373D0000}"/>
    <cellStyle name="Table Head Green 4 11 2" xfId="15681" xr:uid="{00000000-0005-0000-0000-0000383D0000}"/>
    <cellStyle name="Table Head Green 4 11 2 2" xfId="15682" xr:uid="{00000000-0005-0000-0000-0000393D0000}"/>
    <cellStyle name="Table Head Green 4 12" xfId="15683" xr:uid="{00000000-0005-0000-0000-00003A3D0000}"/>
    <cellStyle name="Table Head Green 4 12 2" xfId="15684" xr:uid="{00000000-0005-0000-0000-00003B3D0000}"/>
    <cellStyle name="Table Head Green 4 12 2 2" xfId="15685" xr:uid="{00000000-0005-0000-0000-00003C3D0000}"/>
    <cellStyle name="Table Head Green 4 13" xfId="15686" xr:uid="{00000000-0005-0000-0000-00003D3D0000}"/>
    <cellStyle name="Table Head Green 4 13 2" xfId="15687" xr:uid="{00000000-0005-0000-0000-00003E3D0000}"/>
    <cellStyle name="Table Head Green 4 13 2 2" xfId="15688" xr:uid="{00000000-0005-0000-0000-00003F3D0000}"/>
    <cellStyle name="Table Head Green 4 14" xfId="15689" xr:uid="{00000000-0005-0000-0000-0000403D0000}"/>
    <cellStyle name="Table Head Green 4 14 2" xfId="15690" xr:uid="{00000000-0005-0000-0000-0000413D0000}"/>
    <cellStyle name="Table Head Green 4 14 2 2" xfId="15691" xr:uid="{00000000-0005-0000-0000-0000423D0000}"/>
    <cellStyle name="Table Head Green 4 15" xfId="15692" xr:uid="{00000000-0005-0000-0000-0000433D0000}"/>
    <cellStyle name="Table Head Green 4 15 2" xfId="15693" xr:uid="{00000000-0005-0000-0000-0000443D0000}"/>
    <cellStyle name="Table Head Green 4 2" xfId="15694" xr:uid="{00000000-0005-0000-0000-0000453D0000}"/>
    <cellStyle name="Table Head Green 4 2 2" xfId="15695" xr:uid="{00000000-0005-0000-0000-0000463D0000}"/>
    <cellStyle name="Table Head Green 4 2 2 2" xfId="15696" xr:uid="{00000000-0005-0000-0000-0000473D0000}"/>
    <cellStyle name="Table Head Green 4 3" xfId="15697" xr:uid="{00000000-0005-0000-0000-0000483D0000}"/>
    <cellStyle name="Table Head Green 4 3 2" xfId="15698" xr:uid="{00000000-0005-0000-0000-0000493D0000}"/>
    <cellStyle name="Table Head Green 4 3 2 2" xfId="15699" xr:uid="{00000000-0005-0000-0000-00004A3D0000}"/>
    <cellStyle name="Table Head Green 4 4" xfId="15700" xr:uid="{00000000-0005-0000-0000-00004B3D0000}"/>
    <cellStyle name="Table Head Green 4 4 2" xfId="15701" xr:uid="{00000000-0005-0000-0000-00004C3D0000}"/>
    <cellStyle name="Table Head Green 4 4 2 2" xfId="15702" xr:uid="{00000000-0005-0000-0000-00004D3D0000}"/>
    <cellStyle name="Table Head Green 4 5" xfId="15703" xr:uid="{00000000-0005-0000-0000-00004E3D0000}"/>
    <cellStyle name="Table Head Green 4 5 2" xfId="15704" xr:uid="{00000000-0005-0000-0000-00004F3D0000}"/>
    <cellStyle name="Table Head Green 4 5 2 2" xfId="15705" xr:uid="{00000000-0005-0000-0000-0000503D0000}"/>
    <cellStyle name="Table Head Green 4 6" xfId="15706" xr:uid="{00000000-0005-0000-0000-0000513D0000}"/>
    <cellStyle name="Table Head Green 4 6 2" xfId="15707" xr:uid="{00000000-0005-0000-0000-0000523D0000}"/>
    <cellStyle name="Table Head Green 4 6 2 2" xfId="15708" xr:uid="{00000000-0005-0000-0000-0000533D0000}"/>
    <cellStyle name="Table Head Green 4 7" xfId="15709" xr:uid="{00000000-0005-0000-0000-0000543D0000}"/>
    <cellStyle name="Table Head Green 4 7 2" xfId="15710" xr:uid="{00000000-0005-0000-0000-0000553D0000}"/>
    <cellStyle name="Table Head Green 4 7 2 2" xfId="15711" xr:uid="{00000000-0005-0000-0000-0000563D0000}"/>
    <cellStyle name="Table Head Green 4 8" xfId="15712" xr:uid="{00000000-0005-0000-0000-0000573D0000}"/>
    <cellStyle name="Table Head Green 4 8 2" xfId="15713" xr:uid="{00000000-0005-0000-0000-0000583D0000}"/>
    <cellStyle name="Table Head Green 4 8 2 2" xfId="15714" xr:uid="{00000000-0005-0000-0000-0000593D0000}"/>
    <cellStyle name="Table Head Green 4 9" xfId="15715" xr:uid="{00000000-0005-0000-0000-00005A3D0000}"/>
    <cellStyle name="Table Head Green 4 9 2" xfId="15716" xr:uid="{00000000-0005-0000-0000-00005B3D0000}"/>
    <cellStyle name="Table Head Green 4 9 2 2" xfId="15717" xr:uid="{00000000-0005-0000-0000-00005C3D0000}"/>
    <cellStyle name="Table Head Green 5" xfId="15718" xr:uid="{00000000-0005-0000-0000-00005D3D0000}"/>
    <cellStyle name="Table Head Green 5 10" xfId="15719" xr:uid="{00000000-0005-0000-0000-00005E3D0000}"/>
    <cellStyle name="Table Head Green 5 10 2" xfId="15720" xr:uid="{00000000-0005-0000-0000-00005F3D0000}"/>
    <cellStyle name="Table Head Green 5 10 2 2" xfId="15721" xr:uid="{00000000-0005-0000-0000-0000603D0000}"/>
    <cellStyle name="Table Head Green 5 11" xfId="15722" xr:uid="{00000000-0005-0000-0000-0000613D0000}"/>
    <cellStyle name="Table Head Green 5 11 2" xfId="15723" xr:uid="{00000000-0005-0000-0000-0000623D0000}"/>
    <cellStyle name="Table Head Green 5 11 2 2" xfId="15724" xr:uid="{00000000-0005-0000-0000-0000633D0000}"/>
    <cellStyle name="Table Head Green 5 12" xfId="15725" xr:uid="{00000000-0005-0000-0000-0000643D0000}"/>
    <cellStyle name="Table Head Green 5 12 2" xfId="15726" xr:uid="{00000000-0005-0000-0000-0000653D0000}"/>
    <cellStyle name="Table Head Green 5 12 2 2" xfId="15727" xr:uid="{00000000-0005-0000-0000-0000663D0000}"/>
    <cellStyle name="Table Head Green 5 13" xfId="15728" xr:uid="{00000000-0005-0000-0000-0000673D0000}"/>
    <cellStyle name="Table Head Green 5 13 2" xfId="15729" xr:uid="{00000000-0005-0000-0000-0000683D0000}"/>
    <cellStyle name="Table Head Green 5 13 2 2" xfId="15730" xr:uid="{00000000-0005-0000-0000-0000693D0000}"/>
    <cellStyle name="Table Head Green 5 14" xfId="15731" xr:uid="{00000000-0005-0000-0000-00006A3D0000}"/>
    <cellStyle name="Table Head Green 5 14 2" xfId="15732" xr:uid="{00000000-0005-0000-0000-00006B3D0000}"/>
    <cellStyle name="Table Head Green 5 14 2 2" xfId="15733" xr:uid="{00000000-0005-0000-0000-00006C3D0000}"/>
    <cellStyle name="Table Head Green 5 15" xfId="15734" xr:uid="{00000000-0005-0000-0000-00006D3D0000}"/>
    <cellStyle name="Table Head Green 5 15 2" xfId="15735" xr:uid="{00000000-0005-0000-0000-00006E3D0000}"/>
    <cellStyle name="Table Head Green 5 2" xfId="15736" xr:uid="{00000000-0005-0000-0000-00006F3D0000}"/>
    <cellStyle name="Table Head Green 5 2 2" xfId="15737" xr:uid="{00000000-0005-0000-0000-0000703D0000}"/>
    <cellStyle name="Table Head Green 5 2 2 2" xfId="15738" xr:uid="{00000000-0005-0000-0000-0000713D0000}"/>
    <cellStyle name="Table Head Green 5 3" xfId="15739" xr:uid="{00000000-0005-0000-0000-0000723D0000}"/>
    <cellStyle name="Table Head Green 5 3 2" xfId="15740" xr:uid="{00000000-0005-0000-0000-0000733D0000}"/>
    <cellStyle name="Table Head Green 5 3 2 2" xfId="15741" xr:uid="{00000000-0005-0000-0000-0000743D0000}"/>
    <cellStyle name="Table Head Green 5 4" xfId="15742" xr:uid="{00000000-0005-0000-0000-0000753D0000}"/>
    <cellStyle name="Table Head Green 5 4 2" xfId="15743" xr:uid="{00000000-0005-0000-0000-0000763D0000}"/>
    <cellStyle name="Table Head Green 5 4 2 2" xfId="15744" xr:uid="{00000000-0005-0000-0000-0000773D0000}"/>
    <cellStyle name="Table Head Green 5 5" xfId="15745" xr:uid="{00000000-0005-0000-0000-0000783D0000}"/>
    <cellStyle name="Table Head Green 5 5 2" xfId="15746" xr:uid="{00000000-0005-0000-0000-0000793D0000}"/>
    <cellStyle name="Table Head Green 5 5 2 2" xfId="15747" xr:uid="{00000000-0005-0000-0000-00007A3D0000}"/>
    <cellStyle name="Table Head Green 5 6" xfId="15748" xr:uid="{00000000-0005-0000-0000-00007B3D0000}"/>
    <cellStyle name="Table Head Green 5 6 2" xfId="15749" xr:uid="{00000000-0005-0000-0000-00007C3D0000}"/>
    <cellStyle name="Table Head Green 5 6 2 2" xfId="15750" xr:uid="{00000000-0005-0000-0000-00007D3D0000}"/>
    <cellStyle name="Table Head Green 5 7" xfId="15751" xr:uid="{00000000-0005-0000-0000-00007E3D0000}"/>
    <cellStyle name="Table Head Green 5 7 2" xfId="15752" xr:uid="{00000000-0005-0000-0000-00007F3D0000}"/>
    <cellStyle name="Table Head Green 5 7 2 2" xfId="15753" xr:uid="{00000000-0005-0000-0000-0000803D0000}"/>
    <cellStyle name="Table Head Green 5 8" xfId="15754" xr:uid="{00000000-0005-0000-0000-0000813D0000}"/>
    <cellStyle name="Table Head Green 5 8 2" xfId="15755" xr:uid="{00000000-0005-0000-0000-0000823D0000}"/>
    <cellStyle name="Table Head Green 5 8 2 2" xfId="15756" xr:uid="{00000000-0005-0000-0000-0000833D0000}"/>
    <cellStyle name="Table Head Green 5 9" xfId="15757" xr:uid="{00000000-0005-0000-0000-0000843D0000}"/>
    <cellStyle name="Table Head Green 5 9 2" xfId="15758" xr:uid="{00000000-0005-0000-0000-0000853D0000}"/>
    <cellStyle name="Table Head Green 5 9 2 2" xfId="15759" xr:uid="{00000000-0005-0000-0000-0000863D0000}"/>
    <cellStyle name="Table Head Green 6" xfId="15760" xr:uid="{00000000-0005-0000-0000-0000873D0000}"/>
    <cellStyle name="Table Head Green 6 2" xfId="15761" xr:uid="{00000000-0005-0000-0000-0000883D0000}"/>
    <cellStyle name="Table Head Green 6 2 2" xfId="15762" xr:uid="{00000000-0005-0000-0000-0000893D0000}"/>
    <cellStyle name="Table Head Green 7" xfId="15763" xr:uid="{00000000-0005-0000-0000-00008A3D0000}"/>
    <cellStyle name="Table Head Green 7 2" xfId="15764" xr:uid="{00000000-0005-0000-0000-00008B3D0000}"/>
    <cellStyle name="Table Head Green 7 2 2" xfId="15765" xr:uid="{00000000-0005-0000-0000-00008C3D0000}"/>
    <cellStyle name="Table Head Green 8" xfId="15766" xr:uid="{00000000-0005-0000-0000-00008D3D0000}"/>
    <cellStyle name="Table Head Green 8 2" xfId="15767" xr:uid="{00000000-0005-0000-0000-00008E3D0000}"/>
    <cellStyle name="Table Head Green 8 2 2" xfId="15768" xr:uid="{00000000-0005-0000-0000-00008F3D0000}"/>
    <cellStyle name="Table Head Green 9" xfId="15769" xr:uid="{00000000-0005-0000-0000-0000903D0000}"/>
    <cellStyle name="Table Head Green 9 2" xfId="15770" xr:uid="{00000000-0005-0000-0000-0000913D0000}"/>
    <cellStyle name="Table Head Green 9 2 2" xfId="15771" xr:uid="{00000000-0005-0000-0000-0000923D0000}"/>
    <cellStyle name="Table Head_HRT O&amp;G" xfId="15772" xr:uid="{00000000-0005-0000-0000-0000933D0000}"/>
    <cellStyle name="Table Heading" xfId="15773" xr:uid="{00000000-0005-0000-0000-0000943D0000}"/>
    <cellStyle name="Table Sub Head" xfId="15774" xr:uid="{00000000-0005-0000-0000-0000953D0000}"/>
    <cellStyle name="Table Text" xfId="15775" xr:uid="{00000000-0005-0000-0000-0000963D0000}"/>
    <cellStyle name="Table Title" xfId="15776" xr:uid="{00000000-0005-0000-0000-0000973D0000}"/>
    <cellStyle name="Table Units" xfId="15777" xr:uid="{00000000-0005-0000-0000-0000983D0000}"/>
    <cellStyle name="Table Units 2" xfId="15778" xr:uid="{00000000-0005-0000-0000-0000993D0000}"/>
    <cellStyle name="Table Units 2 2" xfId="15779" xr:uid="{00000000-0005-0000-0000-00009A3D0000}"/>
    <cellStyle name="Table Units 2 2 2" xfId="15780" xr:uid="{00000000-0005-0000-0000-00009B3D0000}"/>
    <cellStyle name="Table Units 2 2 2 2" xfId="15781" xr:uid="{00000000-0005-0000-0000-00009C3D0000}"/>
    <cellStyle name="Table Units 2 3" xfId="15782" xr:uid="{00000000-0005-0000-0000-00009D3D0000}"/>
    <cellStyle name="Table Units 2 3 2" xfId="15783" xr:uid="{00000000-0005-0000-0000-00009E3D0000}"/>
    <cellStyle name="Table Units 3" xfId="15784" xr:uid="{00000000-0005-0000-0000-00009F3D0000}"/>
    <cellStyle name="Table Units 3 2" xfId="15785" xr:uid="{00000000-0005-0000-0000-0000A03D0000}"/>
    <cellStyle name="Table Units 3 2 2" xfId="15786" xr:uid="{00000000-0005-0000-0000-0000A13D0000}"/>
    <cellStyle name="Table Units 4" xfId="15787" xr:uid="{00000000-0005-0000-0000-0000A23D0000}"/>
    <cellStyle name="Table Units 4 2" xfId="15788" xr:uid="{00000000-0005-0000-0000-0000A33D0000}"/>
    <cellStyle name="Table-#" xfId="15789" xr:uid="{00000000-0005-0000-0000-0000A43D0000}"/>
    <cellStyle name="Table_Header" xfId="15790" xr:uid="{00000000-0005-0000-0000-0000A53D0000}"/>
    <cellStyle name="TableBase" xfId="15791" xr:uid="{00000000-0005-0000-0000-0000A63D0000}"/>
    <cellStyle name="TableBase 2" xfId="15792" xr:uid="{00000000-0005-0000-0000-0000A73D0000}"/>
    <cellStyle name="TableBase 2 2" xfId="15793" xr:uid="{00000000-0005-0000-0000-0000A83D0000}"/>
    <cellStyle name="TableBase 3" xfId="15794" xr:uid="{00000000-0005-0000-0000-0000A93D0000}"/>
    <cellStyle name="Table-Footnotes" xfId="15795" xr:uid="{00000000-0005-0000-0000-0000AA3D0000}"/>
    <cellStyle name="TableHead" xfId="15796" xr:uid="{00000000-0005-0000-0000-0000AB3D0000}"/>
    <cellStyle name="Table-Head-Bottom" xfId="15797" xr:uid="{00000000-0005-0000-0000-0000AC3D0000}"/>
    <cellStyle name="Table-Headings" xfId="15798" xr:uid="{00000000-0005-0000-0000-0000AD3D0000}"/>
    <cellStyle name="Table-Head-Title" xfId="15799" xr:uid="{00000000-0005-0000-0000-0000AE3D0000}"/>
    <cellStyle name="TableSubTitleItalic" xfId="15800" xr:uid="{00000000-0005-0000-0000-0000AF3D0000}"/>
    <cellStyle name="Table-Titles" xfId="15801" xr:uid="{00000000-0005-0000-0000-0000B03D0000}"/>
    <cellStyle name="Tag" xfId="15802" xr:uid="{00000000-0005-0000-0000-0000B13D0000}"/>
    <cellStyle name="taples Plaza" xfId="15803" xr:uid="{00000000-0005-0000-0000-0000B23D0000}"/>
    <cellStyle name="tcn" xfId="15804" xr:uid="{00000000-0005-0000-0000-0000B33D0000}"/>
    <cellStyle name="Test" xfId="15805" xr:uid="{00000000-0005-0000-0000-0000B43D0000}"/>
    <cellStyle name="test a style" xfId="15806" xr:uid="{00000000-0005-0000-0000-0000B53D0000}"/>
    <cellStyle name="test a style 10" xfId="15807" xr:uid="{00000000-0005-0000-0000-0000B63D0000}"/>
    <cellStyle name="test a style 10 2" xfId="15808" xr:uid="{00000000-0005-0000-0000-0000B73D0000}"/>
    <cellStyle name="test a style 10 2 2" xfId="15809" xr:uid="{00000000-0005-0000-0000-0000B83D0000}"/>
    <cellStyle name="test a style 11" xfId="15810" xr:uid="{00000000-0005-0000-0000-0000B93D0000}"/>
    <cellStyle name="test a style 11 2" xfId="15811" xr:uid="{00000000-0005-0000-0000-0000BA3D0000}"/>
    <cellStyle name="test a style 11 2 2" xfId="15812" xr:uid="{00000000-0005-0000-0000-0000BB3D0000}"/>
    <cellStyle name="test a style 2" xfId="15813" xr:uid="{00000000-0005-0000-0000-0000BC3D0000}"/>
    <cellStyle name="test a style 2 2" xfId="15814" xr:uid="{00000000-0005-0000-0000-0000BD3D0000}"/>
    <cellStyle name="test a style 2 2 10" xfId="15815" xr:uid="{00000000-0005-0000-0000-0000BE3D0000}"/>
    <cellStyle name="test a style 2 2 10 2" xfId="15816" xr:uid="{00000000-0005-0000-0000-0000BF3D0000}"/>
    <cellStyle name="test a style 2 2 10 2 2" xfId="15817" xr:uid="{00000000-0005-0000-0000-0000C03D0000}"/>
    <cellStyle name="test a style 2 2 11" xfId="15818" xr:uid="{00000000-0005-0000-0000-0000C13D0000}"/>
    <cellStyle name="test a style 2 2 11 2" xfId="15819" xr:uid="{00000000-0005-0000-0000-0000C23D0000}"/>
    <cellStyle name="test a style 2 2 11 2 2" xfId="15820" xr:uid="{00000000-0005-0000-0000-0000C33D0000}"/>
    <cellStyle name="test a style 2 2 12" xfId="15821" xr:uid="{00000000-0005-0000-0000-0000C43D0000}"/>
    <cellStyle name="test a style 2 2 12 2" xfId="15822" xr:uid="{00000000-0005-0000-0000-0000C53D0000}"/>
    <cellStyle name="test a style 2 2 12 2 2" xfId="15823" xr:uid="{00000000-0005-0000-0000-0000C63D0000}"/>
    <cellStyle name="test a style 2 2 13" xfId="15824" xr:uid="{00000000-0005-0000-0000-0000C73D0000}"/>
    <cellStyle name="test a style 2 2 13 2" xfId="15825" xr:uid="{00000000-0005-0000-0000-0000C83D0000}"/>
    <cellStyle name="test a style 2 2 13 2 2" xfId="15826" xr:uid="{00000000-0005-0000-0000-0000C93D0000}"/>
    <cellStyle name="test a style 2 2 14" xfId="15827" xr:uid="{00000000-0005-0000-0000-0000CA3D0000}"/>
    <cellStyle name="test a style 2 2 14 2" xfId="15828" xr:uid="{00000000-0005-0000-0000-0000CB3D0000}"/>
    <cellStyle name="test a style 2 2 14 2 2" xfId="15829" xr:uid="{00000000-0005-0000-0000-0000CC3D0000}"/>
    <cellStyle name="test a style 2 2 15" xfId="15830" xr:uid="{00000000-0005-0000-0000-0000CD3D0000}"/>
    <cellStyle name="test a style 2 2 15 2" xfId="15831" xr:uid="{00000000-0005-0000-0000-0000CE3D0000}"/>
    <cellStyle name="test a style 2 2 2" xfId="15832" xr:uid="{00000000-0005-0000-0000-0000CF3D0000}"/>
    <cellStyle name="test a style 2 2 2 2" xfId="15833" xr:uid="{00000000-0005-0000-0000-0000D03D0000}"/>
    <cellStyle name="test a style 2 2 2 2 2" xfId="15834" xr:uid="{00000000-0005-0000-0000-0000D13D0000}"/>
    <cellStyle name="test a style 2 2 3" xfId="15835" xr:uid="{00000000-0005-0000-0000-0000D23D0000}"/>
    <cellStyle name="test a style 2 2 3 2" xfId="15836" xr:uid="{00000000-0005-0000-0000-0000D33D0000}"/>
    <cellStyle name="test a style 2 2 3 2 2" xfId="15837" xr:uid="{00000000-0005-0000-0000-0000D43D0000}"/>
    <cellStyle name="test a style 2 2 4" xfId="15838" xr:uid="{00000000-0005-0000-0000-0000D53D0000}"/>
    <cellStyle name="test a style 2 2 4 2" xfId="15839" xr:uid="{00000000-0005-0000-0000-0000D63D0000}"/>
    <cellStyle name="test a style 2 2 4 2 2" xfId="15840" xr:uid="{00000000-0005-0000-0000-0000D73D0000}"/>
    <cellStyle name="test a style 2 2 5" xfId="15841" xr:uid="{00000000-0005-0000-0000-0000D83D0000}"/>
    <cellStyle name="test a style 2 2 5 2" xfId="15842" xr:uid="{00000000-0005-0000-0000-0000D93D0000}"/>
    <cellStyle name="test a style 2 2 5 2 2" xfId="15843" xr:uid="{00000000-0005-0000-0000-0000DA3D0000}"/>
    <cellStyle name="test a style 2 2 6" xfId="15844" xr:uid="{00000000-0005-0000-0000-0000DB3D0000}"/>
    <cellStyle name="test a style 2 2 6 2" xfId="15845" xr:uid="{00000000-0005-0000-0000-0000DC3D0000}"/>
    <cellStyle name="test a style 2 2 6 2 2" xfId="15846" xr:uid="{00000000-0005-0000-0000-0000DD3D0000}"/>
    <cellStyle name="test a style 2 2 7" xfId="15847" xr:uid="{00000000-0005-0000-0000-0000DE3D0000}"/>
    <cellStyle name="test a style 2 2 7 2" xfId="15848" xr:uid="{00000000-0005-0000-0000-0000DF3D0000}"/>
    <cellStyle name="test a style 2 2 7 2 2" xfId="15849" xr:uid="{00000000-0005-0000-0000-0000E03D0000}"/>
    <cellStyle name="test a style 2 2 8" xfId="15850" xr:uid="{00000000-0005-0000-0000-0000E13D0000}"/>
    <cellStyle name="test a style 2 2 8 2" xfId="15851" xr:uid="{00000000-0005-0000-0000-0000E23D0000}"/>
    <cellStyle name="test a style 2 2 8 2 2" xfId="15852" xr:uid="{00000000-0005-0000-0000-0000E33D0000}"/>
    <cellStyle name="test a style 2 2 9" xfId="15853" xr:uid="{00000000-0005-0000-0000-0000E43D0000}"/>
    <cellStyle name="test a style 2 2 9 2" xfId="15854" xr:uid="{00000000-0005-0000-0000-0000E53D0000}"/>
    <cellStyle name="test a style 2 2 9 2 2" xfId="15855" xr:uid="{00000000-0005-0000-0000-0000E63D0000}"/>
    <cellStyle name="test a style 2 3" xfId="15856" xr:uid="{00000000-0005-0000-0000-0000E73D0000}"/>
    <cellStyle name="test a style 2 3 2" xfId="15857" xr:uid="{00000000-0005-0000-0000-0000E83D0000}"/>
    <cellStyle name="test a style 2 3 2 2" xfId="15858" xr:uid="{00000000-0005-0000-0000-0000E93D0000}"/>
    <cellStyle name="test a style 2 4" xfId="15859" xr:uid="{00000000-0005-0000-0000-0000EA3D0000}"/>
    <cellStyle name="test a style 2 4 2" xfId="15860" xr:uid="{00000000-0005-0000-0000-0000EB3D0000}"/>
    <cellStyle name="test a style 2 4 2 2" xfId="15861" xr:uid="{00000000-0005-0000-0000-0000EC3D0000}"/>
    <cellStyle name="test a style 3" xfId="15862" xr:uid="{00000000-0005-0000-0000-0000ED3D0000}"/>
    <cellStyle name="test a style 3 10" xfId="15863" xr:uid="{00000000-0005-0000-0000-0000EE3D0000}"/>
    <cellStyle name="test a style 3 10 2" xfId="15864" xr:uid="{00000000-0005-0000-0000-0000EF3D0000}"/>
    <cellStyle name="test a style 3 10 2 2" xfId="15865" xr:uid="{00000000-0005-0000-0000-0000F03D0000}"/>
    <cellStyle name="test a style 3 11" xfId="15866" xr:uid="{00000000-0005-0000-0000-0000F13D0000}"/>
    <cellStyle name="test a style 3 11 2" xfId="15867" xr:uid="{00000000-0005-0000-0000-0000F23D0000}"/>
    <cellStyle name="test a style 3 2" xfId="15868" xr:uid="{00000000-0005-0000-0000-0000F33D0000}"/>
    <cellStyle name="test a style 3 2 2" xfId="15869" xr:uid="{00000000-0005-0000-0000-0000F43D0000}"/>
    <cellStyle name="test a style 3 2 2 2" xfId="15870" xr:uid="{00000000-0005-0000-0000-0000F53D0000}"/>
    <cellStyle name="test a style 3 2 2 2 2" xfId="15871" xr:uid="{00000000-0005-0000-0000-0000F63D0000}"/>
    <cellStyle name="test a style 3 2 3" xfId="15872" xr:uid="{00000000-0005-0000-0000-0000F73D0000}"/>
    <cellStyle name="test a style 3 2 3 2" xfId="15873" xr:uid="{00000000-0005-0000-0000-0000F83D0000}"/>
    <cellStyle name="test a style 3 3" xfId="15874" xr:uid="{00000000-0005-0000-0000-0000F93D0000}"/>
    <cellStyle name="test a style 3 3 2" xfId="15875" xr:uid="{00000000-0005-0000-0000-0000FA3D0000}"/>
    <cellStyle name="test a style 3 3 2 2" xfId="15876" xr:uid="{00000000-0005-0000-0000-0000FB3D0000}"/>
    <cellStyle name="test a style 3 4" xfId="15877" xr:uid="{00000000-0005-0000-0000-0000FC3D0000}"/>
    <cellStyle name="test a style 3 4 2" xfId="15878" xr:uid="{00000000-0005-0000-0000-0000FD3D0000}"/>
    <cellStyle name="test a style 3 4 2 2" xfId="15879" xr:uid="{00000000-0005-0000-0000-0000FE3D0000}"/>
    <cellStyle name="test a style 3 5" xfId="15880" xr:uid="{00000000-0005-0000-0000-0000FF3D0000}"/>
    <cellStyle name="test a style 3 5 2" xfId="15881" xr:uid="{00000000-0005-0000-0000-0000003E0000}"/>
    <cellStyle name="test a style 3 5 2 2" xfId="15882" xr:uid="{00000000-0005-0000-0000-0000013E0000}"/>
    <cellStyle name="test a style 3 6" xfId="15883" xr:uid="{00000000-0005-0000-0000-0000023E0000}"/>
    <cellStyle name="test a style 3 6 2" xfId="15884" xr:uid="{00000000-0005-0000-0000-0000033E0000}"/>
    <cellStyle name="test a style 3 6 2 2" xfId="15885" xr:uid="{00000000-0005-0000-0000-0000043E0000}"/>
    <cellStyle name="test a style 3 7" xfId="15886" xr:uid="{00000000-0005-0000-0000-0000053E0000}"/>
    <cellStyle name="test a style 3 7 2" xfId="15887" xr:uid="{00000000-0005-0000-0000-0000063E0000}"/>
    <cellStyle name="test a style 3 7 2 2" xfId="15888" xr:uid="{00000000-0005-0000-0000-0000073E0000}"/>
    <cellStyle name="test a style 3 8" xfId="15889" xr:uid="{00000000-0005-0000-0000-0000083E0000}"/>
    <cellStyle name="test a style 3 8 2" xfId="15890" xr:uid="{00000000-0005-0000-0000-0000093E0000}"/>
    <cellStyle name="test a style 3 8 2 2" xfId="15891" xr:uid="{00000000-0005-0000-0000-00000A3E0000}"/>
    <cellStyle name="test a style 3 9" xfId="15892" xr:uid="{00000000-0005-0000-0000-00000B3E0000}"/>
    <cellStyle name="test a style 3 9 2" xfId="15893" xr:uid="{00000000-0005-0000-0000-00000C3E0000}"/>
    <cellStyle name="test a style 3 9 2 2" xfId="15894" xr:uid="{00000000-0005-0000-0000-00000D3E0000}"/>
    <cellStyle name="test a style 4" xfId="15895" xr:uid="{00000000-0005-0000-0000-00000E3E0000}"/>
    <cellStyle name="test a style 4 10" xfId="15896" xr:uid="{00000000-0005-0000-0000-00000F3E0000}"/>
    <cellStyle name="test a style 4 10 2" xfId="15897" xr:uid="{00000000-0005-0000-0000-0000103E0000}"/>
    <cellStyle name="test a style 4 10 2 2" xfId="15898" xr:uid="{00000000-0005-0000-0000-0000113E0000}"/>
    <cellStyle name="test a style 4 11" xfId="15899" xr:uid="{00000000-0005-0000-0000-0000123E0000}"/>
    <cellStyle name="test a style 4 11 2" xfId="15900" xr:uid="{00000000-0005-0000-0000-0000133E0000}"/>
    <cellStyle name="test a style 4 11 2 2" xfId="15901" xr:uid="{00000000-0005-0000-0000-0000143E0000}"/>
    <cellStyle name="test a style 4 12" xfId="15902" xr:uid="{00000000-0005-0000-0000-0000153E0000}"/>
    <cellStyle name="test a style 4 12 2" xfId="15903" xr:uid="{00000000-0005-0000-0000-0000163E0000}"/>
    <cellStyle name="test a style 4 12 2 2" xfId="15904" xr:uid="{00000000-0005-0000-0000-0000173E0000}"/>
    <cellStyle name="test a style 4 13" xfId="15905" xr:uid="{00000000-0005-0000-0000-0000183E0000}"/>
    <cellStyle name="test a style 4 13 2" xfId="15906" xr:uid="{00000000-0005-0000-0000-0000193E0000}"/>
    <cellStyle name="test a style 4 13 2 2" xfId="15907" xr:uid="{00000000-0005-0000-0000-00001A3E0000}"/>
    <cellStyle name="test a style 4 14" xfId="15908" xr:uid="{00000000-0005-0000-0000-00001B3E0000}"/>
    <cellStyle name="test a style 4 14 2" xfId="15909" xr:uid="{00000000-0005-0000-0000-00001C3E0000}"/>
    <cellStyle name="test a style 4 14 2 2" xfId="15910" xr:uid="{00000000-0005-0000-0000-00001D3E0000}"/>
    <cellStyle name="test a style 4 15" xfId="15911" xr:uid="{00000000-0005-0000-0000-00001E3E0000}"/>
    <cellStyle name="test a style 4 15 2" xfId="15912" xr:uid="{00000000-0005-0000-0000-00001F3E0000}"/>
    <cellStyle name="test a style 4 2" xfId="15913" xr:uid="{00000000-0005-0000-0000-0000203E0000}"/>
    <cellStyle name="test a style 4 2 2" xfId="15914" xr:uid="{00000000-0005-0000-0000-0000213E0000}"/>
    <cellStyle name="test a style 4 2 2 2" xfId="15915" xr:uid="{00000000-0005-0000-0000-0000223E0000}"/>
    <cellStyle name="test a style 4 3" xfId="15916" xr:uid="{00000000-0005-0000-0000-0000233E0000}"/>
    <cellStyle name="test a style 4 3 2" xfId="15917" xr:uid="{00000000-0005-0000-0000-0000243E0000}"/>
    <cellStyle name="test a style 4 3 2 2" xfId="15918" xr:uid="{00000000-0005-0000-0000-0000253E0000}"/>
    <cellStyle name="test a style 4 4" xfId="15919" xr:uid="{00000000-0005-0000-0000-0000263E0000}"/>
    <cellStyle name="test a style 4 4 2" xfId="15920" xr:uid="{00000000-0005-0000-0000-0000273E0000}"/>
    <cellStyle name="test a style 4 4 2 2" xfId="15921" xr:uid="{00000000-0005-0000-0000-0000283E0000}"/>
    <cellStyle name="test a style 4 5" xfId="15922" xr:uid="{00000000-0005-0000-0000-0000293E0000}"/>
    <cellStyle name="test a style 4 5 2" xfId="15923" xr:uid="{00000000-0005-0000-0000-00002A3E0000}"/>
    <cellStyle name="test a style 4 5 2 2" xfId="15924" xr:uid="{00000000-0005-0000-0000-00002B3E0000}"/>
    <cellStyle name="test a style 4 6" xfId="15925" xr:uid="{00000000-0005-0000-0000-00002C3E0000}"/>
    <cellStyle name="test a style 4 6 2" xfId="15926" xr:uid="{00000000-0005-0000-0000-00002D3E0000}"/>
    <cellStyle name="test a style 4 6 2 2" xfId="15927" xr:uid="{00000000-0005-0000-0000-00002E3E0000}"/>
    <cellStyle name="test a style 4 7" xfId="15928" xr:uid="{00000000-0005-0000-0000-00002F3E0000}"/>
    <cellStyle name="test a style 4 7 2" xfId="15929" xr:uid="{00000000-0005-0000-0000-0000303E0000}"/>
    <cellStyle name="test a style 4 7 2 2" xfId="15930" xr:uid="{00000000-0005-0000-0000-0000313E0000}"/>
    <cellStyle name="test a style 4 8" xfId="15931" xr:uid="{00000000-0005-0000-0000-0000323E0000}"/>
    <cellStyle name="test a style 4 8 2" xfId="15932" xr:uid="{00000000-0005-0000-0000-0000333E0000}"/>
    <cellStyle name="test a style 4 8 2 2" xfId="15933" xr:uid="{00000000-0005-0000-0000-0000343E0000}"/>
    <cellStyle name="test a style 4 9" xfId="15934" xr:uid="{00000000-0005-0000-0000-0000353E0000}"/>
    <cellStyle name="test a style 4 9 2" xfId="15935" xr:uid="{00000000-0005-0000-0000-0000363E0000}"/>
    <cellStyle name="test a style 4 9 2 2" xfId="15936" xr:uid="{00000000-0005-0000-0000-0000373E0000}"/>
    <cellStyle name="test a style 5" xfId="15937" xr:uid="{00000000-0005-0000-0000-0000383E0000}"/>
    <cellStyle name="test a style 5 10" xfId="15938" xr:uid="{00000000-0005-0000-0000-0000393E0000}"/>
    <cellStyle name="test a style 5 10 2" xfId="15939" xr:uid="{00000000-0005-0000-0000-00003A3E0000}"/>
    <cellStyle name="test a style 5 10 2 2" xfId="15940" xr:uid="{00000000-0005-0000-0000-00003B3E0000}"/>
    <cellStyle name="test a style 5 11" xfId="15941" xr:uid="{00000000-0005-0000-0000-00003C3E0000}"/>
    <cellStyle name="test a style 5 11 2" xfId="15942" xr:uid="{00000000-0005-0000-0000-00003D3E0000}"/>
    <cellStyle name="test a style 5 11 2 2" xfId="15943" xr:uid="{00000000-0005-0000-0000-00003E3E0000}"/>
    <cellStyle name="test a style 5 12" xfId="15944" xr:uid="{00000000-0005-0000-0000-00003F3E0000}"/>
    <cellStyle name="test a style 5 12 2" xfId="15945" xr:uid="{00000000-0005-0000-0000-0000403E0000}"/>
    <cellStyle name="test a style 5 12 2 2" xfId="15946" xr:uid="{00000000-0005-0000-0000-0000413E0000}"/>
    <cellStyle name="test a style 5 13" xfId="15947" xr:uid="{00000000-0005-0000-0000-0000423E0000}"/>
    <cellStyle name="test a style 5 13 2" xfId="15948" xr:uid="{00000000-0005-0000-0000-0000433E0000}"/>
    <cellStyle name="test a style 5 13 2 2" xfId="15949" xr:uid="{00000000-0005-0000-0000-0000443E0000}"/>
    <cellStyle name="test a style 5 14" xfId="15950" xr:uid="{00000000-0005-0000-0000-0000453E0000}"/>
    <cellStyle name="test a style 5 14 2" xfId="15951" xr:uid="{00000000-0005-0000-0000-0000463E0000}"/>
    <cellStyle name="test a style 5 14 2 2" xfId="15952" xr:uid="{00000000-0005-0000-0000-0000473E0000}"/>
    <cellStyle name="test a style 5 15" xfId="15953" xr:uid="{00000000-0005-0000-0000-0000483E0000}"/>
    <cellStyle name="test a style 5 15 2" xfId="15954" xr:uid="{00000000-0005-0000-0000-0000493E0000}"/>
    <cellStyle name="test a style 5 2" xfId="15955" xr:uid="{00000000-0005-0000-0000-00004A3E0000}"/>
    <cellStyle name="test a style 5 2 2" xfId="15956" xr:uid="{00000000-0005-0000-0000-00004B3E0000}"/>
    <cellStyle name="test a style 5 2 2 2" xfId="15957" xr:uid="{00000000-0005-0000-0000-00004C3E0000}"/>
    <cellStyle name="test a style 5 3" xfId="15958" xr:uid="{00000000-0005-0000-0000-00004D3E0000}"/>
    <cellStyle name="test a style 5 3 2" xfId="15959" xr:uid="{00000000-0005-0000-0000-00004E3E0000}"/>
    <cellStyle name="test a style 5 3 2 2" xfId="15960" xr:uid="{00000000-0005-0000-0000-00004F3E0000}"/>
    <cellStyle name="test a style 5 4" xfId="15961" xr:uid="{00000000-0005-0000-0000-0000503E0000}"/>
    <cellStyle name="test a style 5 4 2" xfId="15962" xr:uid="{00000000-0005-0000-0000-0000513E0000}"/>
    <cellStyle name="test a style 5 4 2 2" xfId="15963" xr:uid="{00000000-0005-0000-0000-0000523E0000}"/>
    <cellStyle name="test a style 5 5" xfId="15964" xr:uid="{00000000-0005-0000-0000-0000533E0000}"/>
    <cellStyle name="test a style 5 5 2" xfId="15965" xr:uid="{00000000-0005-0000-0000-0000543E0000}"/>
    <cellStyle name="test a style 5 5 2 2" xfId="15966" xr:uid="{00000000-0005-0000-0000-0000553E0000}"/>
    <cellStyle name="test a style 5 6" xfId="15967" xr:uid="{00000000-0005-0000-0000-0000563E0000}"/>
    <cellStyle name="test a style 5 6 2" xfId="15968" xr:uid="{00000000-0005-0000-0000-0000573E0000}"/>
    <cellStyle name="test a style 5 6 2 2" xfId="15969" xr:uid="{00000000-0005-0000-0000-0000583E0000}"/>
    <cellStyle name="test a style 5 7" xfId="15970" xr:uid="{00000000-0005-0000-0000-0000593E0000}"/>
    <cellStyle name="test a style 5 7 2" xfId="15971" xr:uid="{00000000-0005-0000-0000-00005A3E0000}"/>
    <cellStyle name="test a style 5 7 2 2" xfId="15972" xr:uid="{00000000-0005-0000-0000-00005B3E0000}"/>
    <cellStyle name="test a style 5 8" xfId="15973" xr:uid="{00000000-0005-0000-0000-00005C3E0000}"/>
    <cellStyle name="test a style 5 8 2" xfId="15974" xr:uid="{00000000-0005-0000-0000-00005D3E0000}"/>
    <cellStyle name="test a style 5 8 2 2" xfId="15975" xr:uid="{00000000-0005-0000-0000-00005E3E0000}"/>
    <cellStyle name="test a style 5 9" xfId="15976" xr:uid="{00000000-0005-0000-0000-00005F3E0000}"/>
    <cellStyle name="test a style 5 9 2" xfId="15977" xr:uid="{00000000-0005-0000-0000-0000603E0000}"/>
    <cellStyle name="test a style 5 9 2 2" xfId="15978" xr:uid="{00000000-0005-0000-0000-0000613E0000}"/>
    <cellStyle name="test a style 6" xfId="15979" xr:uid="{00000000-0005-0000-0000-0000623E0000}"/>
    <cellStyle name="test a style 6 2" xfId="15980" xr:uid="{00000000-0005-0000-0000-0000633E0000}"/>
    <cellStyle name="test a style 6 2 2" xfId="15981" xr:uid="{00000000-0005-0000-0000-0000643E0000}"/>
    <cellStyle name="test a style 7" xfId="15982" xr:uid="{00000000-0005-0000-0000-0000653E0000}"/>
    <cellStyle name="test a style 7 2" xfId="15983" xr:uid="{00000000-0005-0000-0000-0000663E0000}"/>
    <cellStyle name="test a style 7 2 2" xfId="15984" xr:uid="{00000000-0005-0000-0000-0000673E0000}"/>
    <cellStyle name="test a style 8" xfId="15985" xr:uid="{00000000-0005-0000-0000-0000683E0000}"/>
    <cellStyle name="test a style 8 2" xfId="15986" xr:uid="{00000000-0005-0000-0000-0000693E0000}"/>
    <cellStyle name="test a style 8 2 2" xfId="15987" xr:uid="{00000000-0005-0000-0000-00006A3E0000}"/>
    <cellStyle name="test a style 9" xfId="15988" xr:uid="{00000000-0005-0000-0000-00006B3E0000}"/>
    <cellStyle name="test a style 9 2" xfId="15989" xr:uid="{00000000-0005-0000-0000-00006C3E0000}"/>
    <cellStyle name="test a style 9 2 2" xfId="15990" xr:uid="{00000000-0005-0000-0000-00006D3E0000}"/>
    <cellStyle name="Test_HRT O&amp;G" xfId="15991" xr:uid="{00000000-0005-0000-0000-00006E3E0000}"/>
    <cellStyle name="TESTE" xfId="15992" xr:uid="{00000000-0005-0000-0000-00006F3E0000}"/>
    <cellStyle name="-Têtes de colonnes" xfId="15993" xr:uid="{00000000-0005-0000-0000-0000703E0000}"/>
    <cellStyle name="Text" xfId="15994" xr:uid="{00000000-0005-0000-0000-0000713E0000}"/>
    <cellStyle name="Text 1" xfId="15995" xr:uid="{00000000-0005-0000-0000-0000723E0000}"/>
    <cellStyle name="Text Head" xfId="15996" xr:uid="{00000000-0005-0000-0000-0000733E0000}"/>
    <cellStyle name="Text Head 1" xfId="15997" xr:uid="{00000000-0005-0000-0000-0000743E0000}"/>
    <cellStyle name="Text Head_HRT O&amp;G" xfId="15998" xr:uid="{00000000-0005-0000-0000-0000753E0000}"/>
    <cellStyle name="Text Indent A" xfId="15999" xr:uid="{00000000-0005-0000-0000-0000763E0000}"/>
    <cellStyle name="Text Indent B" xfId="16000" xr:uid="{00000000-0005-0000-0000-0000773E0000}"/>
    <cellStyle name="Text Indent C" xfId="16001" xr:uid="{00000000-0005-0000-0000-0000783E0000}"/>
    <cellStyle name="Text_Análise LBO para Previ_v5" xfId="16002" xr:uid="{00000000-0005-0000-0000-0000793E0000}"/>
    <cellStyle name="text2" xfId="16003" xr:uid="{00000000-0005-0000-0000-00007A3E0000}"/>
    <cellStyle name="TextData" xfId="16004" xr:uid="{00000000-0005-0000-0000-00007B3E0000}"/>
    <cellStyle name="TextDataFlag" xfId="16005" xr:uid="{00000000-0005-0000-0000-00007C3E0000}"/>
    <cellStyle name="TextDataLong" xfId="16006" xr:uid="{00000000-0005-0000-0000-00007D3E0000}"/>
    <cellStyle name="Texto de Aviso" xfId="14" builtinId="11" customBuiltin="1"/>
    <cellStyle name="Texto de Aviso 10" xfId="16007" xr:uid="{00000000-0005-0000-0000-00007F3E0000}"/>
    <cellStyle name="Texto de Aviso 11" xfId="16008" xr:uid="{00000000-0005-0000-0000-0000803E0000}"/>
    <cellStyle name="Texto de Aviso 12" xfId="16009" xr:uid="{00000000-0005-0000-0000-0000813E0000}"/>
    <cellStyle name="Texto de Aviso 13" xfId="16010" xr:uid="{00000000-0005-0000-0000-0000823E0000}"/>
    <cellStyle name="Texto de Aviso 14" xfId="16011" xr:uid="{00000000-0005-0000-0000-0000833E0000}"/>
    <cellStyle name="Texto de Aviso 15" xfId="16012" xr:uid="{00000000-0005-0000-0000-0000843E0000}"/>
    <cellStyle name="Texto de Aviso 16" xfId="16013" xr:uid="{00000000-0005-0000-0000-0000853E0000}"/>
    <cellStyle name="Texto de Aviso 17" xfId="16014" xr:uid="{00000000-0005-0000-0000-0000863E0000}"/>
    <cellStyle name="Texto de Aviso 18" xfId="16015" xr:uid="{00000000-0005-0000-0000-0000873E0000}"/>
    <cellStyle name="Texto de Aviso 19" xfId="16016" xr:uid="{00000000-0005-0000-0000-0000883E0000}"/>
    <cellStyle name="Texto de Aviso 2" xfId="16017" xr:uid="{00000000-0005-0000-0000-0000893E0000}"/>
    <cellStyle name="Texto de Aviso 20" xfId="16018" xr:uid="{00000000-0005-0000-0000-00008A3E0000}"/>
    <cellStyle name="Texto de Aviso 21" xfId="16019" xr:uid="{00000000-0005-0000-0000-00008B3E0000}"/>
    <cellStyle name="Texto de Aviso 22" xfId="16020" xr:uid="{00000000-0005-0000-0000-00008C3E0000}"/>
    <cellStyle name="Texto de Aviso 23" xfId="16021" xr:uid="{00000000-0005-0000-0000-00008D3E0000}"/>
    <cellStyle name="Texto de Aviso 24" xfId="16022" xr:uid="{00000000-0005-0000-0000-00008E3E0000}"/>
    <cellStyle name="Texto de Aviso 25" xfId="16023" xr:uid="{00000000-0005-0000-0000-00008F3E0000}"/>
    <cellStyle name="Texto de Aviso 26" xfId="16024" xr:uid="{00000000-0005-0000-0000-0000903E0000}"/>
    <cellStyle name="Texto de Aviso 27" xfId="16025" xr:uid="{00000000-0005-0000-0000-0000913E0000}"/>
    <cellStyle name="Texto de Aviso 28" xfId="16026" xr:uid="{00000000-0005-0000-0000-0000923E0000}"/>
    <cellStyle name="Texto de Aviso 29" xfId="16027" xr:uid="{00000000-0005-0000-0000-0000933E0000}"/>
    <cellStyle name="Texto de Aviso 3" xfId="16028" xr:uid="{00000000-0005-0000-0000-0000943E0000}"/>
    <cellStyle name="Texto de Aviso 30" xfId="16029" xr:uid="{00000000-0005-0000-0000-0000953E0000}"/>
    <cellStyle name="Texto de Aviso 31" xfId="16030" xr:uid="{00000000-0005-0000-0000-0000963E0000}"/>
    <cellStyle name="Texto de Aviso 32" xfId="16031" xr:uid="{00000000-0005-0000-0000-0000973E0000}"/>
    <cellStyle name="Texto de Aviso 33" xfId="16032" xr:uid="{00000000-0005-0000-0000-0000983E0000}"/>
    <cellStyle name="Texto de Aviso 34" xfId="16033" xr:uid="{00000000-0005-0000-0000-0000993E0000}"/>
    <cellStyle name="Texto de Aviso 35" xfId="16034" xr:uid="{00000000-0005-0000-0000-00009A3E0000}"/>
    <cellStyle name="Texto de Aviso 36" xfId="16035" xr:uid="{00000000-0005-0000-0000-00009B3E0000}"/>
    <cellStyle name="Texto de Aviso 37" xfId="16036" xr:uid="{00000000-0005-0000-0000-00009C3E0000}"/>
    <cellStyle name="Texto de Aviso 38" xfId="16037" xr:uid="{00000000-0005-0000-0000-00009D3E0000}"/>
    <cellStyle name="Texto de Aviso 39" xfId="16038" xr:uid="{00000000-0005-0000-0000-00009E3E0000}"/>
    <cellStyle name="Texto de Aviso 4" xfId="16039" xr:uid="{00000000-0005-0000-0000-00009F3E0000}"/>
    <cellStyle name="Texto de Aviso 40" xfId="16040" xr:uid="{00000000-0005-0000-0000-0000A03E0000}"/>
    <cellStyle name="Texto de Aviso 5" xfId="16041" xr:uid="{00000000-0005-0000-0000-0000A13E0000}"/>
    <cellStyle name="Texto de Aviso 6" xfId="16042" xr:uid="{00000000-0005-0000-0000-0000A23E0000}"/>
    <cellStyle name="Texto de Aviso 7" xfId="16043" xr:uid="{00000000-0005-0000-0000-0000A33E0000}"/>
    <cellStyle name="Texto de Aviso 8" xfId="16044" xr:uid="{00000000-0005-0000-0000-0000A43E0000}"/>
    <cellStyle name="Texto de Aviso 9" xfId="16045" xr:uid="{00000000-0005-0000-0000-0000A53E0000}"/>
    <cellStyle name="Texto Explicativo" xfId="16" builtinId="53" customBuiltin="1"/>
    <cellStyle name="Texto Explicativo 10" xfId="16046" xr:uid="{00000000-0005-0000-0000-0000A73E0000}"/>
    <cellStyle name="Texto Explicativo 11" xfId="16047" xr:uid="{00000000-0005-0000-0000-0000A83E0000}"/>
    <cellStyle name="Texto Explicativo 12" xfId="16048" xr:uid="{00000000-0005-0000-0000-0000A93E0000}"/>
    <cellStyle name="Texto Explicativo 13" xfId="16049" xr:uid="{00000000-0005-0000-0000-0000AA3E0000}"/>
    <cellStyle name="Texto Explicativo 14" xfId="16050" xr:uid="{00000000-0005-0000-0000-0000AB3E0000}"/>
    <cellStyle name="Texto Explicativo 15" xfId="16051" xr:uid="{00000000-0005-0000-0000-0000AC3E0000}"/>
    <cellStyle name="Texto Explicativo 16" xfId="16052" xr:uid="{00000000-0005-0000-0000-0000AD3E0000}"/>
    <cellStyle name="Texto Explicativo 17" xfId="16053" xr:uid="{00000000-0005-0000-0000-0000AE3E0000}"/>
    <cellStyle name="Texto Explicativo 18" xfId="16054" xr:uid="{00000000-0005-0000-0000-0000AF3E0000}"/>
    <cellStyle name="Texto Explicativo 19" xfId="16055" xr:uid="{00000000-0005-0000-0000-0000B03E0000}"/>
    <cellStyle name="Texto Explicativo 2" xfId="16056" xr:uid="{00000000-0005-0000-0000-0000B13E0000}"/>
    <cellStyle name="Texto Explicativo 20" xfId="16057" xr:uid="{00000000-0005-0000-0000-0000B23E0000}"/>
    <cellStyle name="Texto Explicativo 21" xfId="16058" xr:uid="{00000000-0005-0000-0000-0000B33E0000}"/>
    <cellStyle name="Texto Explicativo 22" xfId="16059" xr:uid="{00000000-0005-0000-0000-0000B43E0000}"/>
    <cellStyle name="Texto Explicativo 23" xfId="16060" xr:uid="{00000000-0005-0000-0000-0000B53E0000}"/>
    <cellStyle name="Texto Explicativo 24" xfId="16061" xr:uid="{00000000-0005-0000-0000-0000B63E0000}"/>
    <cellStyle name="Texto Explicativo 25" xfId="16062" xr:uid="{00000000-0005-0000-0000-0000B73E0000}"/>
    <cellStyle name="Texto Explicativo 26" xfId="16063" xr:uid="{00000000-0005-0000-0000-0000B83E0000}"/>
    <cellStyle name="Texto Explicativo 27" xfId="16064" xr:uid="{00000000-0005-0000-0000-0000B93E0000}"/>
    <cellStyle name="Texto Explicativo 28" xfId="16065" xr:uid="{00000000-0005-0000-0000-0000BA3E0000}"/>
    <cellStyle name="Texto Explicativo 29" xfId="16066" xr:uid="{00000000-0005-0000-0000-0000BB3E0000}"/>
    <cellStyle name="Texto Explicativo 3" xfId="16067" xr:uid="{00000000-0005-0000-0000-0000BC3E0000}"/>
    <cellStyle name="Texto Explicativo 30" xfId="16068" xr:uid="{00000000-0005-0000-0000-0000BD3E0000}"/>
    <cellStyle name="Texto Explicativo 31" xfId="16069" xr:uid="{00000000-0005-0000-0000-0000BE3E0000}"/>
    <cellStyle name="Texto Explicativo 32" xfId="16070" xr:uid="{00000000-0005-0000-0000-0000BF3E0000}"/>
    <cellStyle name="Texto Explicativo 33" xfId="16071" xr:uid="{00000000-0005-0000-0000-0000C03E0000}"/>
    <cellStyle name="Texto Explicativo 34" xfId="16072" xr:uid="{00000000-0005-0000-0000-0000C13E0000}"/>
    <cellStyle name="Texto Explicativo 35" xfId="16073" xr:uid="{00000000-0005-0000-0000-0000C23E0000}"/>
    <cellStyle name="Texto Explicativo 36" xfId="16074" xr:uid="{00000000-0005-0000-0000-0000C33E0000}"/>
    <cellStyle name="Texto Explicativo 37" xfId="16075" xr:uid="{00000000-0005-0000-0000-0000C43E0000}"/>
    <cellStyle name="Texto Explicativo 38" xfId="16076" xr:uid="{00000000-0005-0000-0000-0000C53E0000}"/>
    <cellStyle name="Texto Explicativo 39" xfId="16077" xr:uid="{00000000-0005-0000-0000-0000C63E0000}"/>
    <cellStyle name="Texto Explicativo 4" xfId="16078" xr:uid="{00000000-0005-0000-0000-0000C73E0000}"/>
    <cellStyle name="Texto Explicativo 40" xfId="16079" xr:uid="{00000000-0005-0000-0000-0000C83E0000}"/>
    <cellStyle name="Texto Explicativo 5" xfId="16080" xr:uid="{00000000-0005-0000-0000-0000C93E0000}"/>
    <cellStyle name="Texto Explicativo 6" xfId="16081" xr:uid="{00000000-0005-0000-0000-0000CA3E0000}"/>
    <cellStyle name="Texto Explicativo 7" xfId="16082" xr:uid="{00000000-0005-0000-0000-0000CB3E0000}"/>
    <cellStyle name="Texto Explicativo 8" xfId="16083" xr:uid="{00000000-0005-0000-0000-0000CC3E0000}"/>
    <cellStyle name="Texto Explicativo 9" xfId="16084" xr:uid="{00000000-0005-0000-0000-0000CD3E0000}"/>
    <cellStyle name="TFCF" xfId="16085" xr:uid="{00000000-0005-0000-0000-0000CE3E0000}"/>
    <cellStyle name="tiles" xfId="16086" xr:uid="{00000000-0005-0000-0000-0000CF3E0000}"/>
    <cellStyle name="Time" xfId="16087" xr:uid="{00000000-0005-0000-0000-0000D03E0000}"/>
    <cellStyle name="Times" xfId="16088" xr:uid="{00000000-0005-0000-0000-0000D13E0000}"/>
    <cellStyle name="Title" xfId="16089" xr:uid="{00000000-0005-0000-0000-0000D23E0000}"/>
    <cellStyle name="Title - PROJECT" xfId="16090" xr:uid="{00000000-0005-0000-0000-0000D33E0000}"/>
    <cellStyle name="Title - Underline" xfId="16091" xr:uid="{00000000-0005-0000-0000-0000D43E0000}"/>
    <cellStyle name="Title 2" xfId="16092" xr:uid="{00000000-0005-0000-0000-0000D53E0000}"/>
    <cellStyle name="Title 2 2" xfId="16093" xr:uid="{00000000-0005-0000-0000-0000D63E0000}"/>
    <cellStyle name="Title 3" xfId="16094" xr:uid="{00000000-0005-0000-0000-0000D73E0000}"/>
    <cellStyle name="Title 3 2" xfId="16095" xr:uid="{00000000-0005-0000-0000-0000D83E0000}"/>
    <cellStyle name="Title 4" xfId="16096" xr:uid="{00000000-0005-0000-0000-0000D93E0000}"/>
    <cellStyle name="Title 5" xfId="16097" xr:uid="{00000000-0005-0000-0000-0000DA3E0000}"/>
    <cellStyle name="TITLE_125757_5" xfId="16098" xr:uid="{00000000-0005-0000-0000-0000DB3E0000}"/>
    <cellStyle name="title1" xfId="16099" xr:uid="{00000000-0005-0000-0000-0000DC3E0000}"/>
    <cellStyle name="title2" xfId="16100" xr:uid="{00000000-0005-0000-0000-0000DD3E0000}"/>
    <cellStyle name="Title8" xfId="16101" xr:uid="{00000000-0005-0000-0000-0000DE3E0000}"/>
    <cellStyle name="TitleCenter" xfId="16102" xr:uid="{00000000-0005-0000-0000-0000DF3E0000}"/>
    <cellStyle name="Titles" xfId="16103" xr:uid="{00000000-0005-0000-0000-0000E03E0000}"/>
    <cellStyle name="Titles - Col. Headings" xfId="16104" xr:uid="{00000000-0005-0000-0000-0000E13E0000}"/>
    <cellStyle name="Titles - Other" xfId="16105" xr:uid="{00000000-0005-0000-0000-0000E23E0000}"/>
    <cellStyle name="Titles_Bioenergia_Model_259" xfId="16106" xr:uid="{00000000-0005-0000-0000-0000E33E0000}"/>
    <cellStyle name="TitleVertical" xfId="16107" xr:uid="{00000000-0005-0000-0000-0000E43E0000}"/>
    <cellStyle name="Titre" xfId="16108" xr:uid="{00000000-0005-0000-0000-0000E53E0000}"/>
    <cellStyle name="titulo" xfId="16109" xr:uid="{00000000-0005-0000-0000-0000E63E0000}"/>
    <cellStyle name="Título 1" xfId="3" builtinId="16" customBuiltin="1"/>
    <cellStyle name="Título 1 10" xfId="16110" xr:uid="{00000000-0005-0000-0000-0000E93E0000}"/>
    <cellStyle name="Título 1 11" xfId="16111" xr:uid="{00000000-0005-0000-0000-0000EA3E0000}"/>
    <cellStyle name="Título 1 12" xfId="16112" xr:uid="{00000000-0005-0000-0000-0000EB3E0000}"/>
    <cellStyle name="Título 1 13" xfId="16113" xr:uid="{00000000-0005-0000-0000-0000EC3E0000}"/>
    <cellStyle name="Título 1 14" xfId="16114" xr:uid="{00000000-0005-0000-0000-0000ED3E0000}"/>
    <cellStyle name="Título 1 15" xfId="16115" xr:uid="{00000000-0005-0000-0000-0000EE3E0000}"/>
    <cellStyle name="Título 1 16" xfId="16116" xr:uid="{00000000-0005-0000-0000-0000EF3E0000}"/>
    <cellStyle name="Título 1 17" xfId="16117" xr:uid="{00000000-0005-0000-0000-0000F03E0000}"/>
    <cellStyle name="Título 1 18" xfId="16118" xr:uid="{00000000-0005-0000-0000-0000F13E0000}"/>
    <cellStyle name="Título 1 19" xfId="16119" xr:uid="{00000000-0005-0000-0000-0000F23E0000}"/>
    <cellStyle name="Título 1 2" xfId="16120" xr:uid="{00000000-0005-0000-0000-0000F33E0000}"/>
    <cellStyle name="Título 1 20" xfId="16121" xr:uid="{00000000-0005-0000-0000-0000F43E0000}"/>
    <cellStyle name="Título 1 21" xfId="16122" xr:uid="{00000000-0005-0000-0000-0000F53E0000}"/>
    <cellStyle name="Título 1 22" xfId="16123" xr:uid="{00000000-0005-0000-0000-0000F63E0000}"/>
    <cellStyle name="Título 1 23" xfId="16124" xr:uid="{00000000-0005-0000-0000-0000F73E0000}"/>
    <cellStyle name="Título 1 24" xfId="16125" xr:uid="{00000000-0005-0000-0000-0000F83E0000}"/>
    <cellStyle name="Título 1 25" xfId="16126" xr:uid="{00000000-0005-0000-0000-0000F93E0000}"/>
    <cellStyle name="Título 1 26" xfId="16127" xr:uid="{00000000-0005-0000-0000-0000FA3E0000}"/>
    <cellStyle name="Título 1 27" xfId="16128" xr:uid="{00000000-0005-0000-0000-0000FB3E0000}"/>
    <cellStyle name="Título 1 28" xfId="16129" xr:uid="{00000000-0005-0000-0000-0000FC3E0000}"/>
    <cellStyle name="Título 1 29" xfId="16130" xr:uid="{00000000-0005-0000-0000-0000FD3E0000}"/>
    <cellStyle name="Título 1 3" xfId="16131" xr:uid="{00000000-0005-0000-0000-0000FE3E0000}"/>
    <cellStyle name="Título 1 30" xfId="16132" xr:uid="{00000000-0005-0000-0000-0000FF3E0000}"/>
    <cellStyle name="Título 1 31" xfId="16133" xr:uid="{00000000-0005-0000-0000-0000003F0000}"/>
    <cellStyle name="Título 1 32" xfId="16134" xr:uid="{00000000-0005-0000-0000-0000013F0000}"/>
    <cellStyle name="Título 1 33" xfId="16135" xr:uid="{00000000-0005-0000-0000-0000023F0000}"/>
    <cellStyle name="Título 1 34" xfId="16136" xr:uid="{00000000-0005-0000-0000-0000033F0000}"/>
    <cellStyle name="Título 1 35" xfId="16137" xr:uid="{00000000-0005-0000-0000-0000043F0000}"/>
    <cellStyle name="Título 1 36" xfId="16138" xr:uid="{00000000-0005-0000-0000-0000053F0000}"/>
    <cellStyle name="Título 1 37" xfId="16139" xr:uid="{00000000-0005-0000-0000-0000063F0000}"/>
    <cellStyle name="Título 1 38" xfId="16140" xr:uid="{00000000-0005-0000-0000-0000073F0000}"/>
    <cellStyle name="Título 1 39" xfId="16141" xr:uid="{00000000-0005-0000-0000-0000083F0000}"/>
    <cellStyle name="Título 1 4" xfId="16142" xr:uid="{00000000-0005-0000-0000-0000093F0000}"/>
    <cellStyle name="Título 1 40" xfId="16143" xr:uid="{00000000-0005-0000-0000-00000A3F0000}"/>
    <cellStyle name="Título 1 5" xfId="16144" xr:uid="{00000000-0005-0000-0000-00000B3F0000}"/>
    <cellStyle name="Título 1 6" xfId="16145" xr:uid="{00000000-0005-0000-0000-00000C3F0000}"/>
    <cellStyle name="Título 1 7" xfId="16146" xr:uid="{00000000-0005-0000-0000-00000D3F0000}"/>
    <cellStyle name="Título 1 8" xfId="16147" xr:uid="{00000000-0005-0000-0000-00000E3F0000}"/>
    <cellStyle name="Título 1 9" xfId="16148" xr:uid="{00000000-0005-0000-0000-00000F3F0000}"/>
    <cellStyle name="Título 10" xfId="16149" xr:uid="{00000000-0005-0000-0000-0000103F0000}"/>
    <cellStyle name="Título 11" xfId="16150" xr:uid="{00000000-0005-0000-0000-0000113F0000}"/>
    <cellStyle name="Título 12" xfId="16151" xr:uid="{00000000-0005-0000-0000-0000123F0000}"/>
    <cellStyle name="Título 13" xfId="16152" xr:uid="{00000000-0005-0000-0000-0000133F0000}"/>
    <cellStyle name="Título 14" xfId="16153" xr:uid="{00000000-0005-0000-0000-0000143F0000}"/>
    <cellStyle name="Título 15" xfId="16154" xr:uid="{00000000-0005-0000-0000-0000153F0000}"/>
    <cellStyle name="Título 16" xfId="16155" xr:uid="{00000000-0005-0000-0000-0000163F0000}"/>
    <cellStyle name="Título 17" xfId="16156" xr:uid="{00000000-0005-0000-0000-0000173F0000}"/>
    <cellStyle name="Título 18" xfId="16157" xr:uid="{00000000-0005-0000-0000-0000183F0000}"/>
    <cellStyle name="Título 19" xfId="16158" xr:uid="{00000000-0005-0000-0000-0000193F0000}"/>
    <cellStyle name="Título 2" xfId="4" builtinId="17" customBuiltin="1"/>
    <cellStyle name="Título 2 10" xfId="16159" xr:uid="{00000000-0005-0000-0000-00001B3F0000}"/>
    <cellStyle name="Título 2 11" xfId="16160" xr:uid="{00000000-0005-0000-0000-00001C3F0000}"/>
    <cellStyle name="Título 2 12" xfId="16161" xr:uid="{00000000-0005-0000-0000-00001D3F0000}"/>
    <cellStyle name="Título 2 13" xfId="16162" xr:uid="{00000000-0005-0000-0000-00001E3F0000}"/>
    <cellStyle name="Título 2 14" xfId="16163" xr:uid="{00000000-0005-0000-0000-00001F3F0000}"/>
    <cellStyle name="Título 2 15" xfId="16164" xr:uid="{00000000-0005-0000-0000-0000203F0000}"/>
    <cellStyle name="Título 2 16" xfId="16165" xr:uid="{00000000-0005-0000-0000-0000213F0000}"/>
    <cellStyle name="Título 2 17" xfId="16166" xr:uid="{00000000-0005-0000-0000-0000223F0000}"/>
    <cellStyle name="Título 2 18" xfId="16167" xr:uid="{00000000-0005-0000-0000-0000233F0000}"/>
    <cellStyle name="Título 2 19" xfId="16168" xr:uid="{00000000-0005-0000-0000-0000243F0000}"/>
    <cellStyle name="Título 2 2" xfId="16169" xr:uid="{00000000-0005-0000-0000-0000253F0000}"/>
    <cellStyle name="Título 2 20" xfId="16170" xr:uid="{00000000-0005-0000-0000-0000263F0000}"/>
    <cellStyle name="Título 2 21" xfId="16171" xr:uid="{00000000-0005-0000-0000-0000273F0000}"/>
    <cellStyle name="Título 2 22" xfId="16172" xr:uid="{00000000-0005-0000-0000-0000283F0000}"/>
    <cellStyle name="Título 2 23" xfId="16173" xr:uid="{00000000-0005-0000-0000-0000293F0000}"/>
    <cellStyle name="Título 2 24" xfId="16174" xr:uid="{00000000-0005-0000-0000-00002A3F0000}"/>
    <cellStyle name="Título 2 25" xfId="16175" xr:uid="{00000000-0005-0000-0000-00002B3F0000}"/>
    <cellStyle name="Título 2 26" xfId="16176" xr:uid="{00000000-0005-0000-0000-00002C3F0000}"/>
    <cellStyle name="Título 2 27" xfId="16177" xr:uid="{00000000-0005-0000-0000-00002D3F0000}"/>
    <cellStyle name="Título 2 28" xfId="16178" xr:uid="{00000000-0005-0000-0000-00002E3F0000}"/>
    <cellStyle name="Título 2 29" xfId="16179" xr:uid="{00000000-0005-0000-0000-00002F3F0000}"/>
    <cellStyle name="Título 2 3" xfId="16180" xr:uid="{00000000-0005-0000-0000-0000303F0000}"/>
    <cellStyle name="Título 2 30" xfId="16181" xr:uid="{00000000-0005-0000-0000-0000313F0000}"/>
    <cellStyle name="Título 2 31" xfId="16182" xr:uid="{00000000-0005-0000-0000-0000323F0000}"/>
    <cellStyle name="Título 2 32" xfId="16183" xr:uid="{00000000-0005-0000-0000-0000333F0000}"/>
    <cellStyle name="Título 2 33" xfId="16184" xr:uid="{00000000-0005-0000-0000-0000343F0000}"/>
    <cellStyle name="Título 2 34" xfId="16185" xr:uid="{00000000-0005-0000-0000-0000353F0000}"/>
    <cellStyle name="Título 2 35" xfId="16186" xr:uid="{00000000-0005-0000-0000-0000363F0000}"/>
    <cellStyle name="Título 2 36" xfId="16187" xr:uid="{00000000-0005-0000-0000-0000373F0000}"/>
    <cellStyle name="Título 2 37" xfId="16188" xr:uid="{00000000-0005-0000-0000-0000383F0000}"/>
    <cellStyle name="Título 2 38" xfId="16189" xr:uid="{00000000-0005-0000-0000-0000393F0000}"/>
    <cellStyle name="Título 2 39" xfId="16190" xr:uid="{00000000-0005-0000-0000-00003A3F0000}"/>
    <cellStyle name="Título 2 4" xfId="16191" xr:uid="{00000000-0005-0000-0000-00003B3F0000}"/>
    <cellStyle name="Título 2 40" xfId="16192" xr:uid="{00000000-0005-0000-0000-00003C3F0000}"/>
    <cellStyle name="Título 2 5" xfId="16193" xr:uid="{00000000-0005-0000-0000-00003D3F0000}"/>
    <cellStyle name="Título 2 6" xfId="16194" xr:uid="{00000000-0005-0000-0000-00003E3F0000}"/>
    <cellStyle name="Título 2 7" xfId="16195" xr:uid="{00000000-0005-0000-0000-00003F3F0000}"/>
    <cellStyle name="Título 2 8" xfId="16196" xr:uid="{00000000-0005-0000-0000-0000403F0000}"/>
    <cellStyle name="Título 2 9" xfId="16197" xr:uid="{00000000-0005-0000-0000-0000413F0000}"/>
    <cellStyle name="Título 20" xfId="16198" xr:uid="{00000000-0005-0000-0000-0000423F0000}"/>
    <cellStyle name="Título 21" xfId="16199" xr:uid="{00000000-0005-0000-0000-0000433F0000}"/>
    <cellStyle name="Título 22" xfId="16200" xr:uid="{00000000-0005-0000-0000-0000443F0000}"/>
    <cellStyle name="Título 23" xfId="16201" xr:uid="{00000000-0005-0000-0000-0000453F0000}"/>
    <cellStyle name="Título 24" xfId="16202" xr:uid="{00000000-0005-0000-0000-0000463F0000}"/>
    <cellStyle name="Título 25" xfId="16203" xr:uid="{00000000-0005-0000-0000-0000473F0000}"/>
    <cellStyle name="Título 26" xfId="16204" xr:uid="{00000000-0005-0000-0000-0000483F0000}"/>
    <cellStyle name="Título 27" xfId="16205" xr:uid="{00000000-0005-0000-0000-0000493F0000}"/>
    <cellStyle name="Título 28" xfId="16206" xr:uid="{00000000-0005-0000-0000-00004A3F0000}"/>
    <cellStyle name="Título 29" xfId="16207" xr:uid="{00000000-0005-0000-0000-00004B3F0000}"/>
    <cellStyle name="Título 3" xfId="5" builtinId="18" customBuiltin="1"/>
    <cellStyle name="Título 3 10" xfId="16208" xr:uid="{00000000-0005-0000-0000-00004D3F0000}"/>
    <cellStyle name="Título 3 11" xfId="16209" xr:uid="{00000000-0005-0000-0000-00004E3F0000}"/>
    <cellStyle name="Título 3 12" xfId="16210" xr:uid="{00000000-0005-0000-0000-00004F3F0000}"/>
    <cellStyle name="Título 3 13" xfId="16211" xr:uid="{00000000-0005-0000-0000-0000503F0000}"/>
    <cellStyle name="Título 3 14" xfId="16212" xr:uid="{00000000-0005-0000-0000-0000513F0000}"/>
    <cellStyle name="Título 3 15" xfId="16213" xr:uid="{00000000-0005-0000-0000-0000523F0000}"/>
    <cellStyle name="Título 3 16" xfId="16214" xr:uid="{00000000-0005-0000-0000-0000533F0000}"/>
    <cellStyle name="Título 3 17" xfId="16215" xr:uid="{00000000-0005-0000-0000-0000543F0000}"/>
    <cellStyle name="Título 3 18" xfId="16216" xr:uid="{00000000-0005-0000-0000-0000553F0000}"/>
    <cellStyle name="Título 3 19" xfId="16217" xr:uid="{00000000-0005-0000-0000-0000563F0000}"/>
    <cellStyle name="Título 3 2" xfId="16218" xr:uid="{00000000-0005-0000-0000-0000573F0000}"/>
    <cellStyle name="Título 3 2 2" xfId="16219" xr:uid="{00000000-0005-0000-0000-0000583F0000}"/>
    <cellStyle name="Título 3 2 3" xfId="16220" xr:uid="{00000000-0005-0000-0000-0000593F0000}"/>
    <cellStyle name="Título 3 20" xfId="16221" xr:uid="{00000000-0005-0000-0000-00005A3F0000}"/>
    <cellStyle name="Título 3 21" xfId="16222" xr:uid="{00000000-0005-0000-0000-00005B3F0000}"/>
    <cellStyle name="Título 3 22" xfId="16223" xr:uid="{00000000-0005-0000-0000-00005C3F0000}"/>
    <cellStyle name="Título 3 23" xfId="16224" xr:uid="{00000000-0005-0000-0000-00005D3F0000}"/>
    <cellStyle name="Título 3 24" xfId="16225" xr:uid="{00000000-0005-0000-0000-00005E3F0000}"/>
    <cellStyle name="Título 3 25" xfId="16226" xr:uid="{00000000-0005-0000-0000-00005F3F0000}"/>
    <cellStyle name="Título 3 26" xfId="16227" xr:uid="{00000000-0005-0000-0000-0000603F0000}"/>
    <cellStyle name="Título 3 27" xfId="16228" xr:uid="{00000000-0005-0000-0000-0000613F0000}"/>
    <cellStyle name="Título 3 28" xfId="16229" xr:uid="{00000000-0005-0000-0000-0000623F0000}"/>
    <cellStyle name="Título 3 29" xfId="16230" xr:uid="{00000000-0005-0000-0000-0000633F0000}"/>
    <cellStyle name="Título 3 3" xfId="16231" xr:uid="{00000000-0005-0000-0000-0000643F0000}"/>
    <cellStyle name="Título 3 30" xfId="16232" xr:uid="{00000000-0005-0000-0000-0000653F0000}"/>
    <cellStyle name="Título 3 31" xfId="16233" xr:uid="{00000000-0005-0000-0000-0000663F0000}"/>
    <cellStyle name="Título 3 32" xfId="16234" xr:uid="{00000000-0005-0000-0000-0000673F0000}"/>
    <cellStyle name="Título 3 33" xfId="16235" xr:uid="{00000000-0005-0000-0000-0000683F0000}"/>
    <cellStyle name="Título 3 34" xfId="16236" xr:uid="{00000000-0005-0000-0000-0000693F0000}"/>
    <cellStyle name="Título 3 35" xfId="16237" xr:uid="{00000000-0005-0000-0000-00006A3F0000}"/>
    <cellStyle name="Título 3 36" xfId="16238" xr:uid="{00000000-0005-0000-0000-00006B3F0000}"/>
    <cellStyle name="Título 3 37" xfId="16239" xr:uid="{00000000-0005-0000-0000-00006C3F0000}"/>
    <cellStyle name="Título 3 38" xfId="16240" xr:uid="{00000000-0005-0000-0000-00006D3F0000}"/>
    <cellStyle name="Título 3 39" xfId="16241" xr:uid="{00000000-0005-0000-0000-00006E3F0000}"/>
    <cellStyle name="Título 3 4" xfId="16242" xr:uid="{00000000-0005-0000-0000-00006F3F0000}"/>
    <cellStyle name="Título 3 40" xfId="16243" xr:uid="{00000000-0005-0000-0000-0000703F0000}"/>
    <cellStyle name="Título 3 5" xfId="16244" xr:uid="{00000000-0005-0000-0000-0000713F0000}"/>
    <cellStyle name="Título 3 6" xfId="16245" xr:uid="{00000000-0005-0000-0000-0000723F0000}"/>
    <cellStyle name="Título 3 7" xfId="16246" xr:uid="{00000000-0005-0000-0000-0000733F0000}"/>
    <cellStyle name="Título 3 8" xfId="16247" xr:uid="{00000000-0005-0000-0000-0000743F0000}"/>
    <cellStyle name="Título 3 9" xfId="16248" xr:uid="{00000000-0005-0000-0000-0000753F0000}"/>
    <cellStyle name="Título 30" xfId="16249" xr:uid="{00000000-0005-0000-0000-0000763F0000}"/>
    <cellStyle name="Título 31" xfId="16250" xr:uid="{00000000-0005-0000-0000-0000773F0000}"/>
    <cellStyle name="Título 32" xfId="16251" xr:uid="{00000000-0005-0000-0000-0000783F0000}"/>
    <cellStyle name="Título 33" xfId="16252" xr:uid="{00000000-0005-0000-0000-0000793F0000}"/>
    <cellStyle name="Título 34" xfId="16253" xr:uid="{00000000-0005-0000-0000-00007A3F0000}"/>
    <cellStyle name="Título 35" xfId="16254" xr:uid="{00000000-0005-0000-0000-00007B3F0000}"/>
    <cellStyle name="Título 36" xfId="16255" xr:uid="{00000000-0005-0000-0000-00007C3F0000}"/>
    <cellStyle name="Título 37" xfId="16256" xr:uid="{00000000-0005-0000-0000-00007D3F0000}"/>
    <cellStyle name="Título 38" xfId="16257" xr:uid="{00000000-0005-0000-0000-00007E3F0000}"/>
    <cellStyle name="Título 39" xfId="16258" xr:uid="{00000000-0005-0000-0000-00007F3F0000}"/>
    <cellStyle name="Título 4" xfId="6" builtinId="19" customBuiltin="1"/>
    <cellStyle name="Título 4 10" xfId="16259" xr:uid="{00000000-0005-0000-0000-0000813F0000}"/>
    <cellStyle name="Título 4 11" xfId="16260" xr:uid="{00000000-0005-0000-0000-0000823F0000}"/>
    <cellStyle name="Título 4 12" xfId="16261" xr:uid="{00000000-0005-0000-0000-0000833F0000}"/>
    <cellStyle name="Título 4 13" xfId="16262" xr:uid="{00000000-0005-0000-0000-0000843F0000}"/>
    <cellStyle name="Título 4 14" xfId="16263" xr:uid="{00000000-0005-0000-0000-0000853F0000}"/>
    <cellStyle name="Título 4 15" xfId="16264" xr:uid="{00000000-0005-0000-0000-0000863F0000}"/>
    <cellStyle name="Título 4 16" xfId="16265" xr:uid="{00000000-0005-0000-0000-0000873F0000}"/>
    <cellStyle name="Título 4 17" xfId="16266" xr:uid="{00000000-0005-0000-0000-0000883F0000}"/>
    <cellStyle name="Título 4 18" xfId="16267" xr:uid="{00000000-0005-0000-0000-0000893F0000}"/>
    <cellStyle name="Título 4 19" xfId="16268" xr:uid="{00000000-0005-0000-0000-00008A3F0000}"/>
    <cellStyle name="Título 4 2" xfId="16269" xr:uid="{00000000-0005-0000-0000-00008B3F0000}"/>
    <cellStyle name="Título 4 20" xfId="16270" xr:uid="{00000000-0005-0000-0000-00008C3F0000}"/>
    <cellStyle name="Título 4 21" xfId="16271" xr:uid="{00000000-0005-0000-0000-00008D3F0000}"/>
    <cellStyle name="Título 4 22" xfId="16272" xr:uid="{00000000-0005-0000-0000-00008E3F0000}"/>
    <cellStyle name="Título 4 23" xfId="16273" xr:uid="{00000000-0005-0000-0000-00008F3F0000}"/>
    <cellStyle name="Título 4 24" xfId="16274" xr:uid="{00000000-0005-0000-0000-0000903F0000}"/>
    <cellStyle name="Título 4 25" xfId="16275" xr:uid="{00000000-0005-0000-0000-0000913F0000}"/>
    <cellStyle name="Título 4 26" xfId="16276" xr:uid="{00000000-0005-0000-0000-0000923F0000}"/>
    <cellStyle name="Título 4 27" xfId="16277" xr:uid="{00000000-0005-0000-0000-0000933F0000}"/>
    <cellStyle name="Título 4 28" xfId="16278" xr:uid="{00000000-0005-0000-0000-0000943F0000}"/>
    <cellStyle name="Título 4 29" xfId="16279" xr:uid="{00000000-0005-0000-0000-0000953F0000}"/>
    <cellStyle name="Título 4 3" xfId="16280" xr:uid="{00000000-0005-0000-0000-0000963F0000}"/>
    <cellStyle name="Título 4 30" xfId="16281" xr:uid="{00000000-0005-0000-0000-0000973F0000}"/>
    <cellStyle name="Título 4 31" xfId="16282" xr:uid="{00000000-0005-0000-0000-0000983F0000}"/>
    <cellStyle name="Título 4 32" xfId="16283" xr:uid="{00000000-0005-0000-0000-0000993F0000}"/>
    <cellStyle name="Título 4 33" xfId="16284" xr:uid="{00000000-0005-0000-0000-00009A3F0000}"/>
    <cellStyle name="Título 4 34" xfId="16285" xr:uid="{00000000-0005-0000-0000-00009B3F0000}"/>
    <cellStyle name="Título 4 35" xfId="16286" xr:uid="{00000000-0005-0000-0000-00009C3F0000}"/>
    <cellStyle name="Título 4 36" xfId="16287" xr:uid="{00000000-0005-0000-0000-00009D3F0000}"/>
    <cellStyle name="Título 4 37" xfId="16288" xr:uid="{00000000-0005-0000-0000-00009E3F0000}"/>
    <cellStyle name="Título 4 38" xfId="16289" xr:uid="{00000000-0005-0000-0000-00009F3F0000}"/>
    <cellStyle name="Título 4 39" xfId="16290" xr:uid="{00000000-0005-0000-0000-0000A03F0000}"/>
    <cellStyle name="Título 4 4" xfId="16291" xr:uid="{00000000-0005-0000-0000-0000A13F0000}"/>
    <cellStyle name="Título 4 40" xfId="16292" xr:uid="{00000000-0005-0000-0000-0000A23F0000}"/>
    <cellStyle name="Título 4 5" xfId="16293" xr:uid="{00000000-0005-0000-0000-0000A33F0000}"/>
    <cellStyle name="Título 4 6" xfId="16294" xr:uid="{00000000-0005-0000-0000-0000A43F0000}"/>
    <cellStyle name="Título 4 7" xfId="16295" xr:uid="{00000000-0005-0000-0000-0000A53F0000}"/>
    <cellStyle name="Título 4 8" xfId="16296" xr:uid="{00000000-0005-0000-0000-0000A63F0000}"/>
    <cellStyle name="Título 4 9" xfId="16297" xr:uid="{00000000-0005-0000-0000-0000A73F0000}"/>
    <cellStyle name="Título 40" xfId="16298" xr:uid="{00000000-0005-0000-0000-0000A83F0000}"/>
    <cellStyle name="Título 41" xfId="16299" xr:uid="{00000000-0005-0000-0000-0000A93F0000}"/>
    <cellStyle name="Título 42" xfId="16300" xr:uid="{00000000-0005-0000-0000-0000AA3F0000}"/>
    <cellStyle name="Título 43" xfId="16301" xr:uid="{00000000-0005-0000-0000-0000AB3F0000}"/>
    <cellStyle name="Título 44" xfId="45" xr:uid="{00000000-0005-0000-0000-0000F83E0000}"/>
    <cellStyle name="Título 5" xfId="16302" xr:uid="{00000000-0005-0000-0000-0000AC3F0000}"/>
    <cellStyle name="Título 6" xfId="16303" xr:uid="{00000000-0005-0000-0000-0000AD3F0000}"/>
    <cellStyle name="Título 7" xfId="16304" xr:uid="{00000000-0005-0000-0000-0000AE3F0000}"/>
    <cellStyle name="Título 8" xfId="16305" xr:uid="{00000000-0005-0000-0000-0000AF3F0000}"/>
    <cellStyle name="Título 9" xfId="16306" xr:uid="{00000000-0005-0000-0000-0000B03F0000}"/>
    <cellStyle name="titulo_HRT O&amp;G" xfId="16307" xr:uid="{00000000-0005-0000-0000-0000B13F0000}"/>
    <cellStyle name="titulomov" xfId="16308" xr:uid="{00000000-0005-0000-0000-0000B23F0000}"/>
    <cellStyle name="titulomov 10" xfId="16309" xr:uid="{00000000-0005-0000-0000-0000B33F0000}"/>
    <cellStyle name="titulomov 10 2" xfId="16310" xr:uid="{00000000-0005-0000-0000-0000B43F0000}"/>
    <cellStyle name="titulomov 10 2 2" xfId="16311" xr:uid="{00000000-0005-0000-0000-0000B53F0000}"/>
    <cellStyle name="titulomov 11" xfId="16312" xr:uid="{00000000-0005-0000-0000-0000B63F0000}"/>
    <cellStyle name="titulomov 11 2" xfId="16313" xr:uid="{00000000-0005-0000-0000-0000B73F0000}"/>
    <cellStyle name="titulomov 11 2 2" xfId="16314" xr:uid="{00000000-0005-0000-0000-0000B83F0000}"/>
    <cellStyle name="titulomov 2" xfId="16315" xr:uid="{00000000-0005-0000-0000-0000B93F0000}"/>
    <cellStyle name="titulomov 2 2" xfId="16316" xr:uid="{00000000-0005-0000-0000-0000BA3F0000}"/>
    <cellStyle name="titulomov 2 2 10" xfId="16317" xr:uid="{00000000-0005-0000-0000-0000BB3F0000}"/>
    <cellStyle name="titulomov 2 2 10 2" xfId="16318" xr:uid="{00000000-0005-0000-0000-0000BC3F0000}"/>
    <cellStyle name="titulomov 2 2 10 2 2" xfId="16319" xr:uid="{00000000-0005-0000-0000-0000BD3F0000}"/>
    <cellStyle name="titulomov 2 2 11" xfId="16320" xr:uid="{00000000-0005-0000-0000-0000BE3F0000}"/>
    <cellStyle name="titulomov 2 2 11 2" xfId="16321" xr:uid="{00000000-0005-0000-0000-0000BF3F0000}"/>
    <cellStyle name="titulomov 2 2 11 2 2" xfId="16322" xr:uid="{00000000-0005-0000-0000-0000C03F0000}"/>
    <cellStyle name="titulomov 2 2 12" xfId="16323" xr:uid="{00000000-0005-0000-0000-0000C13F0000}"/>
    <cellStyle name="titulomov 2 2 12 2" xfId="16324" xr:uid="{00000000-0005-0000-0000-0000C23F0000}"/>
    <cellStyle name="titulomov 2 2 12 2 2" xfId="16325" xr:uid="{00000000-0005-0000-0000-0000C33F0000}"/>
    <cellStyle name="titulomov 2 2 13" xfId="16326" xr:uid="{00000000-0005-0000-0000-0000C43F0000}"/>
    <cellStyle name="titulomov 2 2 13 2" xfId="16327" xr:uid="{00000000-0005-0000-0000-0000C53F0000}"/>
    <cellStyle name="titulomov 2 2 13 2 2" xfId="16328" xr:uid="{00000000-0005-0000-0000-0000C63F0000}"/>
    <cellStyle name="titulomov 2 2 14" xfId="16329" xr:uid="{00000000-0005-0000-0000-0000C73F0000}"/>
    <cellStyle name="titulomov 2 2 14 2" xfId="16330" xr:uid="{00000000-0005-0000-0000-0000C83F0000}"/>
    <cellStyle name="titulomov 2 2 14 2 2" xfId="16331" xr:uid="{00000000-0005-0000-0000-0000C93F0000}"/>
    <cellStyle name="titulomov 2 2 15" xfId="16332" xr:uid="{00000000-0005-0000-0000-0000CA3F0000}"/>
    <cellStyle name="titulomov 2 2 15 2" xfId="16333" xr:uid="{00000000-0005-0000-0000-0000CB3F0000}"/>
    <cellStyle name="titulomov 2 2 2" xfId="16334" xr:uid="{00000000-0005-0000-0000-0000CC3F0000}"/>
    <cellStyle name="titulomov 2 2 2 2" xfId="16335" xr:uid="{00000000-0005-0000-0000-0000CD3F0000}"/>
    <cellStyle name="titulomov 2 2 2 2 2" xfId="16336" xr:uid="{00000000-0005-0000-0000-0000CE3F0000}"/>
    <cellStyle name="titulomov 2 2 3" xfId="16337" xr:uid="{00000000-0005-0000-0000-0000CF3F0000}"/>
    <cellStyle name="titulomov 2 2 3 2" xfId="16338" xr:uid="{00000000-0005-0000-0000-0000D03F0000}"/>
    <cellStyle name="titulomov 2 2 3 2 2" xfId="16339" xr:uid="{00000000-0005-0000-0000-0000D13F0000}"/>
    <cellStyle name="titulomov 2 2 4" xfId="16340" xr:uid="{00000000-0005-0000-0000-0000D23F0000}"/>
    <cellStyle name="titulomov 2 2 4 2" xfId="16341" xr:uid="{00000000-0005-0000-0000-0000D33F0000}"/>
    <cellStyle name="titulomov 2 2 4 2 2" xfId="16342" xr:uid="{00000000-0005-0000-0000-0000D43F0000}"/>
    <cellStyle name="titulomov 2 2 5" xfId="16343" xr:uid="{00000000-0005-0000-0000-0000D53F0000}"/>
    <cellStyle name="titulomov 2 2 5 2" xfId="16344" xr:uid="{00000000-0005-0000-0000-0000D63F0000}"/>
    <cellStyle name="titulomov 2 2 5 2 2" xfId="16345" xr:uid="{00000000-0005-0000-0000-0000D73F0000}"/>
    <cellStyle name="titulomov 2 2 6" xfId="16346" xr:uid="{00000000-0005-0000-0000-0000D83F0000}"/>
    <cellStyle name="titulomov 2 2 6 2" xfId="16347" xr:uid="{00000000-0005-0000-0000-0000D93F0000}"/>
    <cellStyle name="titulomov 2 2 6 2 2" xfId="16348" xr:uid="{00000000-0005-0000-0000-0000DA3F0000}"/>
    <cellStyle name="titulomov 2 2 7" xfId="16349" xr:uid="{00000000-0005-0000-0000-0000DB3F0000}"/>
    <cellStyle name="titulomov 2 2 7 2" xfId="16350" xr:uid="{00000000-0005-0000-0000-0000DC3F0000}"/>
    <cellStyle name="titulomov 2 2 7 2 2" xfId="16351" xr:uid="{00000000-0005-0000-0000-0000DD3F0000}"/>
    <cellStyle name="titulomov 2 2 8" xfId="16352" xr:uid="{00000000-0005-0000-0000-0000DE3F0000}"/>
    <cellStyle name="titulomov 2 2 8 2" xfId="16353" xr:uid="{00000000-0005-0000-0000-0000DF3F0000}"/>
    <cellStyle name="titulomov 2 2 8 2 2" xfId="16354" xr:uid="{00000000-0005-0000-0000-0000E03F0000}"/>
    <cellStyle name="titulomov 2 2 9" xfId="16355" xr:uid="{00000000-0005-0000-0000-0000E13F0000}"/>
    <cellStyle name="titulomov 2 2 9 2" xfId="16356" xr:uid="{00000000-0005-0000-0000-0000E23F0000}"/>
    <cellStyle name="titulomov 2 2 9 2 2" xfId="16357" xr:uid="{00000000-0005-0000-0000-0000E33F0000}"/>
    <cellStyle name="titulomov 2 3" xfId="16358" xr:uid="{00000000-0005-0000-0000-0000E43F0000}"/>
    <cellStyle name="titulomov 2 3 2" xfId="16359" xr:uid="{00000000-0005-0000-0000-0000E53F0000}"/>
    <cellStyle name="titulomov 2 3 2 2" xfId="16360" xr:uid="{00000000-0005-0000-0000-0000E63F0000}"/>
    <cellStyle name="titulomov 2 4" xfId="16361" xr:uid="{00000000-0005-0000-0000-0000E73F0000}"/>
    <cellStyle name="titulomov 2 4 2" xfId="16362" xr:uid="{00000000-0005-0000-0000-0000E83F0000}"/>
    <cellStyle name="titulomov 2 4 2 2" xfId="16363" xr:uid="{00000000-0005-0000-0000-0000E93F0000}"/>
    <cellStyle name="titulomov 3" xfId="16364" xr:uid="{00000000-0005-0000-0000-0000EA3F0000}"/>
    <cellStyle name="titulomov 3 10" xfId="16365" xr:uid="{00000000-0005-0000-0000-0000EB3F0000}"/>
    <cellStyle name="titulomov 3 10 2" xfId="16366" xr:uid="{00000000-0005-0000-0000-0000EC3F0000}"/>
    <cellStyle name="titulomov 3 10 2 2" xfId="16367" xr:uid="{00000000-0005-0000-0000-0000ED3F0000}"/>
    <cellStyle name="titulomov 3 11" xfId="16368" xr:uid="{00000000-0005-0000-0000-0000EE3F0000}"/>
    <cellStyle name="titulomov 3 11 2" xfId="16369" xr:uid="{00000000-0005-0000-0000-0000EF3F0000}"/>
    <cellStyle name="titulomov 3 2" xfId="16370" xr:uid="{00000000-0005-0000-0000-0000F03F0000}"/>
    <cellStyle name="titulomov 3 2 2" xfId="16371" xr:uid="{00000000-0005-0000-0000-0000F13F0000}"/>
    <cellStyle name="titulomov 3 2 2 2" xfId="16372" xr:uid="{00000000-0005-0000-0000-0000F23F0000}"/>
    <cellStyle name="titulomov 3 2 2 2 2" xfId="16373" xr:uid="{00000000-0005-0000-0000-0000F33F0000}"/>
    <cellStyle name="titulomov 3 2 3" xfId="16374" xr:uid="{00000000-0005-0000-0000-0000F43F0000}"/>
    <cellStyle name="titulomov 3 2 3 2" xfId="16375" xr:uid="{00000000-0005-0000-0000-0000F53F0000}"/>
    <cellStyle name="titulomov 3 3" xfId="16376" xr:uid="{00000000-0005-0000-0000-0000F63F0000}"/>
    <cellStyle name="titulomov 3 3 2" xfId="16377" xr:uid="{00000000-0005-0000-0000-0000F73F0000}"/>
    <cellStyle name="titulomov 3 3 2 2" xfId="16378" xr:uid="{00000000-0005-0000-0000-0000F83F0000}"/>
    <cellStyle name="titulomov 3 4" xfId="16379" xr:uid="{00000000-0005-0000-0000-0000F93F0000}"/>
    <cellStyle name="titulomov 3 4 2" xfId="16380" xr:uid="{00000000-0005-0000-0000-0000FA3F0000}"/>
    <cellStyle name="titulomov 3 4 2 2" xfId="16381" xr:uid="{00000000-0005-0000-0000-0000FB3F0000}"/>
    <cellStyle name="titulomov 3 5" xfId="16382" xr:uid="{00000000-0005-0000-0000-0000FC3F0000}"/>
    <cellStyle name="titulomov 3 5 2" xfId="16383" xr:uid="{00000000-0005-0000-0000-0000FD3F0000}"/>
    <cellStyle name="titulomov 3 5 2 2" xfId="16384" xr:uid="{00000000-0005-0000-0000-0000FE3F0000}"/>
    <cellStyle name="titulomov 3 6" xfId="16385" xr:uid="{00000000-0005-0000-0000-0000FF3F0000}"/>
    <cellStyle name="titulomov 3 6 2" xfId="16386" xr:uid="{00000000-0005-0000-0000-000000400000}"/>
    <cellStyle name="titulomov 3 6 2 2" xfId="16387" xr:uid="{00000000-0005-0000-0000-000001400000}"/>
    <cellStyle name="titulomov 3 7" xfId="16388" xr:uid="{00000000-0005-0000-0000-000002400000}"/>
    <cellStyle name="titulomov 3 7 2" xfId="16389" xr:uid="{00000000-0005-0000-0000-000003400000}"/>
    <cellStyle name="titulomov 3 7 2 2" xfId="16390" xr:uid="{00000000-0005-0000-0000-000004400000}"/>
    <cellStyle name="titulomov 3 8" xfId="16391" xr:uid="{00000000-0005-0000-0000-000005400000}"/>
    <cellStyle name="titulomov 3 8 2" xfId="16392" xr:uid="{00000000-0005-0000-0000-000006400000}"/>
    <cellStyle name="titulomov 3 8 2 2" xfId="16393" xr:uid="{00000000-0005-0000-0000-000007400000}"/>
    <cellStyle name="titulomov 3 9" xfId="16394" xr:uid="{00000000-0005-0000-0000-000008400000}"/>
    <cellStyle name="titulomov 3 9 2" xfId="16395" xr:uid="{00000000-0005-0000-0000-000009400000}"/>
    <cellStyle name="titulomov 3 9 2 2" xfId="16396" xr:uid="{00000000-0005-0000-0000-00000A400000}"/>
    <cellStyle name="titulomov 4" xfId="16397" xr:uid="{00000000-0005-0000-0000-00000B400000}"/>
    <cellStyle name="titulomov 4 10" xfId="16398" xr:uid="{00000000-0005-0000-0000-00000C400000}"/>
    <cellStyle name="titulomov 4 10 2" xfId="16399" xr:uid="{00000000-0005-0000-0000-00000D400000}"/>
    <cellStyle name="titulomov 4 10 2 2" xfId="16400" xr:uid="{00000000-0005-0000-0000-00000E400000}"/>
    <cellStyle name="titulomov 4 11" xfId="16401" xr:uid="{00000000-0005-0000-0000-00000F400000}"/>
    <cellStyle name="titulomov 4 11 2" xfId="16402" xr:uid="{00000000-0005-0000-0000-000010400000}"/>
    <cellStyle name="titulomov 4 11 2 2" xfId="16403" xr:uid="{00000000-0005-0000-0000-000011400000}"/>
    <cellStyle name="titulomov 4 12" xfId="16404" xr:uid="{00000000-0005-0000-0000-000012400000}"/>
    <cellStyle name="titulomov 4 12 2" xfId="16405" xr:uid="{00000000-0005-0000-0000-000013400000}"/>
    <cellStyle name="titulomov 4 12 2 2" xfId="16406" xr:uid="{00000000-0005-0000-0000-000014400000}"/>
    <cellStyle name="titulomov 4 13" xfId="16407" xr:uid="{00000000-0005-0000-0000-000015400000}"/>
    <cellStyle name="titulomov 4 13 2" xfId="16408" xr:uid="{00000000-0005-0000-0000-000016400000}"/>
    <cellStyle name="titulomov 4 13 2 2" xfId="16409" xr:uid="{00000000-0005-0000-0000-000017400000}"/>
    <cellStyle name="titulomov 4 14" xfId="16410" xr:uid="{00000000-0005-0000-0000-000018400000}"/>
    <cellStyle name="titulomov 4 14 2" xfId="16411" xr:uid="{00000000-0005-0000-0000-000019400000}"/>
    <cellStyle name="titulomov 4 14 2 2" xfId="16412" xr:uid="{00000000-0005-0000-0000-00001A400000}"/>
    <cellStyle name="titulomov 4 15" xfId="16413" xr:uid="{00000000-0005-0000-0000-00001B400000}"/>
    <cellStyle name="titulomov 4 15 2" xfId="16414" xr:uid="{00000000-0005-0000-0000-00001C400000}"/>
    <cellStyle name="titulomov 4 2" xfId="16415" xr:uid="{00000000-0005-0000-0000-00001D400000}"/>
    <cellStyle name="titulomov 4 2 2" xfId="16416" xr:uid="{00000000-0005-0000-0000-00001E400000}"/>
    <cellStyle name="titulomov 4 2 2 2" xfId="16417" xr:uid="{00000000-0005-0000-0000-00001F400000}"/>
    <cellStyle name="titulomov 4 3" xfId="16418" xr:uid="{00000000-0005-0000-0000-000020400000}"/>
    <cellStyle name="titulomov 4 3 2" xfId="16419" xr:uid="{00000000-0005-0000-0000-000021400000}"/>
    <cellStyle name="titulomov 4 3 2 2" xfId="16420" xr:uid="{00000000-0005-0000-0000-000022400000}"/>
    <cellStyle name="titulomov 4 4" xfId="16421" xr:uid="{00000000-0005-0000-0000-000023400000}"/>
    <cellStyle name="titulomov 4 4 2" xfId="16422" xr:uid="{00000000-0005-0000-0000-000024400000}"/>
    <cellStyle name="titulomov 4 4 2 2" xfId="16423" xr:uid="{00000000-0005-0000-0000-000025400000}"/>
    <cellStyle name="titulomov 4 5" xfId="16424" xr:uid="{00000000-0005-0000-0000-000026400000}"/>
    <cellStyle name="titulomov 4 5 2" xfId="16425" xr:uid="{00000000-0005-0000-0000-000027400000}"/>
    <cellStyle name="titulomov 4 5 2 2" xfId="16426" xr:uid="{00000000-0005-0000-0000-000028400000}"/>
    <cellStyle name="titulomov 4 6" xfId="16427" xr:uid="{00000000-0005-0000-0000-000029400000}"/>
    <cellStyle name="titulomov 4 6 2" xfId="16428" xr:uid="{00000000-0005-0000-0000-00002A400000}"/>
    <cellStyle name="titulomov 4 6 2 2" xfId="16429" xr:uid="{00000000-0005-0000-0000-00002B400000}"/>
    <cellStyle name="titulomov 4 7" xfId="16430" xr:uid="{00000000-0005-0000-0000-00002C400000}"/>
    <cellStyle name="titulomov 4 7 2" xfId="16431" xr:uid="{00000000-0005-0000-0000-00002D400000}"/>
    <cellStyle name="titulomov 4 7 2 2" xfId="16432" xr:uid="{00000000-0005-0000-0000-00002E400000}"/>
    <cellStyle name="titulomov 4 8" xfId="16433" xr:uid="{00000000-0005-0000-0000-00002F400000}"/>
    <cellStyle name="titulomov 4 8 2" xfId="16434" xr:uid="{00000000-0005-0000-0000-000030400000}"/>
    <cellStyle name="titulomov 4 8 2 2" xfId="16435" xr:uid="{00000000-0005-0000-0000-000031400000}"/>
    <cellStyle name="titulomov 4 9" xfId="16436" xr:uid="{00000000-0005-0000-0000-000032400000}"/>
    <cellStyle name="titulomov 4 9 2" xfId="16437" xr:uid="{00000000-0005-0000-0000-000033400000}"/>
    <cellStyle name="titulomov 4 9 2 2" xfId="16438" xr:uid="{00000000-0005-0000-0000-000034400000}"/>
    <cellStyle name="titulomov 5" xfId="16439" xr:uid="{00000000-0005-0000-0000-000035400000}"/>
    <cellStyle name="titulomov 5 10" xfId="16440" xr:uid="{00000000-0005-0000-0000-000036400000}"/>
    <cellStyle name="titulomov 5 10 2" xfId="16441" xr:uid="{00000000-0005-0000-0000-000037400000}"/>
    <cellStyle name="titulomov 5 10 2 2" xfId="16442" xr:uid="{00000000-0005-0000-0000-000038400000}"/>
    <cellStyle name="titulomov 5 11" xfId="16443" xr:uid="{00000000-0005-0000-0000-000039400000}"/>
    <cellStyle name="titulomov 5 11 2" xfId="16444" xr:uid="{00000000-0005-0000-0000-00003A400000}"/>
    <cellStyle name="titulomov 5 11 2 2" xfId="16445" xr:uid="{00000000-0005-0000-0000-00003B400000}"/>
    <cellStyle name="titulomov 5 12" xfId="16446" xr:uid="{00000000-0005-0000-0000-00003C400000}"/>
    <cellStyle name="titulomov 5 12 2" xfId="16447" xr:uid="{00000000-0005-0000-0000-00003D400000}"/>
    <cellStyle name="titulomov 5 12 2 2" xfId="16448" xr:uid="{00000000-0005-0000-0000-00003E400000}"/>
    <cellStyle name="titulomov 5 13" xfId="16449" xr:uid="{00000000-0005-0000-0000-00003F400000}"/>
    <cellStyle name="titulomov 5 13 2" xfId="16450" xr:uid="{00000000-0005-0000-0000-000040400000}"/>
    <cellStyle name="titulomov 5 13 2 2" xfId="16451" xr:uid="{00000000-0005-0000-0000-000041400000}"/>
    <cellStyle name="titulomov 5 14" xfId="16452" xr:uid="{00000000-0005-0000-0000-000042400000}"/>
    <cellStyle name="titulomov 5 14 2" xfId="16453" xr:uid="{00000000-0005-0000-0000-000043400000}"/>
    <cellStyle name="titulomov 5 14 2 2" xfId="16454" xr:uid="{00000000-0005-0000-0000-000044400000}"/>
    <cellStyle name="titulomov 5 15" xfId="16455" xr:uid="{00000000-0005-0000-0000-000045400000}"/>
    <cellStyle name="titulomov 5 15 2" xfId="16456" xr:uid="{00000000-0005-0000-0000-000046400000}"/>
    <cellStyle name="titulomov 5 2" xfId="16457" xr:uid="{00000000-0005-0000-0000-000047400000}"/>
    <cellStyle name="titulomov 5 2 2" xfId="16458" xr:uid="{00000000-0005-0000-0000-000048400000}"/>
    <cellStyle name="titulomov 5 2 2 2" xfId="16459" xr:uid="{00000000-0005-0000-0000-000049400000}"/>
    <cellStyle name="titulomov 5 3" xfId="16460" xr:uid="{00000000-0005-0000-0000-00004A400000}"/>
    <cellStyle name="titulomov 5 3 2" xfId="16461" xr:uid="{00000000-0005-0000-0000-00004B400000}"/>
    <cellStyle name="titulomov 5 3 2 2" xfId="16462" xr:uid="{00000000-0005-0000-0000-00004C400000}"/>
    <cellStyle name="titulomov 5 4" xfId="16463" xr:uid="{00000000-0005-0000-0000-00004D400000}"/>
    <cellStyle name="titulomov 5 4 2" xfId="16464" xr:uid="{00000000-0005-0000-0000-00004E400000}"/>
    <cellStyle name="titulomov 5 4 2 2" xfId="16465" xr:uid="{00000000-0005-0000-0000-00004F400000}"/>
    <cellStyle name="titulomov 5 5" xfId="16466" xr:uid="{00000000-0005-0000-0000-000050400000}"/>
    <cellStyle name="titulomov 5 5 2" xfId="16467" xr:uid="{00000000-0005-0000-0000-000051400000}"/>
    <cellStyle name="titulomov 5 5 2 2" xfId="16468" xr:uid="{00000000-0005-0000-0000-000052400000}"/>
    <cellStyle name="titulomov 5 6" xfId="16469" xr:uid="{00000000-0005-0000-0000-000053400000}"/>
    <cellStyle name="titulomov 5 6 2" xfId="16470" xr:uid="{00000000-0005-0000-0000-000054400000}"/>
    <cellStyle name="titulomov 5 6 2 2" xfId="16471" xr:uid="{00000000-0005-0000-0000-000055400000}"/>
    <cellStyle name="titulomov 5 7" xfId="16472" xr:uid="{00000000-0005-0000-0000-000056400000}"/>
    <cellStyle name="titulomov 5 7 2" xfId="16473" xr:uid="{00000000-0005-0000-0000-000057400000}"/>
    <cellStyle name="titulomov 5 7 2 2" xfId="16474" xr:uid="{00000000-0005-0000-0000-000058400000}"/>
    <cellStyle name="titulomov 5 8" xfId="16475" xr:uid="{00000000-0005-0000-0000-000059400000}"/>
    <cellStyle name="titulomov 5 8 2" xfId="16476" xr:uid="{00000000-0005-0000-0000-00005A400000}"/>
    <cellStyle name="titulomov 5 8 2 2" xfId="16477" xr:uid="{00000000-0005-0000-0000-00005B400000}"/>
    <cellStyle name="titulomov 5 9" xfId="16478" xr:uid="{00000000-0005-0000-0000-00005C400000}"/>
    <cellStyle name="titulomov 5 9 2" xfId="16479" xr:uid="{00000000-0005-0000-0000-00005D400000}"/>
    <cellStyle name="titulomov 5 9 2 2" xfId="16480" xr:uid="{00000000-0005-0000-0000-00005E400000}"/>
    <cellStyle name="titulomov 6" xfId="16481" xr:uid="{00000000-0005-0000-0000-00005F400000}"/>
    <cellStyle name="titulomov 6 2" xfId="16482" xr:uid="{00000000-0005-0000-0000-000060400000}"/>
    <cellStyle name="titulomov 6 2 2" xfId="16483" xr:uid="{00000000-0005-0000-0000-000061400000}"/>
    <cellStyle name="titulomov 7" xfId="16484" xr:uid="{00000000-0005-0000-0000-000062400000}"/>
    <cellStyle name="titulomov 7 2" xfId="16485" xr:uid="{00000000-0005-0000-0000-000063400000}"/>
    <cellStyle name="titulomov 7 2 2" xfId="16486" xr:uid="{00000000-0005-0000-0000-000064400000}"/>
    <cellStyle name="titulomov 8" xfId="16487" xr:uid="{00000000-0005-0000-0000-000065400000}"/>
    <cellStyle name="titulomov 8 2" xfId="16488" xr:uid="{00000000-0005-0000-0000-000066400000}"/>
    <cellStyle name="titulomov 8 2 2" xfId="16489" xr:uid="{00000000-0005-0000-0000-000067400000}"/>
    <cellStyle name="titulomov 9" xfId="16490" xr:uid="{00000000-0005-0000-0000-000068400000}"/>
    <cellStyle name="titulomov 9 2" xfId="16491" xr:uid="{00000000-0005-0000-0000-000069400000}"/>
    <cellStyle name="titulomov 9 2 2" xfId="16492" xr:uid="{00000000-0005-0000-0000-00006A400000}"/>
    <cellStyle name="tn" xfId="16493" xr:uid="{00000000-0005-0000-0000-00006B400000}"/>
    <cellStyle name="Todos" xfId="16494" xr:uid="{00000000-0005-0000-0000-00006C400000}"/>
    <cellStyle name="Tons" xfId="16495" xr:uid="{00000000-0005-0000-0000-00006D400000}"/>
    <cellStyle name="Top Edge" xfId="16496" xr:uid="{00000000-0005-0000-0000-00006E400000}"/>
    <cellStyle name="TopGrey" xfId="16497" xr:uid="{00000000-0005-0000-0000-00006F400000}"/>
    <cellStyle name="TopGrey 2" xfId="16498" xr:uid="{00000000-0005-0000-0000-000070400000}"/>
    <cellStyle name="TopGrey 2 2" xfId="16499" xr:uid="{00000000-0005-0000-0000-000071400000}"/>
    <cellStyle name="TopGrey 2 2 2" xfId="16500" xr:uid="{00000000-0005-0000-0000-000072400000}"/>
    <cellStyle name="TopGrey 2 3" xfId="16501" xr:uid="{00000000-0005-0000-0000-000073400000}"/>
    <cellStyle name="TopGrey 3" xfId="16502" xr:uid="{00000000-0005-0000-0000-000074400000}"/>
    <cellStyle name="TopGrey 3 2" xfId="16503" xr:uid="{00000000-0005-0000-0000-000075400000}"/>
    <cellStyle name="TopGrey 4" xfId="16504" xr:uid="{00000000-0005-0000-0000-000076400000}"/>
    <cellStyle name="Total" xfId="17" builtinId="25" customBuiltin="1"/>
    <cellStyle name="Total 10" xfId="16505" xr:uid="{00000000-0005-0000-0000-000078400000}"/>
    <cellStyle name="Total 11" xfId="16506" xr:uid="{00000000-0005-0000-0000-000079400000}"/>
    <cellStyle name="Total 12" xfId="16507" xr:uid="{00000000-0005-0000-0000-00007A400000}"/>
    <cellStyle name="Total 13" xfId="16508" xr:uid="{00000000-0005-0000-0000-00007B400000}"/>
    <cellStyle name="Total 14" xfId="16509" xr:uid="{00000000-0005-0000-0000-00007C400000}"/>
    <cellStyle name="Total 15" xfId="16510" xr:uid="{00000000-0005-0000-0000-00007D400000}"/>
    <cellStyle name="Total 16" xfId="16511" xr:uid="{00000000-0005-0000-0000-00007E400000}"/>
    <cellStyle name="Total 17" xfId="16512" xr:uid="{00000000-0005-0000-0000-00007F400000}"/>
    <cellStyle name="Total 18" xfId="16513" xr:uid="{00000000-0005-0000-0000-000080400000}"/>
    <cellStyle name="Total 19" xfId="16514" xr:uid="{00000000-0005-0000-0000-000081400000}"/>
    <cellStyle name="Total 2" xfId="16515" xr:uid="{00000000-0005-0000-0000-000082400000}"/>
    <cellStyle name="Total 2 2" xfId="16516" xr:uid="{00000000-0005-0000-0000-000083400000}"/>
    <cellStyle name="Total 2 2 2" xfId="16517" xr:uid="{00000000-0005-0000-0000-000084400000}"/>
    <cellStyle name="Total 2 3" xfId="16518" xr:uid="{00000000-0005-0000-0000-000085400000}"/>
    <cellStyle name="Total 20" xfId="16519" xr:uid="{00000000-0005-0000-0000-000086400000}"/>
    <cellStyle name="Total 21" xfId="16520" xr:uid="{00000000-0005-0000-0000-000087400000}"/>
    <cellStyle name="Total 22" xfId="16521" xr:uid="{00000000-0005-0000-0000-000088400000}"/>
    <cellStyle name="Total 23" xfId="16522" xr:uid="{00000000-0005-0000-0000-000089400000}"/>
    <cellStyle name="Total 24" xfId="16523" xr:uid="{00000000-0005-0000-0000-00008A400000}"/>
    <cellStyle name="Total 25" xfId="16524" xr:uid="{00000000-0005-0000-0000-00008B400000}"/>
    <cellStyle name="Total 26" xfId="16525" xr:uid="{00000000-0005-0000-0000-00008C400000}"/>
    <cellStyle name="Total 27" xfId="16526" xr:uid="{00000000-0005-0000-0000-00008D400000}"/>
    <cellStyle name="Total 28" xfId="16527" xr:uid="{00000000-0005-0000-0000-00008E400000}"/>
    <cellStyle name="Total 29" xfId="16528" xr:uid="{00000000-0005-0000-0000-00008F400000}"/>
    <cellStyle name="Total 3" xfId="16529" xr:uid="{00000000-0005-0000-0000-000090400000}"/>
    <cellStyle name="Total 3 2" xfId="16530" xr:uid="{00000000-0005-0000-0000-000091400000}"/>
    <cellStyle name="Total 30" xfId="16531" xr:uid="{00000000-0005-0000-0000-000092400000}"/>
    <cellStyle name="Total 31" xfId="16532" xr:uid="{00000000-0005-0000-0000-000093400000}"/>
    <cellStyle name="Total 32" xfId="16533" xr:uid="{00000000-0005-0000-0000-000094400000}"/>
    <cellStyle name="Total 33" xfId="16534" xr:uid="{00000000-0005-0000-0000-000095400000}"/>
    <cellStyle name="Total 34" xfId="16535" xr:uid="{00000000-0005-0000-0000-000096400000}"/>
    <cellStyle name="Total 35" xfId="16536" xr:uid="{00000000-0005-0000-0000-000097400000}"/>
    <cellStyle name="Total 36" xfId="16537" xr:uid="{00000000-0005-0000-0000-000098400000}"/>
    <cellStyle name="Total 37" xfId="16538" xr:uid="{00000000-0005-0000-0000-000099400000}"/>
    <cellStyle name="Total 38" xfId="16539" xr:uid="{00000000-0005-0000-0000-00009A400000}"/>
    <cellStyle name="Total 39" xfId="16540" xr:uid="{00000000-0005-0000-0000-00009B400000}"/>
    <cellStyle name="Total 4" xfId="16541" xr:uid="{00000000-0005-0000-0000-00009C400000}"/>
    <cellStyle name="Total 4 2" xfId="16542" xr:uid="{00000000-0005-0000-0000-00009D400000}"/>
    <cellStyle name="Total 40" xfId="16543" xr:uid="{00000000-0005-0000-0000-00009E400000}"/>
    <cellStyle name="Total 5" xfId="16544" xr:uid="{00000000-0005-0000-0000-00009F400000}"/>
    <cellStyle name="Total 6" xfId="16545" xr:uid="{00000000-0005-0000-0000-0000A0400000}"/>
    <cellStyle name="Total 7" xfId="16546" xr:uid="{00000000-0005-0000-0000-0000A1400000}"/>
    <cellStyle name="Total 8" xfId="16547" xr:uid="{00000000-0005-0000-0000-0000A2400000}"/>
    <cellStyle name="Total 9" xfId="16548" xr:uid="{00000000-0005-0000-0000-0000A3400000}"/>
    <cellStyle name="totalbalan" xfId="16549" xr:uid="{00000000-0005-0000-0000-0000A4400000}"/>
    <cellStyle name="TotalCurrency" xfId="16550" xr:uid="{00000000-0005-0000-0000-0000A5400000}"/>
    <cellStyle name="-Trait bleu Bas" xfId="16551" xr:uid="{00000000-0005-0000-0000-0000A6400000}"/>
    <cellStyle name="-Trait bleu Bas 10" xfId="16552" xr:uid="{00000000-0005-0000-0000-0000A7400000}"/>
    <cellStyle name="-Trait bleu Bas 11" xfId="16553" xr:uid="{00000000-0005-0000-0000-0000A8400000}"/>
    <cellStyle name="-Trait bleu Bas 12" xfId="16554" xr:uid="{00000000-0005-0000-0000-0000A9400000}"/>
    <cellStyle name="-Trait bleu Bas 13" xfId="16555" xr:uid="{00000000-0005-0000-0000-0000AA400000}"/>
    <cellStyle name="-Trait bleu Bas 14" xfId="16556" xr:uid="{00000000-0005-0000-0000-0000AB400000}"/>
    <cellStyle name="-Trait bleu Bas 15" xfId="16557" xr:uid="{00000000-0005-0000-0000-0000AC400000}"/>
    <cellStyle name="-Trait bleu Bas 16" xfId="16558" xr:uid="{00000000-0005-0000-0000-0000AD400000}"/>
    <cellStyle name="-Trait bleu Bas 17" xfId="16559" xr:uid="{00000000-0005-0000-0000-0000AE400000}"/>
    <cellStyle name="-Trait bleu Bas 18" xfId="16560" xr:uid="{00000000-0005-0000-0000-0000AF400000}"/>
    <cellStyle name="-Trait bleu Bas 19" xfId="16561" xr:uid="{00000000-0005-0000-0000-0000B0400000}"/>
    <cellStyle name="-Trait bleu Bas 2" xfId="16562" xr:uid="{00000000-0005-0000-0000-0000B1400000}"/>
    <cellStyle name="-Trait bleu Bas 2 10" xfId="16563" xr:uid="{00000000-0005-0000-0000-0000B2400000}"/>
    <cellStyle name="-Trait bleu Bas 2 11" xfId="16564" xr:uid="{00000000-0005-0000-0000-0000B3400000}"/>
    <cellStyle name="-Trait bleu Bas 2 2" xfId="16565" xr:uid="{00000000-0005-0000-0000-0000B4400000}"/>
    <cellStyle name="-Trait bleu Bas 2 2 2" xfId="16566" xr:uid="{00000000-0005-0000-0000-0000B5400000}"/>
    <cellStyle name="-Trait bleu Bas 2 2 3" xfId="16567" xr:uid="{00000000-0005-0000-0000-0000B6400000}"/>
    <cellStyle name="-Trait bleu Bas 2 2 4" xfId="16568" xr:uid="{00000000-0005-0000-0000-0000B7400000}"/>
    <cellStyle name="-Trait bleu Bas 2 2 5" xfId="16569" xr:uid="{00000000-0005-0000-0000-0000B8400000}"/>
    <cellStyle name="-Trait bleu Bas 2 2 6" xfId="16570" xr:uid="{00000000-0005-0000-0000-0000B9400000}"/>
    <cellStyle name="-Trait bleu Bas 2 2 7" xfId="16571" xr:uid="{00000000-0005-0000-0000-0000BA400000}"/>
    <cellStyle name="-Trait bleu Bas 2 2 8" xfId="16572" xr:uid="{00000000-0005-0000-0000-0000BB400000}"/>
    <cellStyle name="-Trait bleu Bas 2 2 9" xfId="16573" xr:uid="{00000000-0005-0000-0000-0000BC400000}"/>
    <cellStyle name="-Trait bleu Bas 2 3" xfId="16574" xr:uid="{00000000-0005-0000-0000-0000BD400000}"/>
    <cellStyle name="-Trait bleu Bas 2 3 2" xfId="16575" xr:uid="{00000000-0005-0000-0000-0000BE400000}"/>
    <cellStyle name="-Trait bleu Bas 2 3 3" xfId="16576" xr:uid="{00000000-0005-0000-0000-0000BF400000}"/>
    <cellStyle name="-Trait bleu Bas 2 3 4" xfId="16577" xr:uid="{00000000-0005-0000-0000-0000C0400000}"/>
    <cellStyle name="-Trait bleu Bas 2 3 5" xfId="16578" xr:uid="{00000000-0005-0000-0000-0000C1400000}"/>
    <cellStyle name="-Trait bleu Bas 2 3 6" xfId="16579" xr:uid="{00000000-0005-0000-0000-0000C2400000}"/>
    <cellStyle name="-Trait bleu Bas 2 3 7" xfId="16580" xr:uid="{00000000-0005-0000-0000-0000C3400000}"/>
    <cellStyle name="-Trait bleu Bas 2 3 8" xfId="16581" xr:uid="{00000000-0005-0000-0000-0000C4400000}"/>
    <cellStyle name="-Trait bleu Bas 2 3 9" xfId="16582" xr:uid="{00000000-0005-0000-0000-0000C5400000}"/>
    <cellStyle name="-Trait bleu Bas 2 4" xfId="16583" xr:uid="{00000000-0005-0000-0000-0000C6400000}"/>
    <cellStyle name="-Trait bleu Bas 2 5" xfId="16584" xr:uid="{00000000-0005-0000-0000-0000C7400000}"/>
    <cellStyle name="-Trait bleu Bas 2 6" xfId="16585" xr:uid="{00000000-0005-0000-0000-0000C8400000}"/>
    <cellStyle name="-Trait bleu Bas 2 7" xfId="16586" xr:uid="{00000000-0005-0000-0000-0000C9400000}"/>
    <cellStyle name="-Trait bleu Bas 2 8" xfId="16587" xr:uid="{00000000-0005-0000-0000-0000CA400000}"/>
    <cellStyle name="-Trait bleu Bas 2 9" xfId="16588" xr:uid="{00000000-0005-0000-0000-0000CB400000}"/>
    <cellStyle name="-Trait bleu Bas 20" xfId="16589" xr:uid="{00000000-0005-0000-0000-0000CC400000}"/>
    <cellStyle name="-Trait bleu Bas 3" xfId="16590" xr:uid="{00000000-0005-0000-0000-0000CD400000}"/>
    <cellStyle name="-Trait bleu Bas 3 2" xfId="16591" xr:uid="{00000000-0005-0000-0000-0000CE400000}"/>
    <cellStyle name="-Trait bleu Bas 3 3" xfId="16592" xr:uid="{00000000-0005-0000-0000-0000CF400000}"/>
    <cellStyle name="-Trait bleu Bas 3 4" xfId="16593" xr:uid="{00000000-0005-0000-0000-0000D0400000}"/>
    <cellStyle name="-Trait bleu Bas 3 5" xfId="16594" xr:uid="{00000000-0005-0000-0000-0000D1400000}"/>
    <cellStyle name="-Trait bleu Bas 3 6" xfId="16595" xr:uid="{00000000-0005-0000-0000-0000D2400000}"/>
    <cellStyle name="-Trait bleu Bas 3 7" xfId="16596" xr:uid="{00000000-0005-0000-0000-0000D3400000}"/>
    <cellStyle name="-Trait bleu Bas 3 8" xfId="16597" xr:uid="{00000000-0005-0000-0000-0000D4400000}"/>
    <cellStyle name="-Trait bleu Bas 3 9" xfId="16598" xr:uid="{00000000-0005-0000-0000-0000D5400000}"/>
    <cellStyle name="-Trait bleu Bas 4" xfId="16599" xr:uid="{00000000-0005-0000-0000-0000D6400000}"/>
    <cellStyle name="-Trait bleu Bas 4 2" xfId="16600" xr:uid="{00000000-0005-0000-0000-0000D7400000}"/>
    <cellStyle name="-Trait bleu Bas 4 3" xfId="16601" xr:uid="{00000000-0005-0000-0000-0000D8400000}"/>
    <cellStyle name="-Trait bleu Bas 4 4" xfId="16602" xr:uid="{00000000-0005-0000-0000-0000D9400000}"/>
    <cellStyle name="-Trait bleu Bas 4 5" xfId="16603" xr:uid="{00000000-0005-0000-0000-0000DA400000}"/>
    <cellStyle name="-Trait bleu Bas 4 6" xfId="16604" xr:uid="{00000000-0005-0000-0000-0000DB400000}"/>
    <cellStyle name="-Trait bleu Bas 4 7" xfId="16605" xr:uid="{00000000-0005-0000-0000-0000DC400000}"/>
    <cellStyle name="-Trait bleu Bas 4 8" xfId="16606" xr:uid="{00000000-0005-0000-0000-0000DD400000}"/>
    <cellStyle name="-Trait bleu Bas 4 9" xfId="16607" xr:uid="{00000000-0005-0000-0000-0000DE400000}"/>
    <cellStyle name="-Trait bleu Bas 5" xfId="16608" xr:uid="{00000000-0005-0000-0000-0000DF400000}"/>
    <cellStyle name="-Trait bleu Bas 5 2" xfId="16609" xr:uid="{00000000-0005-0000-0000-0000E0400000}"/>
    <cellStyle name="-Trait bleu Bas 5 3" xfId="16610" xr:uid="{00000000-0005-0000-0000-0000E1400000}"/>
    <cellStyle name="-Trait bleu Bas 5 4" xfId="16611" xr:uid="{00000000-0005-0000-0000-0000E2400000}"/>
    <cellStyle name="-Trait bleu Bas 5 5" xfId="16612" xr:uid="{00000000-0005-0000-0000-0000E3400000}"/>
    <cellStyle name="-Trait bleu Bas 5 6" xfId="16613" xr:uid="{00000000-0005-0000-0000-0000E4400000}"/>
    <cellStyle name="-Trait bleu Bas 5 7" xfId="16614" xr:uid="{00000000-0005-0000-0000-0000E5400000}"/>
    <cellStyle name="-Trait bleu Bas 5 8" xfId="16615" xr:uid="{00000000-0005-0000-0000-0000E6400000}"/>
    <cellStyle name="-Trait bleu Bas 5 9" xfId="16616" xr:uid="{00000000-0005-0000-0000-0000E7400000}"/>
    <cellStyle name="-Trait bleu Bas 6" xfId="16617" xr:uid="{00000000-0005-0000-0000-0000E8400000}"/>
    <cellStyle name="-Trait bleu Bas 7" xfId="16618" xr:uid="{00000000-0005-0000-0000-0000E9400000}"/>
    <cellStyle name="-Trait bleu Bas 8" xfId="16619" xr:uid="{00000000-0005-0000-0000-0000EA400000}"/>
    <cellStyle name="-Trait bleu Bas 9" xfId="16620" xr:uid="{00000000-0005-0000-0000-0000EB400000}"/>
    <cellStyle name="TransVal" xfId="16621" xr:uid="{00000000-0005-0000-0000-0000EC400000}"/>
    <cellStyle name="ubordinated Debt" xfId="16622" xr:uid="{00000000-0005-0000-0000-0000ED400000}"/>
    <cellStyle name="UnderLine" xfId="16623" xr:uid="{00000000-0005-0000-0000-0000EE400000}"/>
    <cellStyle name="UnderLine 10" xfId="16624" xr:uid="{00000000-0005-0000-0000-0000EF400000}"/>
    <cellStyle name="UnderLine 10 2" xfId="16625" xr:uid="{00000000-0005-0000-0000-0000F0400000}"/>
    <cellStyle name="UnderLine 10 2 2" xfId="16626" xr:uid="{00000000-0005-0000-0000-0000F1400000}"/>
    <cellStyle name="UnderLine 11" xfId="16627" xr:uid="{00000000-0005-0000-0000-0000F2400000}"/>
    <cellStyle name="UnderLine 11 2" xfId="16628" xr:uid="{00000000-0005-0000-0000-0000F3400000}"/>
    <cellStyle name="UnderLine 11 2 2" xfId="16629" xr:uid="{00000000-0005-0000-0000-0000F4400000}"/>
    <cellStyle name="UnderLine 2" xfId="16630" xr:uid="{00000000-0005-0000-0000-0000F5400000}"/>
    <cellStyle name="UnderLine 2 2" xfId="16631" xr:uid="{00000000-0005-0000-0000-0000F6400000}"/>
    <cellStyle name="UnderLine 2 2 10" xfId="16632" xr:uid="{00000000-0005-0000-0000-0000F7400000}"/>
    <cellStyle name="UnderLine 2 2 10 2" xfId="16633" xr:uid="{00000000-0005-0000-0000-0000F8400000}"/>
    <cellStyle name="UnderLine 2 2 10 2 2" xfId="16634" xr:uid="{00000000-0005-0000-0000-0000F9400000}"/>
    <cellStyle name="UnderLine 2 2 11" xfId="16635" xr:uid="{00000000-0005-0000-0000-0000FA400000}"/>
    <cellStyle name="UnderLine 2 2 11 2" xfId="16636" xr:uid="{00000000-0005-0000-0000-0000FB400000}"/>
    <cellStyle name="UnderLine 2 2 11 2 2" xfId="16637" xr:uid="{00000000-0005-0000-0000-0000FC400000}"/>
    <cellStyle name="UnderLine 2 2 12" xfId="16638" xr:uid="{00000000-0005-0000-0000-0000FD400000}"/>
    <cellStyle name="UnderLine 2 2 12 2" xfId="16639" xr:uid="{00000000-0005-0000-0000-0000FE400000}"/>
    <cellStyle name="UnderLine 2 2 12 2 2" xfId="16640" xr:uid="{00000000-0005-0000-0000-0000FF400000}"/>
    <cellStyle name="UnderLine 2 2 13" xfId="16641" xr:uid="{00000000-0005-0000-0000-000000410000}"/>
    <cellStyle name="UnderLine 2 2 13 2" xfId="16642" xr:uid="{00000000-0005-0000-0000-000001410000}"/>
    <cellStyle name="UnderLine 2 2 13 2 2" xfId="16643" xr:uid="{00000000-0005-0000-0000-000002410000}"/>
    <cellStyle name="UnderLine 2 2 14" xfId="16644" xr:uid="{00000000-0005-0000-0000-000003410000}"/>
    <cellStyle name="UnderLine 2 2 14 2" xfId="16645" xr:uid="{00000000-0005-0000-0000-000004410000}"/>
    <cellStyle name="UnderLine 2 2 14 2 2" xfId="16646" xr:uid="{00000000-0005-0000-0000-000005410000}"/>
    <cellStyle name="UnderLine 2 2 15" xfId="16647" xr:uid="{00000000-0005-0000-0000-000006410000}"/>
    <cellStyle name="UnderLine 2 2 15 2" xfId="16648" xr:uid="{00000000-0005-0000-0000-000007410000}"/>
    <cellStyle name="UnderLine 2 2 2" xfId="16649" xr:uid="{00000000-0005-0000-0000-000008410000}"/>
    <cellStyle name="UnderLine 2 2 2 2" xfId="16650" xr:uid="{00000000-0005-0000-0000-000009410000}"/>
    <cellStyle name="UnderLine 2 2 2 2 2" xfId="16651" xr:uid="{00000000-0005-0000-0000-00000A410000}"/>
    <cellStyle name="UnderLine 2 2 3" xfId="16652" xr:uid="{00000000-0005-0000-0000-00000B410000}"/>
    <cellStyle name="UnderLine 2 2 3 2" xfId="16653" xr:uid="{00000000-0005-0000-0000-00000C410000}"/>
    <cellStyle name="UnderLine 2 2 3 2 2" xfId="16654" xr:uid="{00000000-0005-0000-0000-00000D410000}"/>
    <cellStyle name="UnderLine 2 2 4" xfId="16655" xr:uid="{00000000-0005-0000-0000-00000E410000}"/>
    <cellStyle name="UnderLine 2 2 4 2" xfId="16656" xr:uid="{00000000-0005-0000-0000-00000F410000}"/>
    <cellStyle name="UnderLine 2 2 4 2 2" xfId="16657" xr:uid="{00000000-0005-0000-0000-000010410000}"/>
    <cellStyle name="UnderLine 2 2 5" xfId="16658" xr:uid="{00000000-0005-0000-0000-000011410000}"/>
    <cellStyle name="UnderLine 2 2 5 2" xfId="16659" xr:uid="{00000000-0005-0000-0000-000012410000}"/>
    <cellStyle name="UnderLine 2 2 5 2 2" xfId="16660" xr:uid="{00000000-0005-0000-0000-000013410000}"/>
    <cellStyle name="UnderLine 2 2 6" xfId="16661" xr:uid="{00000000-0005-0000-0000-000014410000}"/>
    <cellStyle name="UnderLine 2 2 6 2" xfId="16662" xr:uid="{00000000-0005-0000-0000-000015410000}"/>
    <cellStyle name="UnderLine 2 2 6 2 2" xfId="16663" xr:uid="{00000000-0005-0000-0000-000016410000}"/>
    <cellStyle name="UnderLine 2 2 7" xfId="16664" xr:uid="{00000000-0005-0000-0000-000017410000}"/>
    <cellStyle name="UnderLine 2 2 7 2" xfId="16665" xr:uid="{00000000-0005-0000-0000-000018410000}"/>
    <cellStyle name="UnderLine 2 2 7 2 2" xfId="16666" xr:uid="{00000000-0005-0000-0000-000019410000}"/>
    <cellStyle name="UnderLine 2 2 8" xfId="16667" xr:uid="{00000000-0005-0000-0000-00001A410000}"/>
    <cellStyle name="UnderLine 2 2 8 2" xfId="16668" xr:uid="{00000000-0005-0000-0000-00001B410000}"/>
    <cellStyle name="UnderLine 2 2 8 2 2" xfId="16669" xr:uid="{00000000-0005-0000-0000-00001C410000}"/>
    <cellStyle name="UnderLine 2 2 9" xfId="16670" xr:uid="{00000000-0005-0000-0000-00001D410000}"/>
    <cellStyle name="UnderLine 2 2 9 2" xfId="16671" xr:uid="{00000000-0005-0000-0000-00001E410000}"/>
    <cellStyle name="UnderLine 2 2 9 2 2" xfId="16672" xr:uid="{00000000-0005-0000-0000-00001F410000}"/>
    <cellStyle name="UnderLine 2 3" xfId="16673" xr:uid="{00000000-0005-0000-0000-000020410000}"/>
    <cellStyle name="UnderLine 2 3 2" xfId="16674" xr:uid="{00000000-0005-0000-0000-000021410000}"/>
    <cellStyle name="UnderLine 2 3 2 2" xfId="16675" xr:uid="{00000000-0005-0000-0000-000022410000}"/>
    <cellStyle name="UnderLine 2 4" xfId="16676" xr:uid="{00000000-0005-0000-0000-000023410000}"/>
    <cellStyle name="UnderLine 2 4 2" xfId="16677" xr:uid="{00000000-0005-0000-0000-000024410000}"/>
    <cellStyle name="UnderLine 2 4 2 2" xfId="16678" xr:uid="{00000000-0005-0000-0000-000025410000}"/>
    <cellStyle name="UnderLine 2 5" xfId="16679" xr:uid="{00000000-0005-0000-0000-000026410000}"/>
    <cellStyle name="UnderLine 2 5 2" xfId="16680" xr:uid="{00000000-0005-0000-0000-000027410000}"/>
    <cellStyle name="UnderLine 3" xfId="16681" xr:uid="{00000000-0005-0000-0000-000028410000}"/>
    <cellStyle name="UnderLine 3 10" xfId="16682" xr:uid="{00000000-0005-0000-0000-000029410000}"/>
    <cellStyle name="UnderLine 3 10 2" xfId="16683" xr:uid="{00000000-0005-0000-0000-00002A410000}"/>
    <cellStyle name="UnderLine 3 10 2 2" xfId="16684" xr:uid="{00000000-0005-0000-0000-00002B410000}"/>
    <cellStyle name="UnderLine 3 11" xfId="16685" xr:uid="{00000000-0005-0000-0000-00002C410000}"/>
    <cellStyle name="UnderLine 3 11 2" xfId="16686" xr:uid="{00000000-0005-0000-0000-00002D410000}"/>
    <cellStyle name="UnderLine 3 2" xfId="16687" xr:uid="{00000000-0005-0000-0000-00002E410000}"/>
    <cellStyle name="UnderLine 3 2 2" xfId="16688" xr:uid="{00000000-0005-0000-0000-00002F410000}"/>
    <cellStyle name="UnderLine 3 2 2 2" xfId="16689" xr:uid="{00000000-0005-0000-0000-000030410000}"/>
    <cellStyle name="UnderLine 3 2 2 2 2" xfId="16690" xr:uid="{00000000-0005-0000-0000-000031410000}"/>
    <cellStyle name="UnderLine 3 2 3" xfId="16691" xr:uid="{00000000-0005-0000-0000-000032410000}"/>
    <cellStyle name="UnderLine 3 2 3 2" xfId="16692" xr:uid="{00000000-0005-0000-0000-000033410000}"/>
    <cellStyle name="UnderLine 3 3" xfId="16693" xr:uid="{00000000-0005-0000-0000-000034410000}"/>
    <cellStyle name="UnderLine 3 3 2" xfId="16694" xr:uid="{00000000-0005-0000-0000-000035410000}"/>
    <cellStyle name="UnderLine 3 3 2 2" xfId="16695" xr:uid="{00000000-0005-0000-0000-000036410000}"/>
    <cellStyle name="UnderLine 3 4" xfId="16696" xr:uid="{00000000-0005-0000-0000-000037410000}"/>
    <cellStyle name="UnderLine 3 4 2" xfId="16697" xr:uid="{00000000-0005-0000-0000-000038410000}"/>
    <cellStyle name="UnderLine 3 4 2 2" xfId="16698" xr:uid="{00000000-0005-0000-0000-000039410000}"/>
    <cellStyle name="UnderLine 3 5" xfId="16699" xr:uid="{00000000-0005-0000-0000-00003A410000}"/>
    <cellStyle name="UnderLine 3 5 2" xfId="16700" xr:uid="{00000000-0005-0000-0000-00003B410000}"/>
    <cellStyle name="UnderLine 3 5 2 2" xfId="16701" xr:uid="{00000000-0005-0000-0000-00003C410000}"/>
    <cellStyle name="UnderLine 3 6" xfId="16702" xr:uid="{00000000-0005-0000-0000-00003D410000}"/>
    <cellStyle name="UnderLine 3 6 2" xfId="16703" xr:uid="{00000000-0005-0000-0000-00003E410000}"/>
    <cellStyle name="UnderLine 3 6 2 2" xfId="16704" xr:uid="{00000000-0005-0000-0000-00003F410000}"/>
    <cellStyle name="UnderLine 3 7" xfId="16705" xr:uid="{00000000-0005-0000-0000-000040410000}"/>
    <cellStyle name="UnderLine 3 7 2" xfId="16706" xr:uid="{00000000-0005-0000-0000-000041410000}"/>
    <cellStyle name="UnderLine 3 7 2 2" xfId="16707" xr:uid="{00000000-0005-0000-0000-000042410000}"/>
    <cellStyle name="UnderLine 3 8" xfId="16708" xr:uid="{00000000-0005-0000-0000-000043410000}"/>
    <cellStyle name="UnderLine 3 8 2" xfId="16709" xr:uid="{00000000-0005-0000-0000-000044410000}"/>
    <cellStyle name="UnderLine 3 8 2 2" xfId="16710" xr:uid="{00000000-0005-0000-0000-000045410000}"/>
    <cellStyle name="UnderLine 3 9" xfId="16711" xr:uid="{00000000-0005-0000-0000-000046410000}"/>
    <cellStyle name="UnderLine 3 9 2" xfId="16712" xr:uid="{00000000-0005-0000-0000-000047410000}"/>
    <cellStyle name="UnderLine 3 9 2 2" xfId="16713" xr:uid="{00000000-0005-0000-0000-000048410000}"/>
    <cellStyle name="UnderLine 4" xfId="16714" xr:uid="{00000000-0005-0000-0000-000049410000}"/>
    <cellStyle name="UnderLine 4 10" xfId="16715" xr:uid="{00000000-0005-0000-0000-00004A410000}"/>
    <cellStyle name="UnderLine 4 10 2" xfId="16716" xr:uid="{00000000-0005-0000-0000-00004B410000}"/>
    <cellStyle name="UnderLine 4 10 2 2" xfId="16717" xr:uid="{00000000-0005-0000-0000-00004C410000}"/>
    <cellStyle name="UnderLine 4 11" xfId="16718" xr:uid="{00000000-0005-0000-0000-00004D410000}"/>
    <cellStyle name="UnderLine 4 11 2" xfId="16719" xr:uid="{00000000-0005-0000-0000-00004E410000}"/>
    <cellStyle name="UnderLine 4 11 2 2" xfId="16720" xr:uid="{00000000-0005-0000-0000-00004F410000}"/>
    <cellStyle name="UnderLine 4 12" xfId="16721" xr:uid="{00000000-0005-0000-0000-000050410000}"/>
    <cellStyle name="UnderLine 4 12 2" xfId="16722" xr:uid="{00000000-0005-0000-0000-000051410000}"/>
    <cellStyle name="UnderLine 4 12 2 2" xfId="16723" xr:uid="{00000000-0005-0000-0000-000052410000}"/>
    <cellStyle name="UnderLine 4 13" xfId="16724" xr:uid="{00000000-0005-0000-0000-000053410000}"/>
    <cellStyle name="UnderLine 4 13 2" xfId="16725" xr:uid="{00000000-0005-0000-0000-000054410000}"/>
    <cellStyle name="UnderLine 4 13 2 2" xfId="16726" xr:uid="{00000000-0005-0000-0000-000055410000}"/>
    <cellStyle name="UnderLine 4 14" xfId="16727" xr:uid="{00000000-0005-0000-0000-000056410000}"/>
    <cellStyle name="UnderLine 4 14 2" xfId="16728" xr:uid="{00000000-0005-0000-0000-000057410000}"/>
    <cellStyle name="UnderLine 4 14 2 2" xfId="16729" xr:uid="{00000000-0005-0000-0000-000058410000}"/>
    <cellStyle name="UnderLine 4 15" xfId="16730" xr:uid="{00000000-0005-0000-0000-000059410000}"/>
    <cellStyle name="UnderLine 4 15 2" xfId="16731" xr:uid="{00000000-0005-0000-0000-00005A410000}"/>
    <cellStyle name="UnderLine 4 2" xfId="16732" xr:uid="{00000000-0005-0000-0000-00005B410000}"/>
    <cellStyle name="UnderLine 4 2 2" xfId="16733" xr:uid="{00000000-0005-0000-0000-00005C410000}"/>
    <cellStyle name="UnderLine 4 2 2 2" xfId="16734" xr:uid="{00000000-0005-0000-0000-00005D410000}"/>
    <cellStyle name="UnderLine 4 3" xfId="16735" xr:uid="{00000000-0005-0000-0000-00005E410000}"/>
    <cellStyle name="UnderLine 4 3 2" xfId="16736" xr:uid="{00000000-0005-0000-0000-00005F410000}"/>
    <cellStyle name="UnderLine 4 3 2 2" xfId="16737" xr:uid="{00000000-0005-0000-0000-000060410000}"/>
    <cellStyle name="UnderLine 4 4" xfId="16738" xr:uid="{00000000-0005-0000-0000-000061410000}"/>
    <cellStyle name="UnderLine 4 4 2" xfId="16739" xr:uid="{00000000-0005-0000-0000-000062410000}"/>
    <cellStyle name="UnderLine 4 4 2 2" xfId="16740" xr:uid="{00000000-0005-0000-0000-000063410000}"/>
    <cellStyle name="UnderLine 4 5" xfId="16741" xr:uid="{00000000-0005-0000-0000-000064410000}"/>
    <cellStyle name="UnderLine 4 5 2" xfId="16742" xr:uid="{00000000-0005-0000-0000-000065410000}"/>
    <cellStyle name="UnderLine 4 5 2 2" xfId="16743" xr:uid="{00000000-0005-0000-0000-000066410000}"/>
    <cellStyle name="UnderLine 4 6" xfId="16744" xr:uid="{00000000-0005-0000-0000-000067410000}"/>
    <cellStyle name="UnderLine 4 6 2" xfId="16745" xr:uid="{00000000-0005-0000-0000-000068410000}"/>
    <cellStyle name="UnderLine 4 6 2 2" xfId="16746" xr:uid="{00000000-0005-0000-0000-000069410000}"/>
    <cellStyle name="UnderLine 4 7" xfId="16747" xr:uid="{00000000-0005-0000-0000-00006A410000}"/>
    <cellStyle name="UnderLine 4 7 2" xfId="16748" xr:uid="{00000000-0005-0000-0000-00006B410000}"/>
    <cellStyle name="UnderLine 4 7 2 2" xfId="16749" xr:uid="{00000000-0005-0000-0000-00006C410000}"/>
    <cellStyle name="UnderLine 4 8" xfId="16750" xr:uid="{00000000-0005-0000-0000-00006D410000}"/>
    <cellStyle name="UnderLine 4 8 2" xfId="16751" xr:uid="{00000000-0005-0000-0000-00006E410000}"/>
    <cellStyle name="UnderLine 4 8 2 2" xfId="16752" xr:uid="{00000000-0005-0000-0000-00006F410000}"/>
    <cellStyle name="UnderLine 4 9" xfId="16753" xr:uid="{00000000-0005-0000-0000-000070410000}"/>
    <cellStyle name="UnderLine 4 9 2" xfId="16754" xr:uid="{00000000-0005-0000-0000-000071410000}"/>
    <cellStyle name="UnderLine 4 9 2 2" xfId="16755" xr:uid="{00000000-0005-0000-0000-000072410000}"/>
    <cellStyle name="UnderLine 5" xfId="16756" xr:uid="{00000000-0005-0000-0000-000073410000}"/>
    <cellStyle name="UnderLine 5 10" xfId="16757" xr:uid="{00000000-0005-0000-0000-000074410000}"/>
    <cellStyle name="UnderLine 5 10 2" xfId="16758" xr:uid="{00000000-0005-0000-0000-000075410000}"/>
    <cellStyle name="UnderLine 5 10 2 2" xfId="16759" xr:uid="{00000000-0005-0000-0000-000076410000}"/>
    <cellStyle name="UnderLine 5 11" xfId="16760" xr:uid="{00000000-0005-0000-0000-000077410000}"/>
    <cellStyle name="UnderLine 5 11 2" xfId="16761" xr:uid="{00000000-0005-0000-0000-000078410000}"/>
    <cellStyle name="UnderLine 5 11 2 2" xfId="16762" xr:uid="{00000000-0005-0000-0000-000079410000}"/>
    <cellStyle name="UnderLine 5 12" xfId="16763" xr:uid="{00000000-0005-0000-0000-00007A410000}"/>
    <cellStyle name="UnderLine 5 12 2" xfId="16764" xr:uid="{00000000-0005-0000-0000-00007B410000}"/>
    <cellStyle name="UnderLine 5 12 2 2" xfId="16765" xr:uid="{00000000-0005-0000-0000-00007C410000}"/>
    <cellStyle name="UnderLine 5 13" xfId="16766" xr:uid="{00000000-0005-0000-0000-00007D410000}"/>
    <cellStyle name="UnderLine 5 13 2" xfId="16767" xr:uid="{00000000-0005-0000-0000-00007E410000}"/>
    <cellStyle name="UnderLine 5 13 2 2" xfId="16768" xr:uid="{00000000-0005-0000-0000-00007F410000}"/>
    <cellStyle name="UnderLine 5 14" xfId="16769" xr:uid="{00000000-0005-0000-0000-000080410000}"/>
    <cellStyle name="UnderLine 5 14 2" xfId="16770" xr:uid="{00000000-0005-0000-0000-000081410000}"/>
    <cellStyle name="UnderLine 5 14 2 2" xfId="16771" xr:uid="{00000000-0005-0000-0000-000082410000}"/>
    <cellStyle name="UnderLine 5 15" xfId="16772" xr:uid="{00000000-0005-0000-0000-000083410000}"/>
    <cellStyle name="UnderLine 5 15 2" xfId="16773" xr:uid="{00000000-0005-0000-0000-000084410000}"/>
    <cellStyle name="UnderLine 5 2" xfId="16774" xr:uid="{00000000-0005-0000-0000-000085410000}"/>
    <cellStyle name="UnderLine 5 2 2" xfId="16775" xr:uid="{00000000-0005-0000-0000-000086410000}"/>
    <cellStyle name="UnderLine 5 2 2 2" xfId="16776" xr:uid="{00000000-0005-0000-0000-000087410000}"/>
    <cellStyle name="UnderLine 5 3" xfId="16777" xr:uid="{00000000-0005-0000-0000-000088410000}"/>
    <cellStyle name="UnderLine 5 3 2" xfId="16778" xr:uid="{00000000-0005-0000-0000-000089410000}"/>
    <cellStyle name="UnderLine 5 3 2 2" xfId="16779" xr:uid="{00000000-0005-0000-0000-00008A410000}"/>
    <cellStyle name="UnderLine 5 4" xfId="16780" xr:uid="{00000000-0005-0000-0000-00008B410000}"/>
    <cellStyle name="UnderLine 5 4 2" xfId="16781" xr:uid="{00000000-0005-0000-0000-00008C410000}"/>
    <cellStyle name="UnderLine 5 4 2 2" xfId="16782" xr:uid="{00000000-0005-0000-0000-00008D410000}"/>
    <cellStyle name="UnderLine 5 5" xfId="16783" xr:uid="{00000000-0005-0000-0000-00008E410000}"/>
    <cellStyle name="UnderLine 5 5 2" xfId="16784" xr:uid="{00000000-0005-0000-0000-00008F410000}"/>
    <cellStyle name="UnderLine 5 5 2 2" xfId="16785" xr:uid="{00000000-0005-0000-0000-000090410000}"/>
    <cellStyle name="UnderLine 5 6" xfId="16786" xr:uid="{00000000-0005-0000-0000-000091410000}"/>
    <cellStyle name="UnderLine 5 6 2" xfId="16787" xr:uid="{00000000-0005-0000-0000-000092410000}"/>
    <cellStyle name="UnderLine 5 6 2 2" xfId="16788" xr:uid="{00000000-0005-0000-0000-000093410000}"/>
    <cellStyle name="UnderLine 5 7" xfId="16789" xr:uid="{00000000-0005-0000-0000-000094410000}"/>
    <cellStyle name="UnderLine 5 7 2" xfId="16790" xr:uid="{00000000-0005-0000-0000-000095410000}"/>
    <cellStyle name="UnderLine 5 7 2 2" xfId="16791" xr:uid="{00000000-0005-0000-0000-000096410000}"/>
    <cellStyle name="UnderLine 5 8" xfId="16792" xr:uid="{00000000-0005-0000-0000-000097410000}"/>
    <cellStyle name="UnderLine 5 8 2" xfId="16793" xr:uid="{00000000-0005-0000-0000-000098410000}"/>
    <cellStyle name="UnderLine 5 8 2 2" xfId="16794" xr:uid="{00000000-0005-0000-0000-000099410000}"/>
    <cellStyle name="UnderLine 5 9" xfId="16795" xr:uid="{00000000-0005-0000-0000-00009A410000}"/>
    <cellStyle name="UnderLine 5 9 2" xfId="16796" xr:uid="{00000000-0005-0000-0000-00009B410000}"/>
    <cellStyle name="UnderLine 5 9 2 2" xfId="16797" xr:uid="{00000000-0005-0000-0000-00009C410000}"/>
    <cellStyle name="UnderLine 6" xfId="16798" xr:uid="{00000000-0005-0000-0000-00009D410000}"/>
    <cellStyle name="UnderLine 6 2" xfId="16799" xr:uid="{00000000-0005-0000-0000-00009E410000}"/>
    <cellStyle name="UnderLine 6 2 2" xfId="16800" xr:uid="{00000000-0005-0000-0000-00009F410000}"/>
    <cellStyle name="UnderLine 7" xfId="16801" xr:uid="{00000000-0005-0000-0000-0000A0410000}"/>
    <cellStyle name="UnderLine 7 2" xfId="16802" xr:uid="{00000000-0005-0000-0000-0000A1410000}"/>
    <cellStyle name="UnderLine 7 2 2" xfId="16803" xr:uid="{00000000-0005-0000-0000-0000A2410000}"/>
    <cellStyle name="UnderLine 8" xfId="16804" xr:uid="{00000000-0005-0000-0000-0000A3410000}"/>
    <cellStyle name="UnderLine 8 2" xfId="16805" xr:uid="{00000000-0005-0000-0000-0000A4410000}"/>
    <cellStyle name="UnderLine 8 2 2" xfId="16806" xr:uid="{00000000-0005-0000-0000-0000A5410000}"/>
    <cellStyle name="UnderLine 9" xfId="16807" xr:uid="{00000000-0005-0000-0000-0000A6410000}"/>
    <cellStyle name="UnderLine 9 2" xfId="16808" xr:uid="{00000000-0005-0000-0000-0000A7410000}"/>
    <cellStyle name="UnderLine 9 2 2" xfId="16809" xr:uid="{00000000-0005-0000-0000-0000A8410000}"/>
    <cellStyle name="UNLocked" xfId="16810" xr:uid="{00000000-0005-0000-0000-0000A9410000}"/>
    <cellStyle name="UNLocked 2" xfId="16811" xr:uid="{00000000-0005-0000-0000-0000AA410000}"/>
    <cellStyle name="UNLocked 2 2" xfId="16812" xr:uid="{00000000-0005-0000-0000-0000AB410000}"/>
    <cellStyle name="UNLocked 2 2 2" xfId="16813" xr:uid="{00000000-0005-0000-0000-0000AC410000}"/>
    <cellStyle name="UNLocked 2 3" xfId="16814" xr:uid="{00000000-0005-0000-0000-0000AD410000}"/>
    <cellStyle name="UNLocked 3" xfId="16815" xr:uid="{00000000-0005-0000-0000-0000AE410000}"/>
    <cellStyle name="UNLocked 3 2" xfId="16816" xr:uid="{00000000-0005-0000-0000-0000AF410000}"/>
    <cellStyle name="UNLocked 4" xfId="16817" xr:uid="{00000000-0005-0000-0000-0000B0410000}"/>
    <cellStyle name="Unprot" xfId="16818" xr:uid="{00000000-0005-0000-0000-0000B1410000}"/>
    <cellStyle name="Unprot$" xfId="16819" xr:uid="{00000000-0005-0000-0000-0000B2410000}"/>
    <cellStyle name="Unprot_HRT O&amp;G" xfId="16820" xr:uid="{00000000-0005-0000-0000-0000B3410000}"/>
    <cellStyle name="Unprotect" xfId="16821" xr:uid="{00000000-0005-0000-0000-0000B4410000}"/>
    <cellStyle name="Unprotect 2" xfId="16822" xr:uid="{00000000-0005-0000-0000-0000B5410000}"/>
    <cellStyle name="Unsure" xfId="16823" xr:uid="{00000000-0005-0000-0000-0000B6410000}"/>
    <cellStyle name="User Entered" xfId="16824" xr:uid="{00000000-0005-0000-0000-0000B7410000}"/>
    <cellStyle name="Valuta (0)" xfId="16825" xr:uid="{00000000-0005-0000-0000-0000B8410000}"/>
    <cellStyle name="Valuta_ cellular Costs" xfId="16826" xr:uid="{00000000-0005-0000-0000-0000B9410000}"/>
    <cellStyle name="Vírgula" xfId="1" builtinId="3"/>
    <cellStyle name="Vírgula 10" xfId="16862" xr:uid="{00000000-0005-0000-0000-0000EB410000}"/>
    <cellStyle name="Vírgula 12" xfId="16865" xr:uid="{9A286F7B-D61B-49A7-97EE-525FF265F159}"/>
    <cellStyle name="Vírgula 2" xfId="47" xr:uid="{00000000-0005-0000-0000-0000BB410000}"/>
    <cellStyle name="Vírgula 2 2" xfId="16827" xr:uid="{00000000-0005-0000-0000-0000BC410000}"/>
    <cellStyle name="Vírgula 2 3" xfId="16828" xr:uid="{00000000-0005-0000-0000-0000BD410000}"/>
    <cellStyle name="Vírgula 2_HRT O&amp;G" xfId="16829" xr:uid="{00000000-0005-0000-0000-0000BE410000}"/>
    <cellStyle name="Vírgula 3" xfId="16830" xr:uid="{00000000-0005-0000-0000-0000BF410000}"/>
    <cellStyle name="Vírgula 3 2" xfId="16831" xr:uid="{00000000-0005-0000-0000-0000C0410000}"/>
    <cellStyle name="Vírgula 3_HRT O&amp;G" xfId="16832" xr:uid="{00000000-0005-0000-0000-0000C1410000}"/>
    <cellStyle name="Vírgula 4" xfId="16833" xr:uid="{00000000-0005-0000-0000-0000C2410000}"/>
    <cellStyle name="Vírgula 5" xfId="16834" xr:uid="{00000000-0005-0000-0000-0000C3410000}"/>
    <cellStyle name="Vírgula 6" xfId="16835" xr:uid="{00000000-0005-0000-0000-0000C4410000}"/>
    <cellStyle name="Vírgula 7" xfId="16836" xr:uid="{00000000-0005-0000-0000-0000C5410000}"/>
    <cellStyle name="Vírgula 8" xfId="16837" xr:uid="{00000000-0005-0000-0000-0000C6410000}"/>
    <cellStyle name="Vírgula 9" xfId="48" xr:uid="{00000000-0005-0000-0000-0000C6410000}"/>
    <cellStyle name="Virgule fixe" xfId="16838" xr:uid="{00000000-0005-0000-0000-0000C7410000}"/>
    <cellStyle name="Währung [0]_44" xfId="16839" xr:uid="{00000000-0005-0000-0000-0000C8410000}"/>
    <cellStyle name="Währung_44" xfId="16840" xr:uid="{00000000-0005-0000-0000-0000C9410000}"/>
    <cellStyle name="Warning Text 2" xfId="16841" xr:uid="{00000000-0005-0000-0000-0000CA410000}"/>
    <cellStyle name="White" xfId="16842" xr:uid="{00000000-0005-0000-0000-0000CB410000}"/>
    <cellStyle name="WhitePattern" xfId="16843" xr:uid="{00000000-0005-0000-0000-0000CC410000}"/>
    <cellStyle name="WhitePattern1" xfId="16844" xr:uid="{00000000-0005-0000-0000-0000CD410000}"/>
    <cellStyle name="WhitePattern1 2" xfId="16845" xr:uid="{00000000-0005-0000-0000-0000CE410000}"/>
    <cellStyle name="WhitePattern1 2 2" xfId="16846" xr:uid="{00000000-0005-0000-0000-0000CF410000}"/>
    <cellStyle name="WhitePattern1 3" xfId="16847" xr:uid="{00000000-0005-0000-0000-0000D0410000}"/>
    <cellStyle name="WhiteText" xfId="16848" xr:uid="{00000000-0005-0000-0000-0000D1410000}"/>
    <cellStyle name="WrappedBold" xfId="16849" xr:uid="{00000000-0005-0000-0000-0000D2410000}"/>
    <cellStyle name="x" xfId="16850" xr:uid="{00000000-0005-0000-0000-0000D3410000}"/>
    <cellStyle name="x_HRT O&amp;G" xfId="16851" xr:uid="{00000000-0005-0000-0000-0000D4410000}"/>
    <cellStyle name="xstyle" xfId="16852" xr:uid="{00000000-0005-0000-0000-0000D5410000}"/>
    <cellStyle name="Y JY" xfId="16853" xr:uid="{00000000-0005-0000-0000-0000D6410000}"/>
    <cellStyle name="Year" xfId="16854" xr:uid="{00000000-0005-0000-0000-0000D7410000}"/>
    <cellStyle name="Year 2" xfId="16855" xr:uid="{00000000-0005-0000-0000-0000D8410000}"/>
    <cellStyle name="Year 2 2" xfId="16856" xr:uid="{00000000-0005-0000-0000-0000D9410000}"/>
    <cellStyle name="Year 3" xfId="16857" xr:uid="{00000000-0005-0000-0000-0000DA410000}"/>
    <cellStyle name="years" xfId="16858" xr:uid="{00000000-0005-0000-0000-0000DB410000}"/>
    <cellStyle name="yellow" xfId="16859" xr:uid="{00000000-0005-0000-0000-0000DC410000}"/>
    <cellStyle name="Yen" xfId="16860" xr:uid="{00000000-0005-0000-0000-0000DD410000}"/>
    <cellStyle name="YesNo" xfId="16861" xr:uid="{00000000-0005-0000-0000-0000DE410000}"/>
  </cellStyles>
  <dxfs count="0"/>
  <tableStyles count="0" defaultTableStyle="TableStyleMedium2" defaultPivotStyle="PivotStyleLight16"/>
  <colors>
    <mruColors>
      <color rgb="FF3FDD43"/>
      <color rgb="FF00AB9E"/>
      <color rgb="FFFFFFCC"/>
      <color rgb="FF007E75"/>
      <color rgb="FF007F86"/>
      <color rgb="FF004843"/>
      <color rgb="FF00353B"/>
      <color rgb="FF00766E"/>
      <color rgb="FFA7F7FF"/>
      <color rgb="FFC5F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2232011</xdr:colOff>
      <xdr:row>5</xdr:row>
      <xdr:rowOff>58414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A55EC1-A089-4E67-88D5-2703447B4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161526" cy="494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133350</xdr:rowOff>
    </xdr:from>
    <xdr:to>
      <xdr:col>1</xdr:col>
      <xdr:colOff>2232011</xdr:colOff>
      <xdr:row>3</xdr:row>
      <xdr:rowOff>36189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BA1BF1-4636-49EC-B930-A284D0256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33350"/>
          <a:ext cx="2161526" cy="483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2308211</xdr:colOff>
      <xdr:row>2</xdr:row>
      <xdr:rowOff>150489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0B89D0-8696-48D9-8620-12885AF9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2340596</xdr:colOff>
      <xdr:row>2</xdr:row>
      <xdr:rowOff>173349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6A80F5C-66B3-4F22-8058-CDDBFFEE1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105833</xdr:rowOff>
    </xdr:from>
    <xdr:to>
      <xdr:col>1</xdr:col>
      <xdr:colOff>1849318</xdr:colOff>
      <xdr:row>2</xdr:row>
      <xdr:rowOff>187530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34D0BE-00B4-4052-904C-BB44B914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3"/>
          <a:ext cx="2157293" cy="4817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2247251</xdr:colOff>
      <xdr:row>5</xdr:row>
      <xdr:rowOff>59049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D6F010-E079-4943-AF71-CE53BEA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2161526" cy="4838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2151366</xdr:colOff>
      <xdr:row>2</xdr:row>
      <xdr:rowOff>97149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959D75-AD47-419A-BBFF-8D1D328E6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1526" cy="4838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0</xdr:col>
      <xdr:colOff>2323451</xdr:colOff>
      <xdr:row>2</xdr:row>
      <xdr:rowOff>131439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2C9027-0C3F-4FAF-91AB-5516C099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8575"/>
          <a:ext cx="2161526" cy="4838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105832</xdr:rowOff>
    </xdr:from>
    <xdr:to>
      <xdr:col>1</xdr:col>
      <xdr:colOff>1848048</xdr:colOff>
      <xdr:row>3</xdr:row>
      <xdr:rowOff>2221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474798-3E9C-4E06-A673-1D0948E1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2"/>
          <a:ext cx="2154912" cy="4656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28575</xdr:rowOff>
    </xdr:from>
    <xdr:to>
      <xdr:col>0</xdr:col>
      <xdr:colOff>2342501</xdr:colOff>
      <xdr:row>3</xdr:row>
      <xdr:rowOff>135249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4FDF22-7D82-4C90-97C4-8FBE69C0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0"/>
          <a:ext cx="2161526" cy="483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r\QP-QR\1qp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isco.fernandes\AppData\Roaming\Microsoft\Excel\AFE%20-%20POL-Z%20Produtor%20(6100m)%2007.11%20(version%201)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Boilers%20and%20IGG%20Monthly%20Reports\Boiler%20and%20IGG%20Monthly%20Report%20(Nov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Generators%20Monthly%20Report\Generators%20Monthly%20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zrjow12dat1.bzrjo.chevrontexaco.net\share\UO-RIO_PRDC_PIPP\NP-2\Projetos\An&#225;lise%20Econ&#244;mica\01-%20EVTE\61%20-%20RJ1058_EVTE\03%20-%20ADR\PROGRIDES\SEM%20ADR\Progride%206_7_RJ1058_CARDUME_VDI_M-PESS_SEM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1%20Tesouraria%20e%20Investimentos\10%20Fluxo%20de%20Caixa\04%20-%20Macro\Feriado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20.14.%20Controle\Acompanhamento\Resultados%202017\4%20-%20Abril\Grafico%20Produ&#231;&#227;o%20Manati\Grafic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respo\Downloads\Gr&#225;ficos%20Duration%20e%20Custo%20de%20D&#237;vida.xlsm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1/4T21/Base%20de%20dados/Arquivos%20que%20alimentaram%20a%20base%20unificada/BP%20e%20DRE%20-%204Q21.%20v01.xlsx" TargetMode="External"/><Relationship Id="rId1" Type="http://schemas.openxmlformats.org/officeDocument/2006/relationships/externalLinkPath" Target="/03.%20FIN%20-%20Financeiro/04.%20Rela&#231;&#245;es%20com%20Investidores/Divulga&#231;&#227;o%20Resultados/2021/4T21/Base%20de%20dados/Arquivos%20que%20alimentaram%20a%20base%20unificada/BP%20e%20DRE%20-%204Q21.%20v01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1/3T21/Base%20de%20dados/Base%20Unificada%20-%20Release%203T21%20PCV.xlsx" TargetMode="External"/><Relationship Id="rId1" Type="http://schemas.openxmlformats.org/officeDocument/2006/relationships/externalLinkPath" Target="/03.%20FIN%20-%20Financeiro/04.%20Rela&#231;&#245;es%20com%20Investidores/Divulga&#231;&#227;o%20Resultados/2021/3T21/Base%20de%20dados/Base%20Unificada%20-%20Release%203T21%20PCV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2/3T22/Base%20de%20dados/Arquivos%20que%20alimentaram%20a%20base%20unificada/Notas%20Explicativas%203T22.xlsx" TargetMode="External"/><Relationship Id="rId1" Type="http://schemas.openxmlformats.org/officeDocument/2006/relationships/externalLinkPath" Target="/03.%20FIN%20-%20Financeiro/04.%20Rela&#231;&#245;es%20com%20Investidores/Divulga&#231;&#227;o%20Resultados/2022/3T22/Base%20de%20dados/Arquivos%20que%20alimentaram%20a%20base%20unificada/Notas%20Explicativas%203T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ata\ACQSTUDY\TEMP\EDI7_20.XLS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ivulga&#231;&#227;o%20Resultados/Dados%20Operacionais/2026/Base%20de%20dados%202026%20-%20Dados%20Operacionais%20v2.xlsx" TargetMode="External"/><Relationship Id="rId2" Type="http://schemas.openxmlformats.org/officeDocument/2006/relationships/externalLinkPath" Target="file:///P:\03.%20FIN%20-%20Financeiro\04.%20Rela&#231;&#245;es%20com%20Investidores\Divulga&#231;&#227;o%20Resultados\Dados%20Operacionais\2026\Base%20de%20dados%202026%20-%20Dados%20Operacionais%20v2.xlsx" TargetMode="External"/><Relationship Id="rId1" Type="http://schemas.openxmlformats.org/officeDocument/2006/relationships/externalLinkPath" Target="/03.%20FIN%20-%20Financeiro/04.%20Rela&#231;&#245;es%20com%20Investidores/Divulga&#231;&#227;o%20Resultados/Dados%20Operacionais/2026/Base%20de%20dados%202026%20-%20Dados%20Operacionais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CF%20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TYWKBKS/LA/MEX97.XLS" TargetMode="External"/><Relationship Id="rId1" Type="http://schemas.openxmlformats.org/officeDocument/2006/relationships/externalLinkPath" Target="/CTYWKBKS/LA/MEX9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04.%20OPE%20-%20Opera&#231;&#245;es/00.%20Control/01.%20Polvo/Controle%20de%20Custos%20(2017)/Or&#231;amentos%202017/Or&#231;amento%202017%20-%20Rev07.xlsx" TargetMode="External"/><Relationship Id="rId1" Type="http://schemas.openxmlformats.org/officeDocument/2006/relationships/externalLinkPath" Target="/04.%20OPE%20-%20Opera&#231;&#245;es/00.%20Control/01.%20Polvo/Controle%20de%20Custos%20(2017)/Or&#231;amentos%202017/Or&#231;amento%202017%20-%20Rev0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IL\AWORK\HARBOR\MERGER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Chemical%20Consumption%20Monthly%20Report\Platform%20Chemical%20Consumption\Platform%20Chemical%20Consumption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04.%20OPE%20-%20Opera&#231;&#245;es/01.%20Drilling/12.Financeiro/AFE/AFEs%20Campanha%20de%20Perfura&#231;&#227;o%202017/C&#243;pia%20de%20AFE%20-%20Po&#231;o%20produtor%20POL-H.xlsx" TargetMode="External"/><Relationship Id="rId1" Type="http://schemas.openxmlformats.org/officeDocument/2006/relationships/externalLinkPath" Target="/04.%20OPE%20-%20Opera&#231;&#245;es/01.%20Drilling/12.Financeiro/AFE/AFEs%20Campanha%20de%20Perfura&#231;&#227;o%202017/C&#243;pia%20de%20AFE%20-%20Po&#231;o%20produtor%20POL-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ymer\AppData\Local\Microsoft\Windows\INetCache\Content.Outlook\3N7B6BEX\Resumo%20Venda%20Gas%202016%20-%20Geopark%20Brasil_v3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eleuro1204 à 34,33% "/>
      <sheetName val="sfa2005"/>
      <sheetName val="sfa2006"/>
      <sheetName val="LTRBS05"/>
      <sheetName val="LTRBS06"/>
      <sheetName val="LTR 51E-2005"/>
      <sheetName val="LTR 51E-2006"/>
      <sheetName val="Qrreshyp"/>
      <sheetName val="eclatspay2005"/>
      <sheetName val="LTR2005"/>
      <sheetName val="IFC-RD1205"/>
      <sheetName val="ACL-ONCL "/>
      <sheetName val="ecl oncl 2004"/>
      <sheetName val="cashflow"/>
      <sheetName val="matrice"/>
      <sheetName val="PL1206"/>
      <sheetName val="amort"/>
      <sheetName val="particip"/>
      <sheetName val="accpay"/>
      <sheetName val="trade"/>
      <sheetName val="LTR ONCL 05"/>
      <sheetName val="LTR ONCL 06"/>
      <sheetName val="LTR 11-01-2005"/>
      <sheetName val="LTR 11-01-E0205"/>
      <sheetName val="sfa12"/>
      <sheetName val="LTR"/>
      <sheetName val="PL1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/>
      <sheetData sheetId="2">
        <row r="7">
          <cell r="C7">
            <v>14.135416666666666</v>
          </cell>
        </row>
      </sheetData>
      <sheetData sheetId="3">
        <row r="8">
          <cell r="G8">
            <v>14.183333333333334</v>
          </cell>
        </row>
      </sheetData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Oct 2003"/>
      <sheetName val="Boiler and IGG"/>
      <sheetName val="Price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>
            <v>380</v>
          </cell>
        </row>
        <row r="3">
          <cell r="D3">
            <v>26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Blank"/>
      <sheetName val="Oct. 2003"/>
      <sheetName val="Generators Monthly Report"/>
    </sheetNames>
    <sheetDataSet>
      <sheetData sheetId="0" refreshError="1"/>
      <sheetData sheetId="1" refreshError="1"/>
      <sheetData sheetId="2" refreshError="1"/>
      <sheetData sheetId="3">
        <row r="8">
          <cell r="AH8">
            <v>380</v>
          </cell>
        </row>
        <row r="10">
          <cell r="AH10">
            <v>26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"/>
      <sheetName val="Dados"/>
      <sheetName val="Dados Risco"/>
      <sheetName val="Saída da Análise Convencional"/>
      <sheetName val="Registros para Pós-EVTE"/>
      <sheetName val="Saída da Análise Sensibilidade"/>
      <sheetName val="Saída da Análise Risco"/>
      <sheetName val="DADOS DO PROJETO"/>
      <sheetName val="CAPEX"/>
      <sheetName val="Unit Price"/>
    </sheetNames>
    <sheetDataSet>
      <sheetData sheetId="0">
        <row r="24">
          <cell r="EK24">
            <v>0.5</v>
          </cell>
        </row>
        <row r="69">
          <cell r="G69">
            <v>42401</v>
          </cell>
        </row>
        <row r="198">
          <cell r="D198">
            <v>42339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DI"/>
      <sheetName val="MOEDAS"/>
      <sheetName val="SELIC"/>
      <sheetName val="INFLAÇÃO"/>
      <sheetName val="TJLP"/>
      <sheetName val="TJUROS_RES635-87"/>
      <sheetName val="Info"/>
      <sheetName val="FERIADO"/>
      <sheetName val="IMPOSTOS"/>
      <sheetName val="TR"/>
      <sheetName val="IRRF"/>
      <sheetName val="Feriados"/>
      <sheetName val="TABELA SALDOS 2"/>
      <sheetName val="RESUMO RENTABILIDADES"/>
      <sheetName val="RESUMO"/>
      <sheetName val="CASH FLOW PROJETADO"/>
      <sheetName val="Fluxo Liquidez"/>
      <sheetName val="Plan1"/>
      <sheetName val="Plan2"/>
      <sheetName val="HISTÓRICO APLICAÇÕES"/>
      <sheetName val="HISTÓRICO RESGATES"/>
      <sheetName val="FIN ASSETS VARIATIONS (2)"/>
      <sheetName val="O&amp;G"/>
      <sheetName val="Part"/>
      <sheetName val="Ipex"/>
      <sheetName val="CC O&amp;G"/>
      <sheetName val="CC Part"/>
      <sheetName val="CC Ipex"/>
      <sheetName val="CC Afr"/>
      <sheetName val="CC AirA"/>
      <sheetName val="CC bancos"/>
      <sheetName val="Interest Accrued"/>
      <sheetName val="Mensal Empresas 2013"/>
      <sheetName val="Fluxo de Caixa"/>
      <sheetName val="HRT O&amp;G"/>
      <sheetName val="HRT P"/>
      <sheetName val="AIR AMAZONIA"/>
      <sheetName val="HRT AFRICA"/>
      <sheetName val="HRT BV"/>
      <sheetName val="HRT AMERICA"/>
      <sheetName val="HRT CANADA"/>
      <sheetName val="HRT LUX HOLDING"/>
      <sheetName val="HRT LUX SARL"/>
      <sheetName val="HRT WALVIS"/>
      <sheetName val="HRT LUDERITZ"/>
      <sheetName val="ORANGE"/>
      <sheetName val="KUNE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37257</v>
          </cell>
        </row>
        <row r="3">
          <cell r="A3">
            <v>37298</v>
          </cell>
        </row>
        <row r="4">
          <cell r="A4">
            <v>37299</v>
          </cell>
        </row>
        <row r="5">
          <cell r="A5">
            <v>37344</v>
          </cell>
        </row>
        <row r="6">
          <cell r="A6">
            <v>37367</v>
          </cell>
        </row>
        <row r="7">
          <cell r="A7">
            <v>37377</v>
          </cell>
        </row>
        <row r="8">
          <cell r="A8">
            <v>37406</v>
          </cell>
        </row>
        <row r="9">
          <cell r="A9">
            <v>37506</v>
          </cell>
        </row>
        <row r="10">
          <cell r="A10">
            <v>37541</v>
          </cell>
        </row>
        <row r="11">
          <cell r="A11">
            <v>37562</v>
          </cell>
        </row>
        <row r="12">
          <cell r="A12">
            <v>37575</v>
          </cell>
        </row>
        <row r="13">
          <cell r="A13">
            <v>37615</v>
          </cell>
        </row>
        <row r="14">
          <cell r="A14">
            <v>37622</v>
          </cell>
        </row>
        <row r="15">
          <cell r="A15">
            <v>37683</v>
          </cell>
        </row>
        <row r="16">
          <cell r="A16">
            <v>37684</v>
          </cell>
        </row>
        <row r="17">
          <cell r="A17">
            <v>37729</v>
          </cell>
        </row>
        <row r="18">
          <cell r="A18">
            <v>37732</v>
          </cell>
        </row>
        <row r="19">
          <cell r="A19">
            <v>37742</v>
          </cell>
        </row>
        <row r="20">
          <cell r="A20">
            <v>37791</v>
          </cell>
        </row>
        <row r="21">
          <cell r="A21">
            <v>37871</v>
          </cell>
        </row>
        <row r="22">
          <cell r="A22">
            <v>37906</v>
          </cell>
        </row>
        <row r="23">
          <cell r="A23">
            <v>37927</v>
          </cell>
        </row>
        <row r="24">
          <cell r="A24">
            <v>37940</v>
          </cell>
        </row>
        <row r="25">
          <cell r="A25">
            <v>37980</v>
          </cell>
        </row>
        <row r="26">
          <cell r="A26">
            <v>37987</v>
          </cell>
        </row>
        <row r="27">
          <cell r="A27">
            <v>38040</v>
          </cell>
        </row>
        <row r="28">
          <cell r="A28">
            <v>38041</v>
          </cell>
        </row>
        <row r="29">
          <cell r="A29">
            <v>38086</v>
          </cell>
        </row>
        <row r="30">
          <cell r="A30">
            <v>38098</v>
          </cell>
        </row>
        <row r="31">
          <cell r="A31">
            <v>38108</v>
          </cell>
        </row>
        <row r="32">
          <cell r="A32">
            <v>38148</v>
          </cell>
        </row>
        <row r="33">
          <cell r="A33">
            <v>38237</v>
          </cell>
        </row>
        <row r="34">
          <cell r="A34">
            <v>38272</v>
          </cell>
        </row>
        <row r="35">
          <cell r="A35">
            <v>38293</v>
          </cell>
        </row>
        <row r="36">
          <cell r="A36">
            <v>38306</v>
          </cell>
        </row>
        <row r="37">
          <cell r="A37">
            <v>38346</v>
          </cell>
        </row>
        <row r="38">
          <cell r="A38">
            <v>38353</v>
          </cell>
        </row>
        <row r="39">
          <cell r="A39">
            <v>38390</v>
          </cell>
        </row>
        <row r="40">
          <cell r="A40">
            <v>38391</v>
          </cell>
        </row>
        <row r="41">
          <cell r="A41">
            <v>38436</v>
          </cell>
        </row>
        <row r="42">
          <cell r="A42">
            <v>38463</v>
          </cell>
        </row>
        <row r="43">
          <cell r="A43">
            <v>38473</v>
          </cell>
        </row>
        <row r="44">
          <cell r="A44">
            <v>38498</v>
          </cell>
        </row>
        <row r="45">
          <cell r="A45">
            <v>38602</v>
          </cell>
        </row>
        <row r="46">
          <cell r="A46">
            <v>38637</v>
          </cell>
        </row>
        <row r="47">
          <cell r="A47">
            <v>38658</v>
          </cell>
        </row>
        <row r="48">
          <cell r="A48">
            <v>38671</v>
          </cell>
        </row>
        <row r="49">
          <cell r="A49">
            <v>38711</v>
          </cell>
        </row>
        <row r="50">
          <cell r="A50">
            <v>38718</v>
          </cell>
        </row>
        <row r="51">
          <cell r="A51">
            <v>38775</v>
          </cell>
        </row>
        <row r="52">
          <cell r="A52">
            <v>38776</v>
          </cell>
        </row>
        <row r="53">
          <cell r="A53">
            <v>38821</v>
          </cell>
        </row>
        <row r="54">
          <cell r="A54">
            <v>38828</v>
          </cell>
        </row>
        <row r="55">
          <cell r="A55">
            <v>38838</v>
          </cell>
        </row>
        <row r="56">
          <cell r="A56">
            <v>38883</v>
          </cell>
        </row>
        <row r="57">
          <cell r="A57">
            <v>38967</v>
          </cell>
        </row>
        <row r="58">
          <cell r="A58">
            <v>39002</v>
          </cell>
        </row>
        <row r="59">
          <cell r="A59">
            <v>39023</v>
          </cell>
        </row>
        <row r="60">
          <cell r="A60">
            <v>39036</v>
          </cell>
        </row>
        <row r="61">
          <cell r="A61">
            <v>39076</v>
          </cell>
        </row>
        <row r="62">
          <cell r="A62">
            <v>39083</v>
          </cell>
        </row>
        <row r="63">
          <cell r="A63">
            <v>39132</v>
          </cell>
        </row>
        <row r="64">
          <cell r="A64">
            <v>39133</v>
          </cell>
        </row>
        <row r="65">
          <cell r="A65">
            <v>39178</v>
          </cell>
        </row>
        <row r="66">
          <cell r="A66">
            <v>39193</v>
          </cell>
        </row>
        <row r="67">
          <cell r="A67">
            <v>39203</v>
          </cell>
        </row>
        <row r="68">
          <cell r="A68">
            <v>39240</v>
          </cell>
        </row>
        <row r="69">
          <cell r="A69">
            <v>39332</v>
          </cell>
        </row>
        <row r="70">
          <cell r="A70">
            <v>39367</v>
          </cell>
        </row>
        <row r="71">
          <cell r="A71">
            <v>39388</v>
          </cell>
        </row>
        <row r="72">
          <cell r="A72">
            <v>39401</v>
          </cell>
        </row>
        <row r="73">
          <cell r="A73">
            <v>39441</v>
          </cell>
        </row>
        <row r="74">
          <cell r="A74">
            <v>39448</v>
          </cell>
        </row>
        <row r="75">
          <cell r="A75">
            <v>39482</v>
          </cell>
        </row>
        <row r="76">
          <cell r="A76">
            <v>39483</v>
          </cell>
        </row>
        <row r="77">
          <cell r="A77">
            <v>39528</v>
          </cell>
        </row>
        <row r="78">
          <cell r="A78">
            <v>39559</v>
          </cell>
        </row>
        <row r="79">
          <cell r="A79">
            <v>39569</v>
          </cell>
        </row>
        <row r="80">
          <cell r="A80">
            <v>39590</v>
          </cell>
        </row>
        <row r="81">
          <cell r="A81">
            <v>39698</v>
          </cell>
        </row>
        <row r="82">
          <cell r="A82">
            <v>39733</v>
          </cell>
        </row>
        <row r="83">
          <cell r="A83">
            <v>39754</v>
          </cell>
        </row>
        <row r="84">
          <cell r="A84">
            <v>39767</v>
          </cell>
        </row>
        <row r="85">
          <cell r="A85">
            <v>39807</v>
          </cell>
        </row>
        <row r="86">
          <cell r="A86">
            <v>39814</v>
          </cell>
        </row>
        <row r="87">
          <cell r="A87">
            <v>39867</v>
          </cell>
        </row>
        <row r="88">
          <cell r="A88">
            <v>39868</v>
          </cell>
        </row>
        <row r="89">
          <cell r="A89">
            <v>39913</v>
          </cell>
        </row>
        <row r="90">
          <cell r="A90">
            <v>39924</v>
          </cell>
        </row>
        <row r="91">
          <cell r="A91">
            <v>39934</v>
          </cell>
        </row>
        <row r="92">
          <cell r="A92">
            <v>39975</v>
          </cell>
        </row>
        <row r="93">
          <cell r="A93">
            <v>40063</v>
          </cell>
        </row>
        <row r="94">
          <cell r="A94">
            <v>40098</v>
          </cell>
        </row>
        <row r="95">
          <cell r="A95">
            <v>40119</v>
          </cell>
        </row>
        <row r="96">
          <cell r="A96">
            <v>40132</v>
          </cell>
        </row>
        <row r="97">
          <cell r="A97">
            <v>40172</v>
          </cell>
        </row>
        <row r="98">
          <cell r="A98">
            <v>40179</v>
          </cell>
        </row>
        <row r="99">
          <cell r="A99">
            <v>40224</v>
          </cell>
        </row>
        <row r="100">
          <cell r="A100">
            <v>40225</v>
          </cell>
        </row>
        <row r="101">
          <cell r="A101">
            <v>40270</v>
          </cell>
        </row>
        <row r="102">
          <cell r="A102">
            <v>40289</v>
          </cell>
        </row>
        <row r="103">
          <cell r="A103">
            <v>40299</v>
          </cell>
        </row>
        <row r="104">
          <cell r="A104">
            <v>40332</v>
          </cell>
        </row>
        <row r="105">
          <cell r="A105">
            <v>40428</v>
          </cell>
        </row>
        <row r="106">
          <cell r="A106">
            <v>40463</v>
          </cell>
        </row>
        <row r="107">
          <cell r="A107">
            <v>40484</v>
          </cell>
        </row>
        <row r="108">
          <cell r="A108">
            <v>40497</v>
          </cell>
        </row>
        <row r="109">
          <cell r="A109">
            <v>40537</v>
          </cell>
        </row>
        <row r="110">
          <cell r="A110">
            <v>40544</v>
          </cell>
        </row>
        <row r="111">
          <cell r="A111">
            <v>40609</v>
          </cell>
        </row>
        <row r="112">
          <cell r="A112">
            <v>40610</v>
          </cell>
        </row>
        <row r="113">
          <cell r="A113">
            <v>40654</v>
          </cell>
        </row>
        <row r="114">
          <cell r="A114">
            <v>40655</v>
          </cell>
        </row>
        <row r="115">
          <cell r="A115">
            <v>40664</v>
          </cell>
        </row>
        <row r="116">
          <cell r="A116">
            <v>40717</v>
          </cell>
        </row>
        <row r="117">
          <cell r="A117">
            <v>40793</v>
          </cell>
        </row>
        <row r="118">
          <cell r="A118">
            <v>40828</v>
          </cell>
        </row>
        <row r="119">
          <cell r="A119">
            <v>40849</v>
          </cell>
        </row>
        <row r="120">
          <cell r="A120">
            <v>40862</v>
          </cell>
        </row>
        <row r="121">
          <cell r="A121">
            <v>40902</v>
          </cell>
        </row>
        <row r="122">
          <cell r="A122">
            <v>40909</v>
          </cell>
        </row>
        <row r="123">
          <cell r="A123">
            <v>40959</v>
          </cell>
        </row>
        <row r="124">
          <cell r="A124">
            <v>40960</v>
          </cell>
        </row>
        <row r="125">
          <cell r="A125">
            <v>41005</v>
          </cell>
        </row>
        <row r="126">
          <cell r="A126">
            <v>41030</v>
          </cell>
        </row>
        <row r="127">
          <cell r="A127">
            <v>41067</v>
          </cell>
        </row>
        <row r="128">
          <cell r="A128">
            <v>41159</v>
          </cell>
        </row>
        <row r="129">
          <cell r="A129">
            <v>41194</v>
          </cell>
        </row>
        <row r="130">
          <cell r="A130">
            <v>41215</v>
          </cell>
        </row>
        <row r="131">
          <cell r="A131">
            <v>41228</v>
          </cell>
        </row>
        <row r="132">
          <cell r="A132">
            <v>41268</v>
          </cell>
        </row>
        <row r="133">
          <cell r="A133">
            <v>41275</v>
          </cell>
        </row>
        <row r="134">
          <cell r="A134">
            <v>41316</v>
          </cell>
        </row>
        <row r="135">
          <cell r="A135">
            <v>41317</v>
          </cell>
        </row>
        <row r="136">
          <cell r="A136">
            <v>41362</v>
          </cell>
        </row>
        <row r="137">
          <cell r="A137">
            <v>41385</v>
          </cell>
        </row>
        <row r="138">
          <cell r="A138">
            <v>41395</v>
          </cell>
        </row>
        <row r="139">
          <cell r="A139">
            <v>41424</v>
          </cell>
        </row>
        <row r="140">
          <cell r="A140">
            <v>41524</v>
          </cell>
        </row>
        <row r="141">
          <cell r="A141">
            <v>41559</v>
          </cell>
        </row>
        <row r="142">
          <cell r="A142">
            <v>41580</v>
          </cell>
        </row>
        <row r="143">
          <cell r="A143">
            <v>41593</v>
          </cell>
        </row>
        <row r="144">
          <cell r="A144">
            <v>41633</v>
          </cell>
        </row>
        <row r="145">
          <cell r="A145">
            <v>41640</v>
          </cell>
        </row>
        <row r="146">
          <cell r="A146">
            <v>41701</v>
          </cell>
        </row>
        <row r="147">
          <cell r="A147">
            <v>41702</v>
          </cell>
        </row>
        <row r="148">
          <cell r="A148">
            <v>41747</v>
          </cell>
        </row>
        <row r="149">
          <cell r="A149">
            <v>41750</v>
          </cell>
        </row>
        <row r="150">
          <cell r="A150">
            <v>41760</v>
          </cell>
        </row>
        <row r="151">
          <cell r="A151">
            <v>41809</v>
          </cell>
        </row>
        <row r="152">
          <cell r="A152">
            <v>41889</v>
          </cell>
        </row>
        <row r="153">
          <cell r="A153">
            <v>41924</v>
          </cell>
        </row>
        <row r="154">
          <cell r="A154">
            <v>41945</v>
          </cell>
        </row>
        <row r="155">
          <cell r="A155">
            <v>41958</v>
          </cell>
        </row>
        <row r="156">
          <cell r="A156">
            <v>41998</v>
          </cell>
        </row>
        <row r="157">
          <cell r="A157">
            <v>42005</v>
          </cell>
        </row>
        <row r="158">
          <cell r="A158">
            <v>42051</v>
          </cell>
        </row>
        <row r="159">
          <cell r="A159">
            <v>42052</v>
          </cell>
        </row>
        <row r="160">
          <cell r="A160">
            <v>42097</v>
          </cell>
        </row>
        <row r="161">
          <cell r="A161">
            <v>42115</v>
          </cell>
        </row>
        <row r="162">
          <cell r="A162">
            <v>42125</v>
          </cell>
        </row>
        <row r="163">
          <cell r="A163">
            <v>42159</v>
          </cell>
        </row>
        <row r="164">
          <cell r="A164">
            <v>42254</v>
          </cell>
        </row>
        <row r="165">
          <cell r="A165">
            <v>42289</v>
          </cell>
        </row>
        <row r="166">
          <cell r="A166">
            <v>42310</v>
          </cell>
        </row>
        <row r="167">
          <cell r="A167">
            <v>42323</v>
          </cell>
        </row>
        <row r="168">
          <cell r="A168">
            <v>42363</v>
          </cell>
        </row>
        <row r="169">
          <cell r="A169">
            <v>42370</v>
          </cell>
        </row>
        <row r="170">
          <cell r="A170">
            <v>42408</v>
          </cell>
        </row>
        <row r="171">
          <cell r="A171">
            <v>42409</v>
          </cell>
        </row>
        <row r="172">
          <cell r="A172">
            <v>42454</v>
          </cell>
        </row>
        <row r="173">
          <cell r="A173">
            <v>42481</v>
          </cell>
        </row>
        <row r="174">
          <cell r="A174">
            <v>42491</v>
          </cell>
        </row>
        <row r="175">
          <cell r="A175">
            <v>42516</v>
          </cell>
        </row>
        <row r="176">
          <cell r="A176">
            <v>42620</v>
          </cell>
        </row>
        <row r="177">
          <cell r="A177">
            <v>42655</v>
          </cell>
        </row>
        <row r="178">
          <cell r="A178">
            <v>42676</v>
          </cell>
        </row>
        <row r="179">
          <cell r="A179">
            <v>42689</v>
          </cell>
        </row>
        <row r="180">
          <cell r="A180">
            <v>42729</v>
          </cell>
        </row>
        <row r="181">
          <cell r="A181">
            <v>42736</v>
          </cell>
        </row>
        <row r="182">
          <cell r="A182">
            <v>42793</v>
          </cell>
        </row>
        <row r="183">
          <cell r="A183">
            <v>42794</v>
          </cell>
        </row>
        <row r="184">
          <cell r="A184">
            <v>42839</v>
          </cell>
        </row>
        <row r="185">
          <cell r="A185">
            <v>42846</v>
          </cell>
        </row>
        <row r="186">
          <cell r="A186">
            <v>42856</v>
          </cell>
        </row>
        <row r="187">
          <cell r="A187">
            <v>42901</v>
          </cell>
        </row>
        <row r="188">
          <cell r="A188">
            <v>42985</v>
          </cell>
        </row>
        <row r="189">
          <cell r="A189">
            <v>43020</v>
          </cell>
        </row>
        <row r="190">
          <cell r="A190">
            <v>43041</v>
          </cell>
        </row>
        <row r="191">
          <cell r="A191">
            <v>43054</v>
          </cell>
        </row>
        <row r="192">
          <cell r="A192">
            <v>43094</v>
          </cell>
        </row>
        <row r="193">
          <cell r="A193">
            <v>43101</v>
          </cell>
        </row>
        <row r="194">
          <cell r="A194">
            <v>43143</v>
          </cell>
        </row>
        <row r="195">
          <cell r="A195">
            <v>43144</v>
          </cell>
        </row>
        <row r="196">
          <cell r="A196">
            <v>43189</v>
          </cell>
        </row>
        <row r="197">
          <cell r="A197">
            <v>43211</v>
          </cell>
        </row>
        <row r="198">
          <cell r="A198">
            <v>43221</v>
          </cell>
        </row>
        <row r="199">
          <cell r="A199">
            <v>43251</v>
          </cell>
        </row>
        <row r="200">
          <cell r="A200">
            <v>43350</v>
          </cell>
        </row>
        <row r="201">
          <cell r="A201">
            <v>43385</v>
          </cell>
        </row>
        <row r="202">
          <cell r="A202">
            <v>43406</v>
          </cell>
        </row>
        <row r="203">
          <cell r="A203">
            <v>43419</v>
          </cell>
        </row>
        <row r="204">
          <cell r="A204">
            <v>43459</v>
          </cell>
        </row>
        <row r="205">
          <cell r="A205">
            <v>43466</v>
          </cell>
        </row>
        <row r="206">
          <cell r="A206">
            <v>43528</v>
          </cell>
        </row>
        <row r="207">
          <cell r="A207">
            <v>43529</v>
          </cell>
        </row>
        <row r="208">
          <cell r="A208">
            <v>43574</v>
          </cell>
        </row>
        <row r="209">
          <cell r="A209">
            <v>43576</v>
          </cell>
        </row>
        <row r="210">
          <cell r="A210">
            <v>43586</v>
          </cell>
        </row>
        <row r="211">
          <cell r="A211">
            <v>43636</v>
          </cell>
        </row>
        <row r="212">
          <cell r="A212">
            <v>43715</v>
          </cell>
        </row>
        <row r="213">
          <cell r="A213">
            <v>43750</v>
          </cell>
        </row>
        <row r="214">
          <cell r="A214">
            <v>43771</v>
          </cell>
        </row>
        <row r="215">
          <cell r="A215">
            <v>43784</v>
          </cell>
        </row>
        <row r="216">
          <cell r="A216">
            <v>43824</v>
          </cell>
        </row>
        <row r="217">
          <cell r="A217">
            <v>43831</v>
          </cell>
        </row>
        <row r="218">
          <cell r="A218">
            <v>43885</v>
          </cell>
        </row>
        <row r="219">
          <cell r="A219">
            <v>43886</v>
          </cell>
        </row>
        <row r="220">
          <cell r="A220">
            <v>43931</v>
          </cell>
        </row>
        <row r="221">
          <cell r="A221">
            <v>43942</v>
          </cell>
        </row>
        <row r="222">
          <cell r="A222">
            <v>43952</v>
          </cell>
        </row>
        <row r="223">
          <cell r="A223">
            <v>43993</v>
          </cell>
        </row>
        <row r="224">
          <cell r="A224">
            <v>44081</v>
          </cell>
        </row>
        <row r="225">
          <cell r="A225">
            <v>44116</v>
          </cell>
        </row>
        <row r="226">
          <cell r="A226">
            <v>44137</v>
          </cell>
        </row>
        <row r="227">
          <cell r="A227">
            <v>44150</v>
          </cell>
        </row>
        <row r="228">
          <cell r="A228">
            <v>44190</v>
          </cell>
        </row>
        <row r="229">
          <cell r="A229">
            <v>44197</v>
          </cell>
        </row>
        <row r="230">
          <cell r="A230">
            <v>44242</v>
          </cell>
        </row>
        <row r="231">
          <cell r="A231">
            <v>44243</v>
          </cell>
        </row>
        <row r="232">
          <cell r="A232">
            <v>44288</v>
          </cell>
        </row>
        <row r="233">
          <cell r="A233">
            <v>44307</v>
          </cell>
        </row>
        <row r="234">
          <cell r="A234">
            <v>44317</v>
          </cell>
        </row>
        <row r="235">
          <cell r="A235">
            <v>44350</v>
          </cell>
        </row>
        <row r="236">
          <cell r="A236">
            <v>44446</v>
          </cell>
        </row>
        <row r="237">
          <cell r="A237">
            <v>44481</v>
          </cell>
        </row>
        <row r="238">
          <cell r="A238">
            <v>44502</v>
          </cell>
        </row>
        <row r="239">
          <cell r="A239">
            <v>44515</v>
          </cell>
        </row>
        <row r="240">
          <cell r="A240">
            <v>44555</v>
          </cell>
        </row>
        <row r="241">
          <cell r="A241">
            <v>44562</v>
          </cell>
        </row>
        <row r="242">
          <cell r="A242">
            <v>44620</v>
          </cell>
        </row>
        <row r="243">
          <cell r="A243">
            <v>44621</v>
          </cell>
        </row>
        <row r="244">
          <cell r="A244">
            <v>44666</v>
          </cell>
        </row>
        <row r="245">
          <cell r="A245">
            <v>44672</v>
          </cell>
        </row>
        <row r="246">
          <cell r="A246">
            <v>44682</v>
          </cell>
        </row>
        <row r="247">
          <cell r="A247">
            <v>44728</v>
          </cell>
        </row>
        <row r="248">
          <cell r="A248">
            <v>44811</v>
          </cell>
        </row>
        <row r="249">
          <cell r="A249">
            <v>44846</v>
          </cell>
        </row>
        <row r="250">
          <cell r="A250">
            <v>44867</v>
          </cell>
        </row>
        <row r="251">
          <cell r="A251">
            <v>44880</v>
          </cell>
        </row>
        <row r="252">
          <cell r="A252">
            <v>44920</v>
          </cell>
        </row>
        <row r="253">
          <cell r="A253">
            <v>44927</v>
          </cell>
        </row>
        <row r="254">
          <cell r="A254">
            <v>44977</v>
          </cell>
        </row>
        <row r="255">
          <cell r="A255">
            <v>44978</v>
          </cell>
        </row>
        <row r="256">
          <cell r="A256">
            <v>45023</v>
          </cell>
        </row>
        <row r="257">
          <cell r="A257">
            <v>45037</v>
          </cell>
        </row>
        <row r="258">
          <cell r="A258">
            <v>45047</v>
          </cell>
        </row>
        <row r="259">
          <cell r="A259">
            <v>45085</v>
          </cell>
        </row>
        <row r="260">
          <cell r="A260">
            <v>45176</v>
          </cell>
        </row>
        <row r="261">
          <cell r="A261">
            <v>45211</v>
          </cell>
        </row>
        <row r="262">
          <cell r="A262">
            <v>45232</v>
          </cell>
        </row>
        <row r="263">
          <cell r="A263">
            <v>45245</v>
          </cell>
        </row>
        <row r="264">
          <cell r="A264">
            <v>45285</v>
          </cell>
        </row>
        <row r="265">
          <cell r="A265">
            <v>45292</v>
          </cell>
        </row>
        <row r="266">
          <cell r="A266">
            <v>45334</v>
          </cell>
        </row>
        <row r="267">
          <cell r="A267">
            <v>45335</v>
          </cell>
        </row>
        <row r="268">
          <cell r="A268">
            <v>45380</v>
          </cell>
        </row>
        <row r="269">
          <cell r="A269">
            <v>45403</v>
          </cell>
        </row>
        <row r="270">
          <cell r="A270">
            <v>45413</v>
          </cell>
        </row>
        <row r="271">
          <cell r="A271">
            <v>45442</v>
          </cell>
        </row>
        <row r="272">
          <cell r="A272">
            <v>45542</v>
          </cell>
        </row>
        <row r="273">
          <cell r="A273">
            <v>45577</v>
          </cell>
        </row>
        <row r="274">
          <cell r="A274">
            <v>45598</v>
          </cell>
        </row>
        <row r="275">
          <cell r="A275">
            <v>45611</v>
          </cell>
        </row>
        <row r="276">
          <cell r="A276">
            <v>45651</v>
          </cell>
        </row>
        <row r="277">
          <cell r="A277">
            <v>45658</v>
          </cell>
        </row>
        <row r="278">
          <cell r="A278">
            <v>45719</v>
          </cell>
        </row>
        <row r="279">
          <cell r="A279">
            <v>45720</v>
          </cell>
        </row>
        <row r="280">
          <cell r="A280">
            <v>45765</v>
          </cell>
        </row>
        <row r="281">
          <cell r="A281">
            <v>45768</v>
          </cell>
        </row>
        <row r="282">
          <cell r="A282">
            <v>45778</v>
          </cell>
        </row>
        <row r="283">
          <cell r="A283">
            <v>45827</v>
          </cell>
        </row>
        <row r="284">
          <cell r="A284">
            <v>45907</v>
          </cell>
        </row>
        <row r="285">
          <cell r="A285">
            <v>45942</v>
          </cell>
        </row>
        <row r="286">
          <cell r="A286">
            <v>45963</v>
          </cell>
        </row>
        <row r="287">
          <cell r="A287">
            <v>45976</v>
          </cell>
        </row>
        <row r="288">
          <cell r="A288">
            <v>46016</v>
          </cell>
        </row>
        <row r="289">
          <cell r="A289">
            <v>46023</v>
          </cell>
        </row>
        <row r="290">
          <cell r="A290">
            <v>46069</v>
          </cell>
        </row>
        <row r="291">
          <cell r="A291">
            <v>46070</v>
          </cell>
        </row>
        <row r="292">
          <cell r="A292">
            <v>46115</v>
          </cell>
        </row>
        <row r="293">
          <cell r="A293">
            <v>46133</v>
          </cell>
        </row>
        <row r="294">
          <cell r="A294">
            <v>46143</v>
          </cell>
        </row>
        <row r="295">
          <cell r="A295">
            <v>46177</v>
          </cell>
        </row>
        <row r="296">
          <cell r="A296">
            <v>46272</v>
          </cell>
        </row>
        <row r="297">
          <cell r="A297">
            <v>46307</v>
          </cell>
        </row>
        <row r="298">
          <cell r="A298">
            <v>46328</v>
          </cell>
        </row>
        <row r="299">
          <cell r="A299">
            <v>46341</v>
          </cell>
        </row>
        <row r="300">
          <cell r="A300">
            <v>46381</v>
          </cell>
        </row>
        <row r="301">
          <cell r="A301">
            <v>46388</v>
          </cell>
        </row>
        <row r="302">
          <cell r="A302">
            <v>46426</v>
          </cell>
        </row>
        <row r="303">
          <cell r="A303">
            <v>46427</v>
          </cell>
        </row>
        <row r="304">
          <cell r="A304">
            <v>46472</v>
          </cell>
        </row>
        <row r="305">
          <cell r="A305">
            <v>46498</v>
          </cell>
        </row>
        <row r="306">
          <cell r="A306">
            <v>46508</v>
          </cell>
        </row>
        <row r="307">
          <cell r="A307">
            <v>46534</v>
          </cell>
        </row>
        <row r="308">
          <cell r="A308">
            <v>46637</v>
          </cell>
        </row>
        <row r="309">
          <cell r="A309">
            <v>46672</v>
          </cell>
        </row>
        <row r="310">
          <cell r="A310">
            <v>46693</v>
          </cell>
        </row>
        <row r="311">
          <cell r="A311">
            <v>46706</v>
          </cell>
        </row>
        <row r="312">
          <cell r="A312">
            <v>46746</v>
          </cell>
        </row>
        <row r="313">
          <cell r="A313">
            <v>46753</v>
          </cell>
        </row>
        <row r="314">
          <cell r="A314">
            <v>46811</v>
          </cell>
        </row>
        <row r="315">
          <cell r="A315">
            <v>46812</v>
          </cell>
        </row>
        <row r="316">
          <cell r="A316">
            <v>46857</v>
          </cell>
        </row>
        <row r="317">
          <cell r="A317">
            <v>46864</v>
          </cell>
        </row>
        <row r="318">
          <cell r="A318">
            <v>46874</v>
          </cell>
        </row>
        <row r="319">
          <cell r="A319">
            <v>46919</v>
          </cell>
        </row>
        <row r="320">
          <cell r="A320">
            <v>47003</v>
          </cell>
        </row>
        <row r="321">
          <cell r="A321">
            <v>47038</v>
          </cell>
        </row>
        <row r="322">
          <cell r="A322">
            <v>47059</v>
          </cell>
        </row>
        <row r="323">
          <cell r="A323">
            <v>47072</v>
          </cell>
        </row>
        <row r="324">
          <cell r="A324">
            <v>47112</v>
          </cell>
        </row>
        <row r="325">
          <cell r="A325">
            <v>47119</v>
          </cell>
        </row>
        <row r="326">
          <cell r="A326">
            <v>47161</v>
          </cell>
        </row>
        <row r="327">
          <cell r="A327">
            <v>47162</v>
          </cell>
        </row>
        <row r="328">
          <cell r="A328">
            <v>47207</v>
          </cell>
        </row>
        <row r="329">
          <cell r="A329">
            <v>47229</v>
          </cell>
        </row>
        <row r="330">
          <cell r="A330">
            <v>47239</v>
          </cell>
        </row>
        <row r="331">
          <cell r="A331">
            <v>47269</v>
          </cell>
        </row>
        <row r="332">
          <cell r="A332">
            <v>47368</v>
          </cell>
        </row>
        <row r="333">
          <cell r="A333">
            <v>47403</v>
          </cell>
        </row>
        <row r="334">
          <cell r="A334">
            <v>47424</v>
          </cell>
        </row>
        <row r="335">
          <cell r="A335">
            <v>47437</v>
          </cell>
        </row>
        <row r="336">
          <cell r="A336">
            <v>47477</v>
          </cell>
        </row>
        <row r="337">
          <cell r="A337">
            <v>47484</v>
          </cell>
        </row>
        <row r="338">
          <cell r="A338">
            <v>47546</v>
          </cell>
        </row>
        <row r="339">
          <cell r="A339">
            <v>47547</v>
          </cell>
        </row>
        <row r="340">
          <cell r="A340">
            <v>47592</v>
          </cell>
        </row>
        <row r="341">
          <cell r="A341">
            <v>47594</v>
          </cell>
        </row>
        <row r="342">
          <cell r="A342">
            <v>47604</v>
          </cell>
        </row>
        <row r="343">
          <cell r="A343">
            <v>47654</v>
          </cell>
        </row>
        <row r="344">
          <cell r="A344">
            <v>47733</v>
          </cell>
        </row>
        <row r="345">
          <cell r="A345">
            <v>47768</v>
          </cell>
        </row>
        <row r="346">
          <cell r="A346">
            <v>47789</v>
          </cell>
        </row>
        <row r="347">
          <cell r="A347">
            <v>47802</v>
          </cell>
        </row>
        <row r="348">
          <cell r="A348">
            <v>47842</v>
          </cell>
        </row>
        <row r="349">
          <cell r="A349">
            <v>47849</v>
          </cell>
        </row>
        <row r="350">
          <cell r="A350">
            <v>47903</v>
          </cell>
        </row>
        <row r="351">
          <cell r="A351">
            <v>47904</v>
          </cell>
        </row>
        <row r="352">
          <cell r="A352">
            <v>47949</v>
          </cell>
        </row>
        <row r="353">
          <cell r="A353">
            <v>47959</v>
          </cell>
        </row>
        <row r="354">
          <cell r="A354">
            <v>47969</v>
          </cell>
        </row>
        <row r="355">
          <cell r="A355">
            <v>48011</v>
          </cell>
        </row>
        <row r="356">
          <cell r="A356">
            <v>48098</v>
          </cell>
        </row>
        <row r="357">
          <cell r="A357">
            <v>48133</v>
          </cell>
        </row>
        <row r="358">
          <cell r="A358">
            <v>48154</v>
          </cell>
        </row>
        <row r="359">
          <cell r="A359">
            <v>48167</v>
          </cell>
        </row>
        <row r="360">
          <cell r="A360">
            <v>48207</v>
          </cell>
        </row>
        <row r="361">
          <cell r="A361">
            <v>48214</v>
          </cell>
        </row>
        <row r="362">
          <cell r="A362">
            <v>48253</v>
          </cell>
        </row>
        <row r="363">
          <cell r="A363">
            <v>48254</v>
          </cell>
        </row>
        <row r="364">
          <cell r="A364">
            <v>48299</v>
          </cell>
        </row>
        <row r="365">
          <cell r="A365">
            <v>48325</v>
          </cell>
        </row>
        <row r="366">
          <cell r="A366">
            <v>48361</v>
          </cell>
        </row>
        <row r="367">
          <cell r="A367">
            <v>48464</v>
          </cell>
        </row>
        <row r="368">
          <cell r="A368">
            <v>48499</v>
          </cell>
        </row>
        <row r="369">
          <cell r="A369">
            <v>48520</v>
          </cell>
        </row>
        <row r="370">
          <cell r="A370">
            <v>48533</v>
          </cell>
        </row>
        <row r="371">
          <cell r="A371">
            <v>48638</v>
          </cell>
        </row>
        <row r="372">
          <cell r="A372">
            <v>48639</v>
          </cell>
        </row>
        <row r="373">
          <cell r="A373">
            <v>48684</v>
          </cell>
        </row>
        <row r="374">
          <cell r="A374">
            <v>48690</v>
          </cell>
        </row>
        <row r="375">
          <cell r="A375">
            <v>48746</v>
          </cell>
        </row>
        <row r="376">
          <cell r="A376">
            <v>48829</v>
          </cell>
        </row>
        <row r="377">
          <cell r="A377">
            <v>48864</v>
          </cell>
        </row>
        <row r="378">
          <cell r="A378">
            <v>48885</v>
          </cell>
        </row>
        <row r="379">
          <cell r="A379">
            <v>48898</v>
          </cell>
        </row>
        <row r="380">
          <cell r="A380">
            <v>48995</v>
          </cell>
        </row>
        <row r="381">
          <cell r="A381">
            <v>48996</v>
          </cell>
        </row>
        <row r="382">
          <cell r="A382">
            <v>49041</v>
          </cell>
        </row>
        <row r="383">
          <cell r="A383">
            <v>49055</v>
          </cell>
        </row>
        <row r="384">
          <cell r="A384">
            <v>49065</v>
          </cell>
        </row>
        <row r="385">
          <cell r="A385">
            <v>49103</v>
          </cell>
        </row>
        <row r="386">
          <cell r="A386">
            <v>49194</v>
          </cell>
        </row>
        <row r="387">
          <cell r="A387">
            <v>49229</v>
          </cell>
        </row>
        <row r="388">
          <cell r="A388">
            <v>49250</v>
          </cell>
        </row>
        <row r="389">
          <cell r="A389">
            <v>49263</v>
          </cell>
        </row>
        <row r="390">
          <cell r="A390">
            <v>49303</v>
          </cell>
        </row>
        <row r="391">
          <cell r="A391">
            <v>49310</v>
          </cell>
        </row>
        <row r="392">
          <cell r="A392">
            <v>49345</v>
          </cell>
        </row>
        <row r="393">
          <cell r="A393">
            <v>49346</v>
          </cell>
        </row>
        <row r="394">
          <cell r="A394">
            <v>49391</v>
          </cell>
        </row>
        <row r="395">
          <cell r="A395">
            <v>49430</v>
          </cell>
        </row>
        <row r="396">
          <cell r="A396">
            <v>49453</v>
          </cell>
        </row>
        <row r="397">
          <cell r="A397">
            <v>49559</v>
          </cell>
        </row>
        <row r="398">
          <cell r="A398">
            <v>49594</v>
          </cell>
        </row>
        <row r="399">
          <cell r="A399">
            <v>49615</v>
          </cell>
        </row>
        <row r="400">
          <cell r="A400">
            <v>49628</v>
          </cell>
        </row>
        <row r="401">
          <cell r="A401">
            <v>49668</v>
          </cell>
        </row>
        <row r="402">
          <cell r="A402">
            <v>49675</v>
          </cell>
        </row>
        <row r="403">
          <cell r="A403">
            <v>49730</v>
          </cell>
        </row>
        <row r="404">
          <cell r="A404">
            <v>49731</v>
          </cell>
        </row>
        <row r="405">
          <cell r="A405">
            <v>49776</v>
          </cell>
        </row>
        <row r="406">
          <cell r="A406">
            <v>49786</v>
          </cell>
        </row>
        <row r="407">
          <cell r="A407">
            <v>49796</v>
          </cell>
        </row>
        <row r="408">
          <cell r="A408">
            <v>49838</v>
          </cell>
        </row>
        <row r="409">
          <cell r="A409">
            <v>50034</v>
          </cell>
        </row>
        <row r="410">
          <cell r="A410">
            <v>50041</v>
          </cell>
        </row>
        <row r="411">
          <cell r="A411">
            <v>50087</v>
          </cell>
        </row>
        <row r="412">
          <cell r="A412">
            <v>50088</v>
          </cell>
        </row>
        <row r="413">
          <cell r="A413">
            <v>50133</v>
          </cell>
        </row>
        <row r="414">
          <cell r="A414">
            <v>50151</v>
          </cell>
        </row>
        <row r="415">
          <cell r="A415">
            <v>50161</v>
          </cell>
        </row>
        <row r="416">
          <cell r="A416">
            <v>50195</v>
          </cell>
        </row>
        <row r="417">
          <cell r="A417">
            <v>50290</v>
          </cell>
        </row>
        <row r="418">
          <cell r="A418">
            <v>50325</v>
          </cell>
        </row>
        <row r="419">
          <cell r="A419">
            <v>50346</v>
          </cell>
        </row>
        <row r="420">
          <cell r="A420">
            <v>50399</v>
          </cell>
        </row>
        <row r="421">
          <cell r="A421">
            <v>50406</v>
          </cell>
        </row>
        <row r="422">
          <cell r="A422">
            <v>50472</v>
          </cell>
        </row>
        <row r="423">
          <cell r="A423">
            <v>50473</v>
          </cell>
        </row>
        <row r="424">
          <cell r="A424">
            <v>50516</v>
          </cell>
        </row>
        <row r="425">
          <cell r="A425">
            <v>50518</v>
          </cell>
        </row>
        <row r="426">
          <cell r="A426">
            <v>50580</v>
          </cell>
        </row>
        <row r="427">
          <cell r="A427">
            <v>50655</v>
          </cell>
        </row>
        <row r="428">
          <cell r="A428">
            <v>50690</v>
          </cell>
        </row>
        <row r="429">
          <cell r="A429">
            <v>50711</v>
          </cell>
        </row>
        <row r="430">
          <cell r="A430">
            <v>50724</v>
          </cell>
        </row>
        <row r="431">
          <cell r="A431">
            <v>50822</v>
          </cell>
        </row>
        <row r="432">
          <cell r="A432">
            <v>50823</v>
          </cell>
        </row>
        <row r="433">
          <cell r="A433">
            <v>50868</v>
          </cell>
        </row>
        <row r="434">
          <cell r="A434">
            <v>50881</v>
          </cell>
        </row>
        <row r="435">
          <cell r="A435">
            <v>50930</v>
          </cell>
        </row>
        <row r="436">
          <cell r="A436">
            <v>51020</v>
          </cell>
        </row>
        <row r="437">
          <cell r="A437">
            <v>51055</v>
          </cell>
        </row>
        <row r="438">
          <cell r="A438">
            <v>51076</v>
          </cell>
        </row>
        <row r="439">
          <cell r="A439">
            <v>51089</v>
          </cell>
        </row>
        <row r="440">
          <cell r="A440">
            <v>51179</v>
          </cell>
        </row>
        <row r="441">
          <cell r="A441">
            <v>51180</v>
          </cell>
        </row>
        <row r="442">
          <cell r="A442">
            <v>51225</v>
          </cell>
        </row>
        <row r="443">
          <cell r="A443">
            <v>51257</v>
          </cell>
        </row>
        <row r="444">
          <cell r="A444">
            <v>51287</v>
          </cell>
        </row>
        <row r="445">
          <cell r="A445">
            <v>51386</v>
          </cell>
        </row>
        <row r="446">
          <cell r="A446">
            <v>51421</v>
          </cell>
        </row>
        <row r="447">
          <cell r="A447">
            <v>51442</v>
          </cell>
        </row>
        <row r="448">
          <cell r="A448">
            <v>51455</v>
          </cell>
        </row>
        <row r="449">
          <cell r="A449">
            <v>51495</v>
          </cell>
        </row>
        <row r="450">
          <cell r="A450">
            <v>51502</v>
          </cell>
        </row>
        <row r="451">
          <cell r="A451">
            <v>51564</v>
          </cell>
        </row>
        <row r="452">
          <cell r="A452">
            <v>51565</v>
          </cell>
        </row>
        <row r="453">
          <cell r="A453">
            <v>51610</v>
          </cell>
        </row>
        <row r="454">
          <cell r="A454">
            <v>51622</v>
          </cell>
        </row>
        <row r="455">
          <cell r="A455">
            <v>51672</v>
          </cell>
        </row>
        <row r="456">
          <cell r="A456">
            <v>51820</v>
          </cell>
        </row>
        <row r="457">
          <cell r="A457">
            <v>51860</v>
          </cell>
        </row>
        <row r="458">
          <cell r="A458">
            <v>51867</v>
          </cell>
        </row>
        <row r="459">
          <cell r="A459">
            <v>51914</v>
          </cell>
        </row>
        <row r="460">
          <cell r="A460">
            <v>51915</v>
          </cell>
        </row>
        <row r="461">
          <cell r="A461">
            <v>51960</v>
          </cell>
        </row>
        <row r="462">
          <cell r="A462">
            <v>51977</v>
          </cell>
        </row>
        <row r="463">
          <cell r="A463">
            <v>51987</v>
          </cell>
        </row>
        <row r="464">
          <cell r="A464">
            <v>52022</v>
          </cell>
        </row>
        <row r="465">
          <cell r="A465">
            <v>52225</v>
          </cell>
        </row>
        <row r="466">
          <cell r="A466">
            <v>52232</v>
          </cell>
        </row>
        <row r="467">
          <cell r="A467">
            <v>52271</v>
          </cell>
        </row>
        <row r="468">
          <cell r="A468">
            <v>52272</v>
          </cell>
        </row>
        <row r="469">
          <cell r="A469">
            <v>52317</v>
          </cell>
        </row>
        <row r="470">
          <cell r="A470">
            <v>52342</v>
          </cell>
        </row>
        <row r="471">
          <cell r="A471">
            <v>52352</v>
          </cell>
        </row>
        <row r="472">
          <cell r="A472">
            <v>52379</v>
          </cell>
        </row>
        <row r="473">
          <cell r="A473">
            <v>52481</v>
          </cell>
        </row>
        <row r="474">
          <cell r="A474">
            <v>52516</v>
          </cell>
        </row>
        <row r="475">
          <cell r="A475">
            <v>52537</v>
          </cell>
        </row>
        <row r="476">
          <cell r="A476">
            <v>52590</v>
          </cell>
        </row>
        <row r="477">
          <cell r="A477">
            <v>52597</v>
          </cell>
        </row>
        <row r="478">
          <cell r="A478">
            <v>52656</v>
          </cell>
        </row>
        <row r="479">
          <cell r="A479">
            <v>52657</v>
          </cell>
        </row>
        <row r="480">
          <cell r="A480">
            <v>52702</v>
          </cell>
        </row>
        <row r="481">
          <cell r="A481">
            <v>52708</v>
          </cell>
        </row>
        <row r="482">
          <cell r="A482">
            <v>52764</v>
          </cell>
        </row>
        <row r="483">
          <cell r="A483">
            <v>52847</v>
          </cell>
        </row>
        <row r="484">
          <cell r="A484">
            <v>52882</v>
          </cell>
        </row>
        <row r="485">
          <cell r="A485">
            <v>52903</v>
          </cell>
        </row>
        <row r="486">
          <cell r="A486">
            <v>52916</v>
          </cell>
        </row>
        <row r="487">
          <cell r="A487">
            <v>53013</v>
          </cell>
        </row>
        <row r="488">
          <cell r="A488">
            <v>53014</v>
          </cell>
        </row>
        <row r="489">
          <cell r="A489">
            <v>53059</v>
          </cell>
        </row>
        <row r="490">
          <cell r="A490">
            <v>53073</v>
          </cell>
        </row>
        <row r="491">
          <cell r="A491">
            <v>53083</v>
          </cell>
        </row>
        <row r="492">
          <cell r="A492">
            <v>53121</v>
          </cell>
        </row>
        <row r="493">
          <cell r="A493">
            <v>53212</v>
          </cell>
        </row>
        <row r="494">
          <cell r="A494">
            <v>53247</v>
          </cell>
        </row>
        <row r="495">
          <cell r="A495">
            <v>53268</v>
          </cell>
        </row>
        <row r="496">
          <cell r="A496">
            <v>53281</v>
          </cell>
        </row>
        <row r="497">
          <cell r="A497">
            <v>53321</v>
          </cell>
        </row>
        <row r="498">
          <cell r="A498">
            <v>53328</v>
          </cell>
        </row>
        <row r="499">
          <cell r="A499">
            <v>53363</v>
          </cell>
        </row>
        <row r="500">
          <cell r="A500">
            <v>53364</v>
          </cell>
        </row>
        <row r="501">
          <cell r="A501">
            <v>53409</v>
          </cell>
        </row>
        <row r="502">
          <cell r="A502">
            <v>53448</v>
          </cell>
        </row>
        <row r="503">
          <cell r="A503">
            <v>53471</v>
          </cell>
        </row>
        <row r="504">
          <cell r="A504">
            <v>53577</v>
          </cell>
        </row>
        <row r="505">
          <cell r="A505">
            <v>53612</v>
          </cell>
        </row>
        <row r="506">
          <cell r="A506">
            <v>53633</v>
          </cell>
        </row>
        <row r="507">
          <cell r="A507">
            <v>53646</v>
          </cell>
        </row>
        <row r="508">
          <cell r="A508">
            <v>53686</v>
          </cell>
        </row>
        <row r="509">
          <cell r="A509">
            <v>53693</v>
          </cell>
        </row>
        <row r="510">
          <cell r="A510">
            <v>53748</v>
          </cell>
        </row>
        <row r="511">
          <cell r="A511">
            <v>53749</v>
          </cell>
        </row>
        <row r="512">
          <cell r="A512">
            <v>53794</v>
          </cell>
        </row>
        <row r="513">
          <cell r="A513">
            <v>53813</v>
          </cell>
        </row>
        <row r="514">
          <cell r="A514">
            <v>53856</v>
          </cell>
        </row>
        <row r="515">
          <cell r="A515">
            <v>54011</v>
          </cell>
        </row>
        <row r="516">
          <cell r="A516">
            <v>54051</v>
          </cell>
        </row>
        <row r="517">
          <cell r="A517">
            <v>54058</v>
          </cell>
        </row>
        <row r="518">
          <cell r="A518">
            <v>54105</v>
          </cell>
        </row>
        <row r="519">
          <cell r="A519">
            <v>54106</v>
          </cell>
        </row>
        <row r="520">
          <cell r="A520">
            <v>54151</v>
          </cell>
        </row>
        <row r="521">
          <cell r="A521">
            <v>54169</v>
          </cell>
        </row>
        <row r="522">
          <cell r="A522">
            <v>54179</v>
          </cell>
        </row>
        <row r="523">
          <cell r="A523">
            <v>54213</v>
          </cell>
        </row>
        <row r="524">
          <cell r="A524">
            <v>54308</v>
          </cell>
        </row>
        <row r="525">
          <cell r="A525">
            <v>54343</v>
          </cell>
        </row>
        <row r="526">
          <cell r="A526">
            <v>54364</v>
          </cell>
        </row>
        <row r="527">
          <cell r="A527">
            <v>54417</v>
          </cell>
        </row>
        <row r="528">
          <cell r="A528">
            <v>54424</v>
          </cell>
        </row>
        <row r="529">
          <cell r="A529">
            <v>54483</v>
          </cell>
        </row>
        <row r="530">
          <cell r="A530">
            <v>54484</v>
          </cell>
        </row>
        <row r="531">
          <cell r="A531">
            <v>54529</v>
          </cell>
        </row>
        <row r="532">
          <cell r="A532">
            <v>54534</v>
          </cell>
        </row>
        <row r="533">
          <cell r="A533">
            <v>54591</v>
          </cell>
        </row>
        <row r="534">
          <cell r="A534">
            <v>54673</v>
          </cell>
        </row>
        <row r="535">
          <cell r="A535">
            <v>54708</v>
          </cell>
        </row>
        <row r="536">
          <cell r="A536">
            <v>54729</v>
          </cell>
        </row>
        <row r="537">
          <cell r="A537">
            <v>54742</v>
          </cell>
        </row>
        <row r="538">
          <cell r="A538">
            <v>54840</v>
          </cell>
        </row>
        <row r="539">
          <cell r="A539">
            <v>54841</v>
          </cell>
        </row>
        <row r="540">
          <cell r="A540">
            <v>54886</v>
          </cell>
        </row>
        <row r="541">
          <cell r="A541">
            <v>54899</v>
          </cell>
        </row>
        <row r="542">
          <cell r="A542">
            <v>54948</v>
          </cell>
        </row>
        <row r="543">
          <cell r="A543">
            <v>55038</v>
          </cell>
        </row>
        <row r="544">
          <cell r="A544">
            <v>55073</v>
          </cell>
        </row>
        <row r="545">
          <cell r="A545">
            <v>55094</v>
          </cell>
        </row>
        <row r="546">
          <cell r="A546">
            <v>55107</v>
          </cell>
        </row>
        <row r="547">
          <cell r="A547">
            <v>55197</v>
          </cell>
        </row>
        <row r="548">
          <cell r="A548">
            <v>55198</v>
          </cell>
        </row>
        <row r="549">
          <cell r="A549">
            <v>55243</v>
          </cell>
        </row>
        <row r="550">
          <cell r="A550">
            <v>55264</v>
          </cell>
        </row>
        <row r="551">
          <cell r="A551">
            <v>55274</v>
          </cell>
        </row>
        <row r="552">
          <cell r="A552">
            <v>55305</v>
          </cell>
        </row>
        <row r="553">
          <cell r="A553">
            <v>55403</v>
          </cell>
        </row>
        <row r="554">
          <cell r="A554">
            <v>55438</v>
          </cell>
        </row>
        <row r="555">
          <cell r="A555">
            <v>55459</v>
          </cell>
        </row>
        <row r="556">
          <cell r="A556">
            <v>55472</v>
          </cell>
        </row>
        <row r="557">
          <cell r="A557">
            <v>55512</v>
          </cell>
        </row>
        <row r="558">
          <cell r="A558">
            <v>55519</v>
          </cell>
        </row>
        <row r="559">
          <cell r="A559">
            <v>55582</v>
          </cell>
        </row>
        <row r="560">
          <cell r="A560">
            <v>55583</v>
          </cell>
        </row>
        <row r="561">
          <cell r="A561">
            <v>55628</v>
          </cell>
        </row>
        <row r="562">
          <cell r="A562">
            <v>55640</v>
          </cell>
        </row>
        <row r="563">
          <cell r="A563">
            <v>55690</v>
          </cell>
        </row>
        <row r="564">
          <cell r="A564">
            <v>55838</v>
          </cell>
        </row>
        <row r="565">
          <cell r="A565">
            <v>55878</v>
          </cell>
        </row>
        <row r="566">
          <cell r="A566">
            <v>55885</v>
          </cell>
        </row>
        <row r="567">
          <cell r="A567">
            <v>55932</v>
          </cell>
        </row>
        <row r="568">
          <cell r="A568">
            <v>55933</v>
          </cell>
        </row>
        <row r="569">
          <cell r="A569">
            <v>55978</v>
          </cell>
        </row>
        <row r="570">
          <cell r="A570">
            <v>55995</v>
          </cell>
        </row>
        <row r="571">
          <cell r="A571">
            <v>56005</v>
          </cell>
        </row>
        <row r="572">
          <cell r="A572">
            <v>56040</v>
          </cell>
        </row>
        <row r="573">
          <cell r="A573">
            <v>56243</v>
          </cell>
        </row>
        <row r="574">
          <cell r="A574">
            <v>56250</v>
          </cell>
        </row>
        <row r="575">
          <cell r="A575">
            <v>56289</v>
          </cell>
        </row>
        <row r="576">
          <cell r="A576">
            <v>56290</v>
          </cell>
        </row>
        <row r="577">
          <cell r="A577">
            <v>56335</v>
          </cell>
        </row>
        <row r="578">
          <cell r="A578">
            <v>56360</v>
          </cell>
        </row>
        <row r="579">
          <cell r="A579">
            <v>56370</v>
          </cell>
        </row>
        <row r="580">
          <cell r="A580">
            <v>56397</v>
          </cell>
        </row>
        <row r="581">
          <cell r="A581">
            <v>56499</v>
          </cell>
        </row>
        <row r="582">
          <cell r="A582">
            <v>56534</v>
          </cell>
        </row>
        <row r="583">
          <cell r="A583">
            <v>56555</v>
          </cell>
        </row>
        <row r="584">
          <cell r="A584">
            <v>56608</v>
          </cell>
        </row>
        <row r="585">
          <cell r="A585">
            <v>56615</v>
          </cell>
        </row>
        <row r="586">
          <cell r="A586">
            <v>56674</v>
          </cell>
        </row>
        <row r="587">
          <cell r="A587">
            <v>56675</v>
          </cell>
        </row>
        <row r="588">
          <cell r="A588">
            <v>56720</v>
          </cell>
        </row>
        <row r="589">
          <cell r="A589">
            <v>56725</v>
          </cell>
        </row>
        <row r="590">
          <cell r="A590">
            <v>56782</v>
          </cell>
        </row>
        <row r="591">
          <cell r="A591">
            <v>56864</v>
          </cell>
        </row>
        <row r="592">
          <cell r="A592">
            <v>56899</v>
          </cell>
        </row>
        <row r="593">
          <cell r="A593">
            <v>56920</v>
          </cell>
        </row>
        <row r="594">
          <cell r="A594">
            <v>56933</v>
          </cell>
        </row>
        <row r="595">
          <cell r="A595">
            <v>57024</v>
          </cell>
        </row>
        <row r="596">
          <cell r="A596">
            <v>57025</v>
          </cell>
        </row>
        <row r="597">
          <cell r="A597">
            <v>57070</v>
          </cell>
        </row>
        <row r="598">
          <cell r="A598">
            <v>57091</v>
          </cell>
        </row>
        <row r="599">
          <cell r="A599">
            <v>57101</v>
          </cell>
        </row>
        <row r="600">
          <cell r="A600">
            <v>57132</v>
          </cell>
        </row>
        <row r="601">
          <cell r="A601">
            <v>57230</v>
          </cell>
        </row>
        <row r="602">
          <cell r="A602">
            <v>57265</v>
          </cell>
        </row>
        <row r="603">
          <cell r="A603">
            <v>57286</v>
          </cell>
        </row>
        <row r="604">
          <cell r="A604">
            <v>57299</v>
          </cell>
        </row>
        <row r="605">
          <cell r="A605">
            <v>57339</v>
          </cell>
        </row>
        <row r="606">
          <cell r="A606">
            <v>57346</v>
          </cell>
        </row>
        <row r="607">
          <cell r="A607">
            <v>57409</v>
          </cell>
        </row>
        <row r="608">
          <cell r="A608">
            <v>57410</v>
          </cell>
        </row>
        <row r="609">
          <cell r="A609">
            <v>57455</v>
          </cell>
        </row>
        <row r="610">
          <cell r="A610">
            <v>57466</v>
          </cell>
        </row>
        <row r="611">
          <cell r="A611">
            <v>57517</v>
          </cell>
        </row>
        <row r="612">
          <cell r="A612">
            <v>57595</v>
          </cell>
        </row>
        <row r="613">
          <cell r="A613">
            <v>57630</v>
          </cell>
        </row>
        <row r="614">
          <cell r="A614">
            <v>57651</v>
          </cell>
        </row>
        <row r="615">
          <cell r="A615">
            <v>57664</v>
          </cell>
        </row>
        <row r="616">
          <cell r="A616">
            <v>57704</v>
          </cell>
        </row>
        <row r="617">
          <cell r="A617">
            <v>57711</v>
          </cell>
        </row>
        <row r="618">
          <cell r="A618">
            <v>57766</v>
          </cell>
        </row>
        <row r="619">
          <cell r="A619">
            <v>57767</v>
          </cell>
        </row>
        <row r="620">
          <cell r="A620">
            <v>57812</v>
          </cell>
        </row>
        <row r="621">
          <cell r="A621">
            <v>57831</v>
          </cell>
        </row>
        <row r="622">
          <cell r="A622">
            <v>57874</v>
          </cell>
        </row>
        <row r="623">
          <cell r="A623">
            <v>58029</v>
          </cell>
        </row>
        <row r="624">
          <cell r="A624">
            <v>58069</v>
          </cell>
        </row>
        <row r="625">
          <cell r="A625">
            <v>58076</v>
          </cell>
        </row>
        <row r="626">
          <cell r="A626">
            <v>58116</v>
          </cell>
        </row>
        <row r="627">
          <cell r="A627">
            <v>58117</v>
          </cell>
        </row>
        <row r="628">
          <cell r="A628">
            <v>58162</v>
          </cell>
        </row>
        <row r="629">
          <cell r="A629">
            <v>58186</v>
          </cell>
        </row>
        <row r="630">
          <cell r="A630">
            <v>58196</v>
          </cell>
        </row>
        <row r="631">
          <cell r="A631">
            <v>58224</v>
          </cell>
        </row>
        <row r="632">
          <cell r="A632">
            <v>58434</v>
          </cell>
        </row>
        <row r="633">
          <cell r="A633">
            <v>58441</v>
          </cell>
        </row>
        <row r="634">
          <cell r="A634">
            <v>58501</v>
          </cell>
        </row>
        <row r="635">
          <cell r="A635">
            <v>58502</v>
          </cell>
        </row>
        <row r="636">
          <cell r="A636">
            <v>58547</v>
          </cell>
        </row>
        <row r="637">
          <cell r="A637">
            <v>58552</v>
          </cell>
        </row>
        <row r="638">
          <cell r="A638">
            <v>58609</v>
          </cell>
        </row>
        <row r="639">
          <cell r="A639">
            <v>58691</v>
          </cell>
        </row>
        <row r="640">
          <cell r="A640">
            <v>58726</v>
          </cell>
        </row>
        <row r="641">
          <cell r="A641">
            <v>58747</v>
          </cell>
        </row>
        <row r="642">
          <cell r="A642">
            <v>58760</v>
          </cell>
        </row>
        <row r="643">
          <cell r="A643">
            <v>58858</v>
          </cell>
        </row>
        <row r="644">
          <cell r="A644">
            <v>58859</v>
          </cell>
        </row>
        <row r="645">
          <cell r="A645">
            <v>58904</v>
          </cell>
        </row>
        <row r="646">
          <cell r="A646">
            <v>58917</v>
          </cell>
        </row>
        <row r="647">
          <cell r="A647">
            <v>58966</v>
          </cell>
        </row>
        <row r="648">
          <cell r="A648">
            <v>59056</v>
          </cell>
        </row>
        <row r="649">
          <cell r="A649">
            <v>59091</v>
          </cell>
        </row>
        <row r="650">
          <cell r="A650">
            <v>59112</v>
          </cell>
        </row>
        <row r="651">
          <cell r="A651">
            <v>59125</v>
          </cell>
        </row>
        <row r="652">
          <cell r="A652">
            <v>59208</v>
          </cell>
        </row>
        <row r="653">
          <cell r="A653">
            <v>59209</v>
          </cell>
        </row>
        <row r="654">
          <cell r="A654">
            <v>59254</v>
          </cell>
        </row>
        <row r="655">
          <cell r="A655">
            <v>59282</v>
          </cell>
        </row>
        <row r="656">
          <cell r="A656">
            <v>59292</v>
          </cell>
        </row>
        <row r="657">
          <cell r="A657">
            <v>59316</v>
          </cell>
        </row>
        <row r="658">
          <cell r="A658">
            <v>59421</v>
          </cell>
        </row>
        <row r="659">
          <cell r="A659">
            <v>59456</v>
          </cell>
        </row>
        <row r="660">
          <cell r="A660">
            <v>59477</v>
          </cell>
        </row>
        <row r="661">
          <cell r="A661">
            <v>59490</v>
          </cell>
        </row>
        <row r="662">
          <cell r="A662">
            <v>59530</v>
          </cell>
        </row>
        <row r="663">
          <cell r="A663">
            <v>59537</v>
          </cell>
        </row>
        <row r="664">
          <cell r="A664">
            <v>59593</v>
          </cell>
        </row>
        <row r="665">
          <cell r="A665">
            <v>59594</v>
          </cell>
        </row>
        <row r="666">
          <cell r="A666">
            <v>59639</v>
          </cell>
        </row>
        <row r="667">
          <cell r="A667">
            <v>59657</v>
          </cell>
        </row>
        <row r="668">
          <cell r="A668">
            <v>59701</v>
          </cell>
        </row>
        <row r="669">
          <cell r="A669">
            <v>59786</v>
          </cell>
        </row>
        <row r="670">
          <cell r="A670">
            <v>59821</v>
          </cell>
        </row>
        <row r="671">
          <cell r="A671">
            <v>59842</v>
          </cell>
        </row>
        <row r="672">
          <cell r="A672">
            <v>59855</v>
          </cell>
        </row>
        <row r="673">
          <cell r="A673">
            <v>59895</v>
          </cell>
        </row>
        <row r="674">
          <cell r="A674">
            <v>59902</v>
          </cell>
        </row>
        <row r="675">
          <cell r="A675">
            <v>59950</v>
          </cell>
        </row>
        <row r="676">
          <cell r="A676">
            <v>59951</v>
          </cell>
        </row>
        <row r="677">
          <cell r="A677">
            <v>59996</v>
          </cell>
        </row>
        <row r="678">
          <cell r="A678">
            <v>60013</v>
          </cell>
        </row>
        <row r="679">
          <cell r="A679">
            <v>60023</v>
          </cell>
        </row>
        <row r="680">
          <cell r="A680">
            <v>60058</v>
          </cell>
        </row>
        <row r="681">
          <cell r="A681">
            <v>60261</v>
          </cell>
        </row>
        <row r="682">
          <cell r="A682">
            <v>60268</v>
          </cell>
        </row>
        <row r="683">
          <cell r="A683">
            <v>60307</v>
          </cell>
        </row>
        <row r="684">
          <cell r="A684">
            <v>60308</v>
          </cell>
        </row>
        <row r="685">
          <cell r="A685">
            <v>60353</v>
          </cell>
        </row>
        <row r="686">
          <cell r="A686">
            <v>60378</v>
          </cell>
        </row>
        <row r="687">
          <cell r="A687">
            <v>60388</v>
          </cell>
        </row>
        <row r="688">
          <cell r="A688">
            <v>60415</v>
          </cell>
        </row>
        <row r="689">
          <cell r="A689">
            <v>60517</v>
          </cell>
        </row>
        <row r="690">
          <cell r="A690">
            <v>60552</v>
          </cell>
        </row>
        <row r="691">
          <cell r="A691">
            <v>60573</v>
          </cell>
        </row>
        <row r="692">
          <cell r="A692">
            <v>60626</v>
          </cell>
        </row>
        <row r="693">
          <cell r="A693">
            <v>60633</v>
          </cell>
        </row>
        <row r="694">
          <cell r="A694">
            <v>60685</v>
          </cell>
        </row>
        <row r="695">
          <cell r="A695">
            <v>60686</v>
          </cell>
        </row>
        <row r="696">
          <cell r="A696">
            <v>60731</v>
          </cell>
        </row>
        <row r="697">
          <cell r="A697">
            <v>60743</v>
          </cell>
        </row>
        <row r="698">
          <cell r="A698">
            <v>60793</v>
          </cell>
        </row>
        <row r="699">
          <cell r="A699">
            <v>60882</v>
          </cell>
        </row>
        <row r="700">
          <cell r="A700">
            <v>60917</v>
          </cell>
        </row>
        <row r="701">
          <cell r="A701">
            <v>60938</v>
          </cell>
        </row>
        <row r="702">
          <cell r="A702">
            <v>60951</v>
          </cell>
        </row>
        <row r="703">
          <cell r="A703">
            <v>61042</v>
          </cell>
        </row>
        <row r="704">
          <cell r="A704">
            <v>61043</v>
          </cell>
        </row>
        <row r="705">
          <cell r="A705">
            <v>61088</v>
          </cell>
        </row>
        <row r="706">
          <cell r="A706">
            <v>61108</v>
          </cell>
        </row>
        <row r="707">
          <cell r="A707">
            <v>61150</v>
          </cell>
        </row>
        <row r="708">
          <cell r="A708">
            <v>61247</v>
          </cell>
        </row>
        <row r="709">
          <cell r="A709">
            <v>61282</v>
          </cell>
        </row>
        <row r="710">
          <cell r="A710">
            <v>61303</v>
          </cell>
        </row>
        <row r="711">
          <cell r="A711">
            <v>61316</v>
          </cell>
        </row>
        <row r="712">
          <cell r="A712">
            <v>61427</v>
          </cell>
        </row>
        <row r="713">
          <cell r="A713">
            <v>61428</v>
          </cell>
        </row>
        <row r="714">
          <cell r="A714">
            <v>61473</v>
          </cell>
        </row>
        <row r="715">
          <cell r="A715">
            <v>61484</v>
          </cell>
        </row>
        <row r="716">
          <cell r="A716">
            <v>61535</v>
          </cell>
        </row>
        <row r="717">
          <cell r="A717">
            <v>61613</v>
          </cell>
        </row>
        <row r="718">
          <cell r="A718">
            <v>61648</v>
          </cell>
        </row>
        <row r="719">
          <cell r="A719">
            <v>61669</v>
          </cell>
        </row>
        <row r="720">
          <cell r="A720">
            <v>61682</v>
          </cell>
        </row>
        <row r="721">
          <cell r="A721">
            <v>61722</v>
          </cell>
        </row>
        <row r="722">
          <cell r="A722">
            <v>61729</v>
          </cell>
        </row>
        <row r="723">
          <cell r="A723">
            <v>61784</v>
          </cell>
        </row>
        <row r="724">
          <cell r="A724">
            <v>61785</v>
          </cell>
        </row>
        <row r="725">
          <cell r="A725">
            <v>61830</v>
          </cell>
        </row>
        <row r="726">
          <cell r="A726">
            <v>61849</v>
          </cell>
        </row>
        <row r="727">
          <cell r="A727">
            <v>61892</v>
          </cell>
        </row>
        <row r="728">
          <cell r="A728">
            <v>62047</v>
          </cell>
        </row>
        <row r="729">
          <cell r="A729">
            <v>62087</v>
          </cell>
        </row>
        <row r="730">
          <cell r="A730">
            <v>62094</v>
          </cell>
        </row>
        <row r="731">
          <cell r="A731">
            <v>62134</v>
          </cell>
        </row>
        <row r="732">
          <cell r="A732">
            <v>62135</v>
          </cell>
        </row>
        <row r="733">
          <cell r="A733">
            <v>62180</v>
          </cell>
        </row>
        <row r="734">
          <cell r="A734">
            <v>62204</v>
          </cell>
        </row>
        <row r="735">
          <cell r="A735">
            <v>62214</v>
          </cell>
        </row>
        <row r="736">
          <cell r="A736">
            <v>62242</v>
          </cell>
        </row>
        <row r="737">
          <cell r="A737">
            <v>62452</v>
          </cell>
        </row>
        <row r="738">
          <cell r="A738">
            <v>62459</v>
          </cell>
        </row>
        <row r="739">
          <cell r="A739">
            <v>62519</v>
          </cell>
        </row>
        <row r="740">
          <cell r="A740">
            <v>62520</v>
          </cell>
        </row>
        <row r="741">
          <cell r="A741">
            <v>62565</v>
          </cell>
        </row>
        <row r="742">
          <cell r="A742">
            <v>62569</v>
          </cell>
        </row>
        <row r="743">
          <cell r="A743">
            <v>62579</v>
          </cell>
        </row>
        <row r="744">
          <cell r="A744">
            <v>62627</v>
          </cell>
        </row>
        <row r="745">
          <cell r="A745">
            <v>62708</v>
          </cell>
        </row>
        <row r="746">
          <cell r="A746">
            <v>62743</v>
          </cell>
        </row>
        <row r="747">
          <cell r="A747">
            <v>62764</v>
          </cell>
        </row>
        <row r="748">
          <cell r="A748">
            <v>62817</v>
          </cell>
        </row>
        <row r="749">
          <cell r="A749">
            <v>62824</v>
          </cell>
        </row>
        <row r="750">
          <cell r="A750">
            <v>62876</v>
          </cell>
        </row>
        <row r="751">
          <cell r="A751">
            <v>62877</v>
          </cell>
        </row>
        <row r="752">
          <cell r="A752">
            <v>62922</v>
          </cell>
        </row>
        <row r="753">
          <cell r="A753">
            <v>62935</v>
          </cell>
        </row>
        <row r="754">
          <cell r="A754">
            <v>62984</v>
          </cell>
        </row>
        <row r="755">
          <cell r="A755">
            <v>63074</v>
          </cell>
        </row>
        <row r="756">
          <cell r="A756">
            <v>63109</v>
          </cell>
        </row>
        <row r="757">
          <cell r="A757">
            <v>63130</v>
          </cell>
        </row>
        <row r="758">
          <cell r="A758">
            <v>63143</v>
          </cell>
        </row>
        <row r="759">
          <cell r="A759">
            <v>63226</v>
          </cell>
        </row>
        <row r="760">
          <cell r="A760">
            <v>63227</v>
          </cell>
        </row>
        <row r="761">
          <cell r="A761">
            <v>63272</v>
          </cell>
        </row>
        <row r="762">
          <cell r="A762">
            <v>63300</v>
          </cell>
        </row>
        <row r="763">
          <cell r="A763">
            <v>63310</v>
          </cell>
        </row>
        <row r="764">
          <cell r="A764">
            <v>63334</v>
          </cell>
        </row>
        <row r="765">
          <cell r="A765">
            <v>63439</v>
          </cell>
        </row>
        <row r="766">
          <cell r="A766">
            <v>63474</v>
          </cell>
        </row>
        <row r="767">
          <cell r="A767">
            <v>63495</v>
          </cell>
        </row>
        <row r="768">
          <cell r="A768">
            <v>63508</v>
          </cell>
        </row>
        <row r="769">
          <cell r="A769">
            <v>63548</v>
          </cell>
        </row>
        <row r="770">
          <cell r="A770">
            <v>63555</v>
          </cell>
        </row>
        <row r="771">
          <cell r="A771">
            <v>63611</v>
          </cell>
        </row>
        <row r="772">
          <cell r="A772">
            <v>63612</v>
          </cell>
        </row>
        <row r="773">
          <cell r="A773">
            <v>63657</v>
          </cell>
        </row>
        <row r="774">
          <cell r="A774">
            <v>63675</v>
          </cell>
        </row>
        <row r="775">
          <cell r="A775">
            <v>63719</v>
          </cell>
        </row>
        <row r="776">
          <cell r="A776">
            <v>63804</v>
          </cell>
        </row>
        <row r="777">
          <cell r="A777">
            <v>63839</v>
          </cell>
        </row>
        <row r="778">
          <cell r="A778">
            <v>63860</v>
          </cell>
        </row>
        <row r="779">
          <cell r="A779">
            <v>63873</v>
          </cell>
        </row>
        <row r="780">
          <cell r="A780">
            <v>63913</v>
          </cell>
        </row>
        <row r="781">
          <cell r="A781">
            <v>63920</v>
          </cell>
        </row>
        <row r="782">
          <cell r="A782">
            <v>63968</v>
          </cell>
        </row>
        <row r="783">
          <cell r="A783">
            <v>63969</v>
          </cell>
        </row>
        <row r="784">
          <cell r="A784">
            <v>64014</v>
          </cell>
        </row>
        <row r="785">
          <cell r="A785">
            <v>64040</v>
          </cell>
        </row>
        <row r="786">
          <cell r="A786">
            <v>64076</v>
          </cell>
        </row>
        <row r="787">
          <cell r="A787">
            <v>64238</v>
          </cell>
        </row>
        <row r="788">
          <cell r="A788">
            <v>64278</v>
          </cell>
        </row>
        <row r="789">
          <cell r="A789">
            <v>64285</v>
          </cell>
        </row>
        <row r="790">
          <cell r="A790">
            <v>64346</v>
          </cell>
        </row>
        <row r="791">
          <cell r="A791">
            <v>64347</v>
          </cell>
        </row>
        <row r="792">
          <cell r="A792">
            <v>64392</v>
          </cell>
        </row>
        <row r="793">
          <cell r="A793">
            <v>64396</v>
          </cell>
        </row>
        <row r="794">
          <cell r="A794">
            <v>64406</v>
          </cell>
        </row>
        <row r="795">
          <cell r="A795">
            <v>64454</v>
          </cell>
        </row>
        <row r="796">
          <cell r="A796">
            <v>64535</v>
          </cell>
        </row>
        <row r="797">
          <cell r="A797">
            <v>64570</v>
          </cell>
        </row>
        <row r="798">
          <cell r="A798">
            <v>64591</v>
          </cell>
        </row>
        <row r="799">
          <cell r="A799">
            <v>64644</v>
          </cell>
        </row>
        <row r="800">
          <cell r="A800">
            <v>64651</v>
          </cell>
        </row>
        <row r="801">
          <cell r="A801">
            <v>64703</v>
          </cell>
        </row>
        <row r="802">
          <cell r="A802">
            <v>64704</v>
          </cell>
        </row>
        <row r="803">
          <cell r="A803">
            <v>64749</v>
          </cell>
        </row>
        <row r="804">
          <cell r="A804">
            <v>64761</v>
          </cell>
        </row>
        <row r="805">
          <cell r="A805">
            <v>64811</v>
          </cell>
        </row>
        <row r="806">
          <cell r="A806">
            <v>64900</v>
          </cell>
        </row>
        <row r="807">
          <cell r="A807">
            <v>64935</v>
          </cell>
        </row>
        <row r="808">
          <cell r="A808">
            <v>64956</v>
          </cell>
        </row>
        <row r="809">
          <cell r="A809">
            <v>64969</v>
          </cell>
        </row>
        <row r="810">
          <cell r="A810">
            <v>65060</v>
          </cell>
        </row>
        <row r="811">
          <cell r="A811">
            <v>65061</v>
          </cell>
        </row>
        <row r="812">
          <cell r="A812">
            <v>65106</v>
          </cell>
        </row>
        <row r="813">
          <cell r="A813">
            <v>65126</v>
          </cell>
        </row>
        <row r="814">
          <cell r="A814">
            <v>65168</v>
          </cell>
        </row>
        <row r="815">
          <cell r="A815">
            <v>65265</v>
          </cell>
        </row>
        <row r="816">
          <cell r="A816">
            <v>65300</v>
          </cell>
        </row>
        <row r="817">
          <cell r="A817">
            <v>65321</v>
          </cell>
        </row>
        <row r="818">
          <cell r="A818">
            <v>65334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Front_Page_Auto (2)"/>
    </sheetNames>
    <sheetDataSet>
      <sheetData sheetId="0"/>
      <sheetData sheetId="1">
        <row r="2">
          <cell r="K2" t="str">
            <v>Volume Total Produzido no campo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s"/>
      <sheetName val="Saldos"/>
      <sheetName val="Tabela Saldos"/>
      <sheetName val="Caixa"/>
      <sheetName val="Custo dívida"/>
      <sheetName val="Dívidas"/>
      <sheetName val="Covenants"/>
      <sheetName val="Outros"/>
      <sheetName val="Offtakes"/>
      <sheetName val="Cu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BP (000)"/>
      <sheetName val="DRE EBITDA"/>
      <sheetName val="Apoio"/>
      <sheetName val="DRE EBITDA (000)"/>
      <sheetName val="Slides (000)"/>
      <sheetName val="DRE Release"/>
      <sheetName val="ProForma"/>
      <sheetName val="DRE EBITDA Ex IFRS"/>
      <sheetName val="RF"/>
      <sheetName val="Quantidades"/>
      <sheetName val="BP H"/>
      <sheetName val="DRE H"/>
      <sheetName val="DFC H"/>
      <sheetName val="Slide 1"/>
      <sheetName val="Slide 2"/>
      <sheetName val="Slide 3"/>
      <sheetName val="Slide 4"/>
      <sheetName val="Slide 5"/>
      <sheetName val="Slide 6"/>
      <sheetName val="Slide 8"/>
      <sheetName val="Slide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S6">
            <v>853677.77503892849</v>
          </cell>
        </row>
        <row r="18">
          <cell r="AQ18">
            <v>-127073</v>
          </cell>
        </row>
        <row r="68">
          <cell r="AN68">
            <v>-28438.443327483983</v>
          </cell>
          <cell r="AQ68">
            <v>-27430.609346608981</v>
          </cell>
        </row>
        <row r="70">
          <cell r="D70">
            <v>60977.711437288999</v>
          </cell>
          <cell r="G70">
            <v>68899.008217087132</v>
          </cell>
          <cell r="J70">
            <v>69774.004810626066</v>
          </cell>
          <cell r="M70">
            <v>166001.23191740364</v>
          </cell>
          <cell r="S70">
            <v>654266.83103519946</v>
          </cell>
          <cell r="V70">
            <v>105078.45929666609</v>
          </cell>
          <cell r="Y70">
            <v>275498.01967086724</v>
          </cell>
          <cell r="AB70">
            <v>434308.04201282817</v>
          </cell>
          <cell r="AH70">
            <v>54153.922829827061</v>
          </cell>
          <cell r="AK70">
            <v>519303.81441254402</v>
          </cell>
          <cell r="AN70">
            <v>217303.17008906987</v>
          </cell>
          <cell r="AQ70">
            <v>155774.76822776126</v>
          </cell>
        </row>
        <row r="71">
          <cell r="D71">
            <v>-201116.96242365346</v>
          </cell>
          <cell r="G71">
            <v>-80553.00702039196</v>
          </cell>
          <cell r="J71">
            <v>-238651.60545989306</v>
          </cell>
          <cell r="M71">
            <v>-182584.20679764534</v>
          </cell>
          <cell r="S71">
            <v>-757749.70331844303</v>
          </cell>
          <cell r="V71">
            <v>-329721.83772150765</v>
          </cell>
          <cell r="Y71">
            <v>-457679.58203223837</v>
          </cell>
          <cell r="AB71">
            <v>-382668.55668505211</v>
          </cell>
          <cell r="AH71">
            <v>-416201.63457428699</v>
          </cell>
          <cell r="AK71">
            <v>-378883.65676783514</v>
          </cell>
          <cell r="AN71">
            <v>-481609.94410068018</v>
          </cell>
          <cell r="AQ71">
            <v>-292162.79930950305</v>
          </cell>
        </row>
        <row r="73">
          <cell r="G73">
            <v>-36706.774661555304</v>
          </cell>
          <cell r="J73">
            <v>-575.91426147974062</v>
          </cell>
          <cell r="S73">
            <v>-12141.97</v>
          </cell>
          <cell r="V73">
            <v>-2632.8852700000007</v>
          </cell>
          <cell r="Y73">
            <v>-9758.9786399999994</v>
          </cell>
          <cell r="AB73">
            <v>-52605.862570000005</v>
          </cell>
          <cell r="AH73">
            <v>-79572.994280000014</v>
          </cell>
          <cell r="AK73">
            <v>-59964.269699999975</v>
          </cell>
          <cell r="AN73">
            <v>-94552.572223804338</v>
          </cell>
          <cell r="AQ73">
            <v>-110722.52081000009</v>
          </cell>
        </row>
        <row r="74">
          <cell r="G74">
            <v>1021.03611</v>
          </cell>
          <cell r="J74">
            <v>-145.18758000000003</v>
          </cell>
          <cell r="S74">
            <v>3252.4468000000002</v>
          </cell>
          <cell r="V74">
            <v>25585.688369999989</v>
          </cell>
          <cell r="Y74">
            <v>-26682.434652637927</v>
          </cell>
          <cell r="AB74">
            <v>43817.238706562675</v>
          </cell>
          <cell r="AH74">
            <v>59056.1767944577</v>
          </cell>
          <cell r="AK74">
            <v>-80975.128704457704</v>
          </cell>
          <cell r="AN74">
            <v>24235.935407597557</v>
          </cell>
          <cell r="AQ74">
            <v>176420.48884240241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 AÇÃO vs IBOV"/>
      <sheetName val="Tabela Topline"/>
      <sheetName val="PRODUÇÃO"/>
      <sheetName val="Estimado x Realizado Frade"/>
      <sheetName val="OFFTAKES"/>
      <sheetName val="Lifting Cost + Custo Op POLVO"/>
      <sheetName val="Lifting Cost + Custo Op FRADE"/>
      <sheetName val="Custos Polvo"/>
      <sheetName val="Custos Frade"/>
      <sheetName val="Custos TBMT"/>
      <sheetName val=" Custos Manati"/>
      <sheetName val="Lifting Cost Geral"/>
      <sheetName val="EBITDA por barril"/>
      <sheetName val="Brent x Lifting Cost"/>
      <sheetName val="BP ANEXO - Reap"/>
      <sheetName val="BP ANEXO"/>
      <sheetName val="DRE ANEXO "/>
      <sheetName val="BP-ok"/>
      <sheetName val="DRE ANEXO-ok"/>
      <sheetName val="DRE PRO FORMA RELEASE-ok"/>
      <sheetName val="DRE PRO FORMA"/>
      <sheetName val="DRE ANEXO"/>
      <sheetName val="RF"/>
      <sheetName val="DFC H"/>
      <sheetName val="DFC ANEXO"/>
      <sheetName val="Breakdown da receita"/>
      <sheetName val="Detalhamento da dívida"/>
      <sheetName val="Endividamento - Características"/>
      <sheetName val="Cronograma Amortização"/>
      <sheetName val="Custo.Prazo dívida"/>
      <sheetName val="Base Custo dívida"/>
      <sheetName val="Caixa Líquido"/>
      <sheetName val="Net debt EBITDA"/>
      <sheetName val="Gráficos 1ª pagina"/>
      <sheetName val="Ranking operadores"/>
      <sheetName val="Plani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O7">
            <v>1948979.3151494181</v>
          </cell>
          <cell r="AD7">
            <v>204816.17483690084</v>
          </cell>
        </row>
        <row r="8">
          <cell r="O8">
            <v>2577230.6711388384</v>
          </cell>
          <cell r="AD8">
            <v>105895.60682719201</v>
          </cell>
        </row>
        <row r="9">
          <cell r="O9">
            <v>0</v>
          </cell>
          <cell r="AD9">
            <v>126361.10303859599</v>
          </cell>
        </row>
        <row r="10">
          <cell r="O10">
            <v>291782.64835871197</v>
          </cell>
          <cell r="AD10">
            <v>200006.33203948985</v>
          </cell>
        </row>
        <row r="13">
          <cell r="AD13">
            <v>142169.89629573099</v>
          </cell>
        </row>
        <row r="14">
          <cell r="O14">
            <v>76976.780842072621</v>
          </cell>
          <cell r="AD14">
            <v>448750.40860000002</v>
          </cell>
        </row>
        <row r="15">
          <cell r="O15">
            <v>72989.049905307402</v>
          </cell>
        </row>
        <row r="16">
          <cell r="O16">
            <v>28477</v>
          </cell>
        </row>
        <row r="17">
          <cell r="O17">
            <v>9351.7938127799971</v>
          </cell>
          <cell r="AD17">
            <v>-2845</v>
          </cell>
        </row>
        <row r="18">
          <cell r="O18">
            <v>479.37828883802473</v>
          </cell>
        </row>
        <row r="20">
          <cell r="AD20">
            <v>12995.269710023927</v>
          </cell>
        </row>
        <row r="21">
          <cell r="AD21">
            <v>3220824.0337821213</v>
          </cell>
        </row>
        <row r="22">
          <cell r="AD22">
            <v>0</v>
          </cell>
        </row>
        <row r="23">
          <cell r="O23">
            <v>72665</v>
          </cell>
          <cell r="AD23">
            <v>709206</v>
          </cell>
        </row>
        <row r="24">
          <cell r="AD24">
            <v>126465.26272</v>
          </cell>
        </row>
        <row r="25">
          <cell r="AD25">
            <v>0</v>
          </cell>
        </row>
        <row r="26">
          <cell r="AD26">
            <v>462028</v>
          </cell>
        </row>
        <row r="27">
          <cell r="AD27">
            <v>1574</v>
          </cell>
        </row>
        <row r="28">
          <cell r="O28">
            <v>12596.224199999999</v>
          </cell>
        </row>
        <row r="29">
          <cell r="O29">
            <v>15223.997240000001</v>
          </cell>
        </row>
        <row r="30">
          <cell r="O30">
            <v>8891.3019100000001</v>
          </cell>
        </row>
        <row r="31">
          <cell r="O31">
            <v>202259</v>
          </cell>
        </row>
        <row r="32">
          <cell r="O32">
            <v>439419</v>
          </cell>
          <cell r="AD32">
            <v>5303643.508820001</v>
          </cell>
        </row>
        <row r="33">
          <cell r="O33">
            <v>3514952</v>
          </cell>
          <cell r="AD33">
            <v>338879.41749999998</v>
          </cell>
        </row>
        <row r="34">
          <cell r="O34">
            <v>1788163</v>
          </cell>
          <cell r="AD34">
            <v>669846.63215539628</v>
          </cell>
        </row>
        <row r="35">
          <cell r="AD35">
            <v>-1077664.4610999997</v>
          </cell>
        </row>
        <row r="36">
          <cell r="AD36">
            <v>452214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_Ativo"/>
      <sheetName val="BP_Passivo"/>
      <sheetName val="DRE"/>
      <sheetName val="DRA"/>
      <sheetName val="DMPL"/>
      <sheetName val="FCxI"/>
      <sheetName val="DFC Consolidado $"/>
      <sheetName val="DFC Controladora"/>
      <sheetName val="DFC Consolidado"/>
      <sheetName val="DVA"/>
      <sheetName val="DFs$"/>
      <sheetName val="DFC Controladora $"/>
      <sheetName val="NE.1"/>
      <sheetName val="NE.3"/>
      <sheetName val="NE.4"/>
      <sheetName val="NE.5"/>
      <sheetName val="NE.6"/>
      <sheetName val="NE.9"/>
      <sheetName val="NE.7"/>
      <sheetName val="NE.8"/>
      <sheetName val="Oper. Descont."/>
      <sheetName val="NE 9"/>
      <sheetName val="NE.11.b"/>
      <sheetName val="NE 10"/>
      <sheetName val="NE 10A"/>
      <sheetName val="NE.11"/>
      <sheetName val="NE.12"/>
      <sheetName val="NE.12C"/>
      <sheetName val="NE.13"/>
      <sheetName val="NE.13A"/>
      <sheetName val="NE.14"/>
      <sheetName val="NE.16"/>
      <sheetName val="NE 15"/>
      <sheetName val="NE 15.1"/>
      <sheetName val="NE 16"/>
      <sheetName val="NE 17"/>
      <sheetName val="NE.17B"/>
      <sheetName val="NE.18"/>
      <sheetName val="N.E.18"/>
      <sheetName val="NE.19"/>
      <sheetName val="RESUMO ARO"/>
      <sheetName val="NE.21"/>
      <sheetName val="NE.21.1"/>
      <sheetName val="NE 21.2"/>
      <sheetName val="NE.19.4 - RH"/>
      <sheetName val="NE.21.4"/>
      <sheetName val="NE.29 - "/>
      <sheetName val="NE.21.3"/>
      <sheetName val="NE.22"/>
      <sheetName val="NE 23"/>
      <sheetName val="NE.24"/>
      <sheetName val="NE.25"/>
      <sheetName val="NE.26"/>
      <sheetName val="NE.29 - SWAP"/>
      <sheetName val="NE.27"/>
      <sheetName val="NE.28"/>
      <sheetName val="NE.29A"/>
      <sheetName val="NE.29B"/>
      <sheetName val="NE.29C"/>
      <sheetName val="NE.29AS"/>
      <sheetName val="NE.29CS"/>
      <sheetName val="NE.29AS1 - TESOURARIA"/>
      <sheetName val="NE.30"/>
      <sheetName val="NE 31"/>
      <sheetName val="NE.31"/>
      <sheetName val="TAC"/>
      <sheetName val="NE 31A"/>
    </sheetNames>
    <sheetDataSet>
      <sheetData sheetId="0"/>
      <sheetData sheetId="1"/>
      <sheetData sheetId="2"/>
      <sheetData sheetId="3"/>
      <sheetData sheetId="4"/>
      <sheetData sheetId="5">
        <row r="15">
          <cell r="H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SON-2"/>
      <sheetName val="Assum"/>
      <sheetName val="Inpu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 2018"/>
      <sheetName val="Modelo Segregado"/>
      <sheetName val="Histórico Prod. Frade"/>
      <sheetName val="Modelo"/>
      <sheetName val="Modelo com gás"/>
      <sheetName val="Produção PRIO total"/>
      <sheetName val="Produção Valente"/>
      <sheetName val="Produção Bravo"/>
      <sheetName val="Produção ABL"/>
      <sheetName val="Produção Peregrino"/>
      <sheetName val="OFFTAKES"/>
      <sheetName val="Produção Manati - vol.corrigido"/>
      <sheetName val="Produção Condensado Manati"/>
      <sheetName val="Gráfico Manati+Polvo PORT"/>
    </sheetNames>
    <sheetDataSet>
      <sheetData sheetId="0" refreshError="1"/>
      <sheetData sheetId="1" refreshError="1"/>
      <sheetData sheetId="2" refreshError="1"/>
      <sheetData sheetId="3">
        <row r="7">
          <cell r="E7">
            <v>32744.85602649043</v>
          </cell>
        </row>
      </sheetData>
      <sheetData sheetId="4">
        <row r="5">
          <cell r="N5">
            <v>1425778.96</v>
          </cell>
          <cell r="O5">
            <v>448880.32</v>
          </cell>
          <cell r="P5">
            <v>219935.94</v>
          </cell>
          <cell r="Q5">
            <v>2239121.94</v>
          </cell>
        </row>
        <row r="6">
          <cell r="O6">
            <v>1408928.03</v>
          </cell>
          <cell r="P6">
            <v>443371.4</v>
          </cell>
          <cell r="Q6">
            <v>2434074.85</v>
          </cell>
        </row>
        <row r="7">
          <cell r="N7">
            <v>1844763.23</v>
          </cell>
          <cell r="O7">
            <v>1368611.26</v>
          </cell>
          <cell r="P7">
            <v>456625.8</v>
          </cell>
          <cell r="Q7">
            <v>2559282.1399999997</v>
          </cell>
        </row>
        <row r="8">
          <cell r="J8">
            <v>80343.395376011526</v>
          </cell>
        </row>
        <row r="9">
          <cell r="N9">
            <v>1320804.7</v>
          </cell>
          <cell r="O9">
            <v>971874.37</v>
          </cell>
          <cell r="P9">
            <v>632098.09</v>
          </cell>
          <cell r="Q9">
            <v>1866949.82</v>
          </cell>
        </row>
        <row r="10">
          <cell r="N10">
            <v>1896102.43</v>
          </cell>
          <cell r="O10">
            <v>473695.86</v>
          </cell>
          <cell r="P10">
            <v>427122.98</v>
          </cell>
          <cell r="Q10">
            <v>2233086.5500000003</v>
          </cell>
        </row>
        <row r="11">
          <cell r="N11">
            <v>1844912.19</v>
          </cell>
          <cell r="O11">
            <v>915656.1100000001</v>
          </cell>
          <cell r="P11">
            <v>391988.57</v>
          </cell>
          <cell r="Q11">
            <v>2277529.08</v>
          </cell>
        </row>
        <row r="12">
          <cell r="J12">
            <v>74457.496657155614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CC"/>
      <sheetName val="Contas"/>
      <sheetName val="Classif.Custos"/>
      <sheetName val="Filial"/>
      <sheetName val="USD"/>
      <sheetName val="RazaoBR"/>
      <sheetName val="RazaoEI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>
        <row r="12">
          <cell r="B12">
            <v>43860</v>
          </cell>
        </row>
      </sheetData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MEX95IB"/>
      <sheetName val="Publ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porte"/>
      <sheetName val="Premissas"/>
      <sheetName val="Despesas"/>
      <sheetName val="Custos"/>
      <sheetName val="Fornecedor"/>
      <sheetName val="Plan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r"/>
      <sheetName val="Resumo I.L"/>
      <sheetName val="Dívidas WC"/>
      <sheetName val="LUX 23.01.17"/>
      <sheetName val="LUX 02.03.17"/>
      <sheetName val="LUX 30.03.17."/>
      <sheetName val="LUX 30.03.17"/>
      <sheetName val="LUX 05.04.17"/>
      <sheetName val="Teste"/>
      <sheetName val="LOAN 1MM"/>
      <sheetName val="LUX 20.03.19"/>
      <sheetName val="Juros.ACC.CCB.Jaguar"/>
      <sheetName val="Juros.ACC.Bradesco.O&amp;G"/>
      <sheetName val="Juros.ACC.CCB.O&amp;G"/>
      <sheetName val="Juros.ACC.ICBC.O&amp;G"/>
      <sheetName val="Juros.ACE.ITAU.O&amp;G"/>
      <sheetName val="Juros.Finep.O&amp;G"/>
      <sheetName val="Juros.PPE.ICBC.O&amp;G"/>
      <sheetName val="Juros.NCE.Fibra.Sarl"/>
      <sheetName val="Financiamento Chevron.Holding"/>
      <sheetName val="Juros.PPE.Trafigura.WS"/>
      <sheetName val="JAGUAR x HOLD 03.05.19."/>
      <sheetName val="LUX 03.05.19"/>
      <sheetName val="POL98"/>
      <sheetName val="LUX 03.05.19 (2)"/>
      <sheetName val="LUX 31.05.19"/>
      <sheetName val="JAGUAR x HOLD 05.06.19"/>
      <sheetName val="POL99"/>
      <sheetName val="Sarl x SA 19.06.19"/>
      <sheetName val="Sarl x SA 05.07.19"/>
      <sheetName val="JAGUAR x HOLD 03.07.19"/>
      <sheetName val="LUX 05.07.19"/>
      <sheetName val="LUX 19.07.19"/>
      <sheetName val="Sarl x SA 24.07.19"/>
      <sheetName val="LUX 26.07.19"/>
      <sheetName val="JAGUAR x HOLD 06.08.19"/>
      <sheetName val="Sarl x SA 08.08.19"/>
      <sheetName val="Sarl x SA 14.08.19"/>
      <sheetName val="LUX 22.08.19"/>
      <sheetName val="LUX 26.08.19"/>
      <sheetName val="Sarl x SA 26.08.19"/>
      <sheetName val="Sarl x SA 04.09.19"/>
      <sheetName val="Sarl x SA 05.09.19"/>
      <sheetName val="JAGUAR x HOLD 05.09.19"/>
      <sheetName val="Sarl x SA 10.09.19"/>
      <sheetName val="LUX 27.09.19"/>
      <sheetName val="WhiteShark x HOLD 03.10.19"/>
      <sheetName val="JAGUAR x HOLD 04.10.19"/>
      <sheetName val="IONC x Hold 16.10.19"/>
      <sheetName val="JAGUAR x HOLD 07.11.19"/>
      <sheetName val="LUX 21.11.19"/>
      <sheetName val="IONC x Hold 22.11.19"/>
      <sheetName val="JAGUAR x HOLD 06.12.19"/>
      <sheetName val="IONC x Hold 26.12.19"/>
      <sheetName val="Contas a Receber"/>
      <sheetName val="Transferencias Intercompany"/>
      <sheetName val="Controle Escrow e PPE"/>
      <sheetName val="Calendário Dívidas"/>
      <sheetName val="Resumo T.I"/>
      <sheetName val="Taxa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yu5-1 Dec"/>
      <sheetName val="Panyu4-2 Dec"/>
      <sheetName val="Panyu5-1 Nov. 2003"/>
      <sheetName val="Panyu4-2 Nov. 2003"/>
      <sheetName val="Panyu4-2 Oct"/>
      <sheetName val="Panyu5-1 Oct"/>
      <sheetName val="Panyu5-1"/>
      <sheetName val="Unit Price"/>
      <sheetName val="Panyu4-2"/>
      <sheetName val="qrreshy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17.2</v>
          </cell>
        </row>
        <row r="5">
          <cell r="B5">
            <v>17</v>
          </cell>
        </row>
        <row r="6">
          <cell r="B6">
            <v>17</v>
          </cell>
        </row>
        <row r="7">
          <cell r="B7">
            <v>8</v>
          </cell>
        </row>
        <row r="8">
          <cell r="B8">
            <v>18.399999999999999</v>
          </cell>
        </row>
        <row r="9">
          <cell r="B9">
            <v>22.2</v>
          </cell>
        </row>
        <row r="10">
          <cell r="B10">
            <v>15.6</v>
          </cell>
        </row>
        <row r="11">
          <cell r="B11">
            <v>19.899999999999999</v>
          </cell>
        </row>
        <row r="13">
          <cell r="B13">
            <v>6290.4950619613765</v>
          </cell>
        </row>
      </sheetData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>
        <row r="1">
          <cell r="I1">
            <v>3.4</v>
          </cell>
        </row>
      </sheetData>
      <sheetData sheetId="2"/>
      <sheetData sheetId="3"/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Datos_para_grafico_Consolidado"/>
      <sheetName val="Datos_para_grafico_Historicos"/>
      <sheetName val="Datos_para_grafico_Auto"/>
      <sheetName val="Select_PB"/>
      <sheetName val="Data_PB"/>
      <sheetName val="PB_Eventos"/>
      <sheetName val="PB_Eventos_Old"/>
      <sheetName val="PB_Consolidado - QDP"/>
      <sheetName val="PB_Consolidado QDD"/>
    </sheetNames>
    <sheetDataSet>
      <sheetData sheetId="0">
        <row r="20">
          <cell r="L20" t="str">
            <v>Volume Gas total (após consumos+Perda PB_G&amp;E)</v>
          </cell>
        </row>
      </sheetData>
      <sheetData sheetId="1">
        <row r="3">
          <cell r="B3">
            <v>42370</v>
          </cell>
          <cell r="D3">
            <v>566.23970000000008</v>
          </cell>
          <cell r="G3">
            <v>1217915.43627061</v>
          </cell>
          <cell r="H3">
            <v>3988922.6506403815</v>
          </cell>
          <cell r="K3">
            <v>3332.7641889316674</v>
          </cell>
          <cell r="P3">
            <v>36765</v>
          </cell>
          <cell r="Q3">
            <v>36815</v>
          </cell>
          <cell r="R3">
            <v>4600000</v>
          </cell>
          <cell r="S3">
            <v>1500000</v>
          </cell>
          <cell r="T3">
            <v>4600000</v>
          </cell>
          <cell r="U3">
            <v>1500000</v>
          </cell>
        </row>
      </sheetData>
      <sheetData sheetId="2"/>
      <sheetData sheetId="3"/>
      <sheetData sheetId="4">
        <row r="1">
          <cell r="B1">
            <v>42736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BE85-DA8A-4C09-BA59-FD6A7000B470}">
  <sheetPr>
    <pageSetUpPr fitToPage="1"/>
  </sheetPr>
  <dimension ref="A1:BN59"/>
  <sheetViews>
    <sheetView showGridLines="0" zoomScale="82" zoomScaleNormal="82" workbookViewId="0">
      <pane xSplit="1" ySplit="8" topLeftCell="AT9" activePane="bottomRight" state="frozen"/>
      <selection pane="topRight" activeCell="AR7" sqref="AR7"/>
      <selection pane="bottomLeft" activeCell="AR7" sqref="AR7"/>
      <selection pane="bottomRight" activeCell="AY8" sqref="AY8"/>
    </sheetView>
  </sheetViews>
  <sheetFormatPr defaultColWidth="9.33203125" defaultRowHeight="14.4" outlineLevelRow="1" outlineLevelCol="1"/>
  <cols>
    <col min="1" max="1" width="49" style="1" customWidth="1"/>
    <col min="2" max="29" width="15.6640625" style="1" customWidth="1" outlineLevel="1"/>
    <col min="30" max="52" width="15.6640625" style="1" customWidth="1"/>
    <col min="53" max="53" width="15.6640625" style="4" customWidth="1"/>
    <col min="54" max="61" width="15.6640625" style="1" customWidth="1"/>
    <col min="62" max="64" width="16.6640625" style="1" bestFit="1" customWidth="1"/>
    <col min="65" max="65" width="12.44140625" style="1" bestFit="1" customWidth="1"/>
    <col min="66" max="66" width="10.5546875" style="1" bestFit="1" customWidth="1"/>
    <col min="67" max="16384" width="9.33203125" style="1"/>
  </cols>
  <sheetData>
    <row r="1" spans="1:66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BB1" s="3"/>
      <c r="BC1" s="3"/>
    </row>
    <row r="2" spans="1:66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27"/>
      <c r="BA2" s="34"/>
      <c r="BB2" s="34"/>
      <c r="BC2" s="36"/>
      <c r="BD2" s="34"/>
    </row>
    <row r="3" spans="1:66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27"/>
      <c r="BA3" s="34"/>
      <c r="BB3" s="34"/>
      <c r="BC3" s="36"/>
      <c r="BD3" s="34"/>
    </row>
    <row r="4" spans="1:66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</row>
    <row r="5" spans="1:66" customFormat="1" ht="18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66" s="23" customFormat="1" ht="15.6">
      <c r="A6" s="71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</row>
    <row r="7" spans="1:66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49"/>
      <c r="AH7" s="34"/>
      <c r="AI7" s="34"/>
      <c r="AJ7" s="36"/>
      <c r="AK7" s="34"/>
      <c r="AZ7" s="328"/>
    </row>
    <row r="8" spans="1:66" s="6" customFormat="1" ht="21.45" customHeight="1">
      <c r="A8" s="186"/>
      <c r="B8" s="189" t="s">
        <v>1</v>
      </c>
      <c r="C8" s="189" t="s">
        <v>2</v>
      </c>
      <c r="D8" s="189" t="s">
        <v>3</v>
      </c>
      <c r="E8" s="189" t="s">
        <v>4</v>
      </c>
      <c r="F8" s="189" t="s">
        <v>5</v>
      </c>
      <c r="G8" s="189" t="s">
        <v>6</v>
      </c>
      <c r="H8" s="189" t="s">
        <v>7</v>
      </c>
      <c r="I8" s="189" t="s">
        <v>8</v>
      </c>
      <c r="J8" s="189" t="s">
        <v>9</v>
      </c>
      <c r="K8" s="189" t="s">
        <v>10</v>
      </c>
      <c r="L8" s="189" t="s">
        <v>11</v>
      </c>
      <c r="M8" s="190" t="s">
        <v>12</v>
      </c>
      <c r="N8" s="190" t="s">
        <v>13</v>
      </c>
      <c r="O8" s="190" t="s">
        <v>14</v>
      </c>
      <c r="P8" s="190" t="s">
        <v>15</v>
      </c>
      <c r="Q8" s="190" t="s">
        <v>16</v>
      </c>
      <c r="R8" s="190" t="s">
        <v>17</v>
      </c>
      <c r="S8" s="190" t="s">
        <v>18</v>
      </c>
      <c r="T8" s="190" t="s">
        <v>19</v>
      </c>
      <c r="U8" s="190" t="s">
        <v>20</v>
      </c>
      <c r="V8" s="190" t="s">
        <v>21</v>
      </c>
      <c r="W8" s="190" t="s">
        <v>22</v>
      </c>
      <c r="X8" s="190" t="s">
        <v>23</v>
      </c>
      <c r="Y8" s="190" t="s">
        <v>24</v>
      </c>
      <c r="Z8" s="190" t="s">
        <v>25</v>
      </c>
      <c r="AA8" s="190" t="s">
        <v>26</v>
      </c>
      <c r="AB8" s="190" t="s">
        <v>27</v>
      </c>
      <c r="AC8" s="190" t="s">
        <v>28</v>
      </c>
      <c r="AD8" s="190" t="s">
        <v>29</v>
      </c>
      <c r="AE8" s="190" t="s">
        <v>30</v>
      </c>
      <c r="AF8" s="190" t="s">
        <v>31</v>
      </c>
      <c r="AG8" s="190" t="s">
        <v>32</v>
      </c>
      <c r="AH8" s="190" t="s">
        <v>33</v>
      </c>
      <c r="AI8" s="190" t="s">
        <v>34</v>
      </c>
      <c r="AJ8" s="190" t="s">
        <v>35</v>
      </c>
      <c r="AK8" s="190" t="s">
        <v>36</v>
      </c>
      <c r="AL8" s="190" t="s">
        <v>37</v>
      </c>
      <c r="AM8" s="190" t="s">
        <v>38</v>
      </c>
      <c r="AN8" s="190" t="s">
        <v>39</v>
      </c>
      <c r="AO8" s="149" t="s">
        <v>40</v>
      </c>
      <c r="AP8" s="149" t="s">
        <v>41</v>
      </c>
      <c r="AQ8" s="149" t="s">
        <v>42</v>
      </c>
      <c r="AR8" s="149" t="s">
        <v>43</v>
      </c>
      <c r="AS8" s="190" t="s">
        <v>44</v>
      </c>
      <c r="AT8" s="190" t="s">
        <v>45</v>
      </c>
      <c r="AU8" s="190" t="s">
        <v>46</v>
      </c>
      <c r="AV8" s="190" t="s">
        <v>47</v>
      </c>
      <c r="AW8" s="190" t="s">
        <v>48</v>
      </c>
      <c r="AX8" s="190" t="s">
        <v>279</v>
      </c>
      <c r="AY8" s="190" t="s">
        <v>292</v>
      </c>
      <c r="AZ8" s="329"/>
      <c r="BA8" s="190">
        <v>2014</v>
      </c>
      <c r="BB8" s="190">
        <v>2015</v>
      </c>
      <c r="BC8" s="190">
        <v>2016</v>
      </c>
      <c r="BD8" s="190">
        <v>2017</v>
      </c>
      <c r="BE8" s="190">
        <v>2018</v>
      </c>
      <c r="BF8" s="190">
        <v>2019</v>
      </c>
      <c r="BG8" s="190">
        <v>2020</v>
      </c>
      <c r="BH8" s="190">
        <v>2021</v>
      </c>
      <c r="BI8" s="190">
        <v>2022</v>
      </c>
      <c r="BJ8" s="190">
        <v>2023</v>
      </c>
      <c r="BK8" s="190">
        <v>2024</v>
      </c>
      <c r="BL8" s="190">
        <v>2025</v>
      </c>
    </row>
    <row r="9" spans="1:66" s="6" customFormat="1" ht="15.6">
      <c r="A9" s="187" t="s">
        <v>49</v>
      </c>
      <c r="B9" s="188">
        <v>60639.62783366238</v>
      </c>
      <c r="C9" s="188">
        <v>61739.71176797861</v>
      </c>
      <c r="D9" s="188">
        <v>55702.772750616314</v>
      </c>
      <c r="E9" s="188">
        <v>31077.407318698162</v>
      </c>
      <c r="F9" s="188">
        <v>1692.1817120896046</v>
      </c>
      <c r="G9" s="188">
        <v>31526.330477059382</v>
      </c>
      <c r="H9" s="188">
        <v>36127.514939331086</v>
      </c>
      <c r="I9" s="188">
        <v>6102.3992529136576</v>
      </c>
      <c r="J9" s="188">
        <v>10653.490922113906</v>
      </c>
      <c r="K9" s="188">
        <v>29519.45738528412</v>
      </c>
      <c r="L9" s="188">
        <v>42899.271363692147</v>
      </c>
      <c r="M9" s="188">
        <v>34532.095359138169</v>
      </c>
      <c r="N9" s="188">
        <v>23793.494803002384</v>
      </c>
      <c r="O9" s="188">
        <v>48360.574951809067</v>
      </c>
      <c r="P9" s="188">
        <v>34792.773365847868</v>
      </c>
      <c r="Q9" s="188">
        <v>59575.481835714294</v>
      </c>
      <c r="R9" s="188">
        <v>36089.222674708733</v>
      </c>
      <c r="S9" s="188">
        <v>66335.069294209752</v>
      </c>
      <c r="T9" s="188">
        <v>56874.816432388303</v>
      </c>
      <c r="U9" s="188">
        <v>70242.831468910386</v>
      </c>
      <c r="V9" s="188">
        <v>36909.05923111341</v>
      </c>
      <c r="W9" s="188">
        <v>139845.86211375755</v>
      </c>
      <c r="X9" s="188">
        <v>100462.70454341942</v>
      </c>
      <c r="Y9" s="188">
        <v>135543.02286084357</v>
      </c>
      <c r="Z9" s="188">
        <v>49994.884110443047</v>
      </c>
      <c r="AA9" s="188">
        <v>58093.404579077825</v>
      </c>
      <c r="AB9" s="188">
        <v>90856.662853492104</v>
      </c>
      <c r="AC9" s="188">
        <v>162977.09404138743</v>
      </c>
      <c r="AD9" s="188">
        <v>119656.23213346282</v>
      </c>
      <c r="AE9" s="188">
        <v>193112.78166224001</v>
      </c>
      <c r="AF9" s="188">
        <v>179611.08286951945</v>
      </c>
      <c r="AG9" s="188">
        <v>318389.74314946076</v>
      </c>
      <c r="AH9" s="188">
        <v>309676</v>
      </c>
      <c r="AI9" s="188">
        <v>377336.79523437133</v>
      </c>
      <c r="AJ9" s="188">
        <v>378154.52622562851</v>
      </c>
      <c r="AK9" s="188">
        <v>184492.13627000013</v>
      </c>
      <c r="AL9" s="188">
        <v>543166</v>
      </c>
      <c r="AM9" s="188">
        <v>484854.91840615775</v>
      </c>
      <c r="AN9" s="188">
        <v>824090</v>
      </c>
      <c r="AO9" s="188">
        <v>686131.35506873089</v>
      </c>
      <c r="AP9" s="188">
        <v>639373.013615945</v>
      </c>
      <c r="AQ9" s="188">
        <v>727560</v>
      </c>
      <c r="AR9" s="188">
        <f>674578-194731</f>
        <v>479847</v>
      </c>
      <c r="AS9" s="188">
        <f>BK9-SUM(AP9:AR9)</f>
        <v>526496.98638405511</v>
      </c>
      <c r="AT9" s="188">
        <f>787120-63851</f>
        <v>723269</v>
      </c>
      <c r="AU9" s="188">
        <f>629958-110628</f>
        <v>519330</v>
      </c>
      <c r="AV9" s="188">
        <f>696281-116394</f>
        <v>579887</v>
      </c>
      <c r="AW9" s="188">
        <f>BL9-SUM(AT9:AV9)</f>
        <v>647415</v>
      </c>
      <c r="AX9" s="188">
        <f>1241650-32030</f>
        <v>1209620</v>
      </c>
      <c r="AY9" s="188">
        <f>1389722-62532</f>
        <v>1327190</v>
      </c>
      <c r="AZ9" s="94"/>
      <c r="BA9" s="188">
        <f t="shared" ref="BA9:BA16" si="0">SUM(B9:E9)</f>
        <v>209159.51967095546</v>
      </c>
      <c r="BB9" s="188">
        <f t="shared" ref="BB9:BB16" si="1">SUM(F9:I9)</f>
        <v>75448.426381393729</v>
      </c>
      <c r="BC9" s="188">
        <f t="shared" ref="BC9:BC16" si="2">SUM(J9:M9)</f>
        <v>117604.31503022833</v>
      </c>
      <c r="BD9" s="188">
        <f t="shared" ref="BD9:BD16" si="3">SUM(N9:Q9)</f>
        <v>166522.3249563736</v>
      </c>
      <c r="BE9" s="188">
        <f t="shared" ref="BE9:BE16" si="4">SUM(R9:U9)</f>
        <v>229541.93987021717</v>
      </c>
      <c r="BF9" s="188">
        <f t="shared" ref="BF9:BF16" si="5">SUM(V9:Y9)</f>
        <v>412760.64874913392</v>
      </c>
      <c r="BG9" s="188">
        <f t="shared" ref="BG9:BG20" si="6">SUM(Z9:AC9)</f>
        <v>361922.04558440042</v>
      </c>
      <c r="BH9" s="188">
        <f t="shared" ref="BH9:BH20" si="7">SUM(AD9:AG9)</f>
        <v>810769.83981468307</v>
      </c>
      <c r="BI9" s="188">
        <f t="shared" ref="BI9:BI21" si="8">+SUM(AH9:AK9)</f>
        <v>1249659.4577299999</v>
      </c>
      <c r="BJ9" s="188">
        <f>SUM(AL9:AO9)</f>
        <v>2538242.2734748889</v>
      </c>
      <c r="BK9" s="188">
        <f>2779793-406516</f>
        <v>2373277</v>
      </c>
      <c r="BL9" s="188">
        <f>2782526-312625</f>
        <v>2469901</v>
      </c>
    </row>
    <row r="10" spans="1:66" ht="15.6">
      <c r="A10" s="143" t="s">
        <v>50</v>
      </c>
      <c r="B10" s="41">
        <f t="shared" ref="B10:AE10" si="9">SUM(B11:B18)</f>
        <v>-36237.449105486361</v>
      </c>
      <c r="C10" s="41">
        <f t="shared" si="9"/>
        <v>-22254.975861016894</v>
      </c>
      <c r="D10" s="41">
        <f t="shared" si="9"/>
        <v>-25968.924037943398</v>
      </c>
      <c r="E10" s="41">
        <f t="shared" si="9"/>
        <v>-23748.462914106851</v>
      </c>
      <c r="F10" s="41">
        <f t="shared" si="9"/>
        <v>0</v>
      </c>
      <c r="G10" s="41">
        <f t="shared" si="9"/>
        <v>-20788.073089750935</v>
      </c>
      <c r="H10" s="41">
        <f t="shared" si="9"/>
        <v>-25560.416325283761</v>
      </c>
      <c r="I10" s="41">
        <f t="shared" si="9"/>
        <v>-13314.070831847737</v>
      </c>
      <c r="J10" s="41">
        <f t="shared" si="9"/>
        <v>-12929.250492481393</v>
      </c>
      <c r="K10" s="41">
        <f t="shared" si="9"/>
        <v>-24226.108500978524</v>
      </c>
      <c r="L10" s="41">
        <f t="shared" si="9"/>
        <v>-29591.568750376347</v>
      </c>
      <c r="M10" s="41">
        <f t="shared" si="9"/>
        <v>-22026.47276844455</v>
      </c>
      <c r="N10" s="41">
        <f t="shared" si="9"/>
        <v>-15144.136052490538</v>
      </c>
      <c r="O10" s="41">
        <f t="shared" si="9"/>
        <v>-27758.031465133874</v>
      </c>
      <c r="P10" s="41">
        <f t="shared" si="9"/>
        <v>-19684.194803059043</v>
      </c>
      <c r="Q10" s="41">
        <f t="shared" si="9"/>
        <v>-30830.692629667457</v>
      </c>
      <c r="R10" s="41">
        <f t="shared" si="9"/>
        <v>-20505.443186928958</v>
      </c>
      <c r="S10" s="41">
        <f t="shared" si="9"/>
        <v>-28882.306626931524</v>
      </c>
      <c r="T10" s="41">
        <f t="shared" si="9"/>
        <v>-19461.711594149834</v>
      </c>
      <c r="U10" s="41">
        <f t="shared" si="9"/>
        <v>-34114.865839856939</v>
      </c>
      <c r="V10" s="41">
        <f t="shared" si="9"/>
        <v>-13677.322079540936</v>
      </c>
      <c r="W10" s="41">
        <f t="shared" si="9"/>
        <v>-33714.292553920008</v>
      </c>
      <c r="X10" s="41">
        <f t="shared" si="9"/>
        <v>-29738.881463307462</v>
      </c>
      <c r="Y10" s="41">
        <f t="shared" si="9"/>
        <v>-27179.539838486355</v>
      </c>
      <c r="Z10" s="41">
        <f t="shared" si="9"/>
        <v>-18933.633142310809</v>
      </c>
      <c r="AA10" s="41">
        <f t="shared" si="9"/>
        <v>-10390.298543556646</v>
      </c>
      <c r="AB10" s="41">
        <f t="shared" si="9"/>
        <v>-28517.794360689499</v>
      </c>
      <c r="AC10" s="41">
        <f t="shared" si="9"/>
        <v>-40603.198859205804</v>
      </c>
      <c r="AD10" s="41">
        <f t="shared" si="9"/>
        <v>-18501.47611119163</v>
      </c>
      <c r="AE10" s="41">
        <f t="shared" si="9"/>
        <v>-31973.660209087087</v>
      </c>
      <c r="AF10" s="41">
        <f t="shared" ref="AF10:AP10" si="10">SUM(AF11:AF18)</f>
        <v>-40373.432048558141</v>
      </c>
      <c r="AG10" s="41">
        <f t="shared" si="10"/>
        <v>-57341.367714829183</v>
      </c>
      <c r="AH10" s="41">
        <f t="shared" si="10"/>
        <v>-42155</v>
      </c>
      <c r="AI10" s="41">
        <f t="shared" si="10"/>
        <v>-55444.28122218333</v>
      </c>
      <c r="AJ10" s="41">
        <f t="shared" si="10"/>
        <v>-44736.189793983671</v>
      </c>
      <c r="AK10" s="41">
        <f t="shared" si="10"/>
        <v>-26356.098515578426</v>
      </c>
      <c r="AL10" s="41">
        <f t="shared" si="10"/>
        <v>-79225</v>
      </c>
      <c r="AM10" s="41">
        <f t="shared" si="10"/>
        <v>-44922</v>
      </c>
      <c r="AN10" s="41">
        <f t="shared" si="10"/>
        <v>-63436</v>
      </c>
      <c r="AO10" s="41">
        <f t="shared" si="10"/>
        <v>-60736</v>
      </c>
      <c r="AP10" s="41">
        <f t="shared" si="10"/>
        <v>-57212</v>
      </c>
      <c r="AQ10" s="41">
        <f>SUM(AQ11:AQ18)</f>
        <v>-61252</v>
      </c>
      <c r="AR10" s="41">
        <f>SUM(AR11:AR18)</f>
        <v>-74107</v>
      </c>
      <c r="AS10" s="41">
        <f>SUM(AS11:AS18)</f>
        <v>-54425</v>
      </c>
      <c r="AT10" s="41">
        <f t="shared" ref="AT10:AU10" si="11">SUM(AT11:AT18)</f>
        <v>-116203</v>
      </c>
      <c r="AU10" s="41">
        <f t="shared" si="11"/>
        <v>-106162</v>
      </c>
      <c r="AV10" s="41">
        <f>SUM(AV11:AV18)</f>
        <v>-130853</v>
      </c>
      <c r="AW10" s="41">
        <f t="shared" ref="AW10:AW20" si="12">BL10-SUM(AT10:AV10)</f>
        <v>-131379</v>
      </c>
      <c r="AX10" s="41">
        <f>SUM(AX11:AX18)</f>
        <v>-134762</v>
      </c>
      <c r="AY10" s="41">
        <f>SUM(AY11:AY18)</f>
        <v>-109547</v>
      </c>
      <c r="AZ10" s="70"/>
      <c r="BA10" s="41">
        <f t="shared" si="0"/>
        <v>-108209.81191855349</v>
      </c>
      <c r="BB10" s="41">
        <f t="shared" si="1"/>
        <v>-59662.560246882436</v>
      </c>
      <c r="BC10" s="41">
        <f t="shared" si="2"/>
        <v>-88773.400512280816</v>
      </c>
      <c r="BD10" s="41">
        <f t="shared" si="3"/>
        <v>-93417.05495035091</v>
      </c>
      <c r="BE10" s="41">
        <f t="shared" si="4"/>
        <v>-102964.32724786726</v>
      </c>
      <c r="BF10" s="70">
        <f t="shared" si="5"/>
        <v>-104310.03593525475</v>
      </c>
      <c r="BG10" s="41">
        <f t="shared" si="6"/>
        <v>-98444.92490576276</v>
      </c>
      <c r="BH10" s="41">
        <f t="shared" si="7"/>
        <v>-148189.93608366605</v>
      </c>
      <c r="BI10" s="41">
        <f t="shared" si="8"/>
        <v>-168691.56953174542</v>
      </c>
      <c r="BJ10" s="41">
        <f>SUM(BJ11:BJ18)</f>
        <v>-248319</v>
      </c>
      <c r="BK10" s="41">
        <f>SUM(BK11:BK18)</f>
        <v>-246996</v>
      </c>
      <c r="BL10" s="41">
        <f>SUM(BL11:BL18)</f>
        <v>-484597</v>
      </c>
    </row>
    <row r="11" spans="1:66" ht="15.6" outlineLevel="1">
      <c r="A11" s="138" t="s">
        <v>51</v>
      </c>
      <c r="B11" s="41">
        <v>-3527.0112837384836</v>
      </c>
      <c r="C11" s="41">
        <v>-11816.884725138643</v>
      </c>
      <c r="D11" s="41">
        <v>-6704.6784463217955</v>
      </c>
      <c r="E11" s="41">
        <v>-3336.5446962884735</v>
      </c>
      <c r="F11" s="41">
        <v>0</v>
      </c>
      <c r="G11" s="41">
        <v>-6501.7683246683182</v>
      </c>
      <c r="H11" s="41">
        <v>-8719.7787881523491</v>
      </c>
      <c r="I11" s="41">
        <v>-4208.4258341820096</v>
      </c>
      <c r="J11" s="41">
        <v>-4428.5814127315871</v>
      </c>
      <c r="K11" s="41">
        <v>-7649.343147138994</v>
      </c>
      <c r="L11" s="41">
        <v>-4288.9412436905413</v>
      </c>
      <c r="M11" s="41">
        <v>-14917.789900309075</v>
      </c>
      <c r="N11" s="41">
        <v>-5682.5507149901987</v>
      </c>
      <c r="O11" s="41">
        <v>-9708.9979871997984</v>
      </c>
      <c r="P11" s="41">
        <v>-6809.6605533244528</v>
      </c>
      <c r="Q11" s="41">
        <v>-10612.906768564531</v>
      </c>
      <c r="R11" s="41">
        <v>-7041.6417662171216</v>
      </c>
      <c r="S11" s="41">
        <v>-10666.312284541276</v>
      </c>
      <c r="T11" s="41">
        <v>-8221.550233836897</v>
      </c>
      <c r="U11" s="41">
        <v>-13719.407555931701</v>
      </c>
      <c r="V11" s="41">
        <v>-3134.0324518258872</v>
      </c>
      <c r="W11" s="41">
        <v>-3206.6700337849898</v>
      </c>
      <c r="X11" s="41">
        <v>-1085.3275596894684</v>
      </c>
      <c r="Y11" s="41">
        <v>-1171.0732906251865</v>
      </c>
      <c r="Z11" s="70">
        <v>-2565.8104027603199</v>
      </c>
      <c r="AA11" s="70">
        <v>0</v>
      </c>
      <c r="AB11" s="70">
        <v>-231.83838299615229</v>
      </c>
      <c r="AC11" s="41">
        <v>-2970.8799486395683</v>
      </c>
      <c r="AD11" s="41">
        <v>-565.11036883950385</v>
      </c>
      <c r="AE11" s="41">
        <v>0</v>
      </c>
      <c r="AF11" s="41">
        <v>-1075.7352589753948</v>
      </c>
      <c r="AG11" s="41">
        <v>-804.78547192270673</v>
      </c>
      <c r="AH11" s="41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f t="shared" ref="AO11:AO20" si="13">BJ11-SUM(AL11:AN11)</f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 t="shared" si="12"/>
        <v>0</v>
      </c>
      <c r="AX11" s="70">
        <v>0</v>
      </c>
      <c r="AY11" s="70">
        <v>0</v>
      </c>
      <c r="AZ11" s="329"/>
      <c r="BA11" s="41">
        <f t="shared" si="0"/>
        <v>-25385.119151487397</v>
      </c>
      <c r="BB11" s="41">
        <f t="shared" si="1"/>
        <v>-19429.972947002676</v>
      </c>
      <c r="BC11" s="41">
        <f t="shared" si="2"/>
        <v>-31284.655703870198</v>
      </c>
      <c r="BD11" s="41">
        <f t="shared" si="3"/>
        <v>-32814.116024078976</v>
      </c>
      <c r="BE11" s="41">
        <f t="shared" si="4"/>
        <v>-39648.911840526998</v>
      </c>
      <c r="BF11" s="70">
        <f t="shared" si="5"/>
        <v>-8597.1033359255307</v>
      </c>
      <c r="BG11" s="41">
        <f t="shared" si="6"/>
        <v>-5768.5287343960408</v>
      </c>
      <c r="BH11" s="70">
        <f t="shared" si="7"/>
        <v>-2445.6310997376054</v>
      </c>
      <c r="BI11" s="70">
        <f t="shared" si="8"/>
        <v>0</v>
      </c>
      <c r="BJ11" s="41">
        <v>0</v>
      </c>
      <c r="BK11" s="41">
        <v>0</v>
      </c>
      <c r="BL11" s="41">
        <v>0</v>
      </c>
    </row>
    <row r="12" spans="1:66" ht="15.6" outlineLevel="1">
      <c r="A12" s="138" t="s">
        <v>52</v>
      </c>
      <c r="B12" s="41">
        <v>-4206.1778236785276</v>
      </c>
      <c r="C12" s="41">
        <v>-6773.7217107270417</v>
      </c>
      <c r="D12" s="41">
        <v>-3826.9114074638533</v>
      </c>
      <c r="E12" s="41">
        <v>-3412.2504482733871</v>
      </c>
      <c r="F12" s="41">
        <v>0</v>
      </c>
      <c r="G12" s="41">
        <v>-3092.1257321675776</v>
      </c>
      <c r="H12" s="41">
        <v>-3596.9087501128442</v>
      </c>
      <c r="I12" s="41">
        <v>-1935.5898615786766</v>
      </c>
      <c r="J12" s="41">
        <v>-2043.2301725155703</v>
      </c>
      <c r="K12" s="41">
        <v>-3594.0976592272395</v>
      </c>
      <c r="L12" s="41">
        <v>-2254.3052280787078</v>
      </c>
      <c r="M12" s="41">
        <v>-9040.5419733693561</v>
      </c>
      <c r="N12" s="41">
        <v>-2495.9190615921902</v>
      </c>
      <c r="O12" s="41">
        <v>-4415.6970666319648</v>
      </c>
      <c r="P12" s="41">
        <v>-3084.777495686732</v>
      </c>
      <c r="Q12" s="41">
        <v>-4524.1242126411034</v>
      </c>
      <c r="R12" s="41">
        <v>-3010.5413614436297</v>
      </c>
      <c r="S12" s="41">
        <v>-3998.3085145065756</v>
      </c>
      <c r="T12" s="41">
        <v>-2743.8927006895519</v>
      </c>
      <c r="U12" s="41">
        <v>-4318.9950123488798</v>
      </c>
      <c r="V12" s="41">
        <v>-1647.0323817454023</v>
      </c>
      <c r="W12" s="41">
        <v>-4290.5250153737597</v>
      </c>
      <c r="X12" s="41">
        <v>-7126.0024534934828</v>
      </c>
      <c r="Y12" s="41">
        <v>-5351.5693146159474</v>
      </c>
      <c r="Z12" s="41">
        <v>-2406.0773356889754</v>
      </c>
      <c r="AA12" s="41">
        <v>-2355.0475259408672</v>
      </c>
      <c r="AB12" s="41">
        <v>-2200.3265940332499</v>
      </c>
      <c r="AC12" s="41">
        <v>-5183.576222567106</v>
      </c>
      <c r="AD12" s="41">
        <v>-1835.9239931118614</v>
      </c>
      <c r="AE12" s="41">
        <v>-3444.676621424107</v>
      </c>
      <c r="AF12" s="41">
        <v>-2853.6520722810942</v>
      </c>
      <c r="AG12" s="41">
        <v>-6400.3272636914171</v>
      </c>
      <c r="AH12" s="41">
        <v>-6211</v>
      </c>
      <c r="AI12" s="70">
        <v>-2516.4699133722452</v>
      </c>
      <c r="AJ12" s="70">
        <v>-391.16377721023736</v>
      </c>
      <c r="AK12" s="70">
        <v>-786.38454339074883</v>
      </c>
      <c r="AL12" s="70">
        <v>-1875</v>
      </c>
      <c r="AM12" s="70">
        <v>-4172</v>
      </c>
      <c r="AN12" s="70">
        <v>-7558</v>
      </c>
      <c r="AO12" s="70">
        <f t="shared" si="13"/>
        <v>-6425</v>
      </c>
      <c r="AP12" s="70">
        <v>-3213</v>
      </c>
      <c r="AQ12" s="70">
        <v>-5038</v>
      </c>
      <c r="AR12" s="70">
        <v>-11131</v>
      </c>
      <c r="AS12" s="70">
        <f>BK12-SUM(AP12:AR12)</f>
        <v>-674</v>
      </c>
      <c r="AT12" s="70">
        <v>-5062</v>
      </c>
      <c r="AU12" s="70">
        <v>-8902</v>
      </c>
      <c r="AV12" s="70">
        <v>-12924</v>
      </c>
      <c r="AW12" s="70">
        <f t="shared" si="12"/>
        <v>-13218</v>
      </c>
      <c r="AX12" s="70">
        <v>-2278</v>
      </c>
      <c r="AY12" s="70">
        <v>0</v>
      </c>
      <c r="AZ12" s="329"/>
      <c r="BA12" s="41">
        <f t="shared" si="0"/>
        <v>-18219.061390142808</v>
      </c>
      <c r="BB12" s="41">
        <f t="shared" si="1"/>
        <v>-8624.6243438590991</v>
      </c>
      <c r="BC12" s="41">
        <f t="shared" si="2"/>
        <v>-16932.175033190873</v>
      </c>
      <c r="BD12" s="41">
        <f t="shared" si="3"/>
        <v>-14520.517836551991</v>
      </c>
      <c r="BE12" s="41">
        <f t="shared" si="4"/>
        <v>-14071.737588988637</v>
      </c>
      <c r="BF12" s="70">
        <f t="shared" si="5"/>
        <v>-18415.129165228591</v>
      </c>
      <c r="BG12" s="41">
        <f t="shared" si="6"/>
        <v>-12145.027678230199</v>
      </c>
      <c r="BH12" s="70">
        <f t="shared" si="7"/>
        <v>-14534.57995050848</v>
      </c>
      <c r="BI12" s="70">
        <f t="shared" si="8"/>
        <v>-9905.018233973231</v>
      </c>
      <c r="BJ12" s="41">
        <v>-20030</v>
      </c>
      <c r="BK12" s="41">
        <v>-20056</v>
      </c>
      <c r="BL12" s="70">
        <v>-40106</v>
      </c>
    </row>
    <row r="13" spans="1:66" ht="15.6" outlineLevel="1">
      <c r="A13" s="138" t="s">
        <v>53</v>
      </c>
      <c r="B13" s="41">
        <v>-2537.6708660563513</v>
      </c>
      <c r="C13" s="41">
        <v>-3138.0678045191048</v>
      </c>
      <c r="D13" s="41">
        <v>-4484.5862455529887</v>
      </c>
      <c r="E13" s="41">
        <v>-2300.9841510026054</v>
      </c>
      <c r="F13" s="41">
        <v>0</v>
      </c>
      <c r="G13" s="41">
        <v>-4043.0480215756161</v>
      </c>
      <c r="H13" s="41">
        <v>-4627.5820848523545</v>
      </c>
      <c r="I13" s="41">
        <v>-2757.7735185254492</v>
      </c>
      <c r="J13" s="41">
        <v>-2669.9815958647755</v>
      </c>
      <c r="K13" s="41">
        <v>-4293.6717646619527</v>
      </c>
      <c r="L13" s="41">
        <v>-2386.1683738512493</v>
      </c>
      <c r="M13" s="41">
        <v>-8335.5636860279974</v>
      </c>
      <c r="N13" s="41">
        <v>-2845.5704380982215</v>
      </c>
      <c r="O13" s="41">
        <v>-5054.7742884031231</v>
      </c>
      <c r="P13" s="41">
        <v>-3064.8532612979416</v>
      </c>
      <c r="Q13" s="41">
        <v>-6234.6327141762931</v>
      </c>
      <c r="R13" s="41">
        <v>-4197.1376291486195</v>
      </c>
      <c r="S13" s="41">
        <v>-6513.3914241514949</v>
      </c>
      <c r="T13" s="41">
        <v>-3315.3576656666046</v>
      </c>
      <c r="U13" s="41">
        <v>-7087.6959214314784</v>
      </c>
      <c r="V13" s="41">
        <v>-3639.3417742305351</v>
      </c>
      <c r="W13" s="41">
        <v>-7934.1551770621527</v>
      </c>
      <c r="X13" s="41">
        <v>-5672.3533396806806</v>
      </c>
      <c r="Y13" s="41">
        <v>-8368.5222848637823</v>
      </c>
      <c r="Z13" s="41">
        <v>-4050.4542112901931</v>
      </c>
      <c r="AA13" s="41">
        <v>-2884.2821397877683</v>
      </c>
      <c r="AB13" s="41">
        <v>-6206.8359393155934</v>
      </c>
      <c r="AC13" s="41">
        <v>-8905.2320914027114</v>
      </c>
      <c r="AD13" s="41">
        <v>-4398.5488805633759</v>
      </c>
      <c r="AE13" s="41">
        <v>-8857.7938268420603</v>
      </c>
      <c r="AF13" s="41">
        <v>-9010.2147664420354</v>
      </c>
      <c r="AG13" s="41">
        <v>-11384.62598512773</v>
      </c>
      <c r="AH13" s="41">
        <v>-3853</v>
      </c>
      <c r="AI13" s="70">
        <v>-8912.6454149249585</v>
      </c>
      <c r="AJ13" s="70">
        <v>-11417.358609229117</v>
      </c>
      <c r="AK13" s="70">
        <v>-8068.8200138179727</v>
      </c>
      <c r="AL13" s="70">
        <v>-22027</v>
      </c>
      <c r="AM13" s="70">
        <v>-11741</v>
      </c>
      <c r="AN13" s="70">
        <v>-21297</v>
      </c>
      <c r="AO13" s="70">
        <f t="shared" si="13"/>
        <v>-24497</v>
      </c>
      <c r="AP13" s="70">
        <v>-25623</v>
      </c>
      <c r="AQ13" s="70">
        <v>-25391</v>
      </c>
      <c r="AR13" s="70">
        <v>-29378</v>
      </c>
      <c r="AS13" s="70">
        <f t="shared" ref="AS13:AS20" si="14">BK13-SUM(AP13:AR13)</f>
        <v>-28211</v>
      </c>
      <c r="AT13" s="70">
        <v>-32372</v>
      </c>
      <c r="AU13" s="70">
        <v>-19368</v>
      </c>
      <c r="AV13" s="70">
        <v>-24542</v>
      </c>
      <c r="AW13" s="70">
        <f t="shared" si="12"/>
        <v>-35437</v>
      </c>
      <c r="AX13" s="70">
        <v>-49186</v>
      </c>
      <c r="AY13" s="70">
        <v>-43486</v>
      </c>
      <c r="AZ13" s="329"/>
      <c r="BA13" s="41">
        <f t="shared" si="0"/>
        <v>-12461.309067131049</v>
      </c>
      <c r="BB13" s="41">
        <f t="shared" si="1"/>
        <v>-11428.40362495342</v>
      </c>
      <c r="BC13" s="41">
        <f t="shared" si="2"/>
        <v>-17685.385420405975</v>
      </c>
      <c r="BD13" s="41">
        <f t="shared" si="3"/>
        <v>-17199.830701975578</v>
      </c>
      <c r="BE13" s="41">
        <f t="shared" si="4"/>
        <v>-21113.582640398196</v>
      </c>
      <c r="BF13" s="70">
        <f t="shared" si="5"/>
        <v>-25614.372575837151</v>
      </c>
      <c r="BG13" s="41">
        <f t="shared" si="6"/>
        <v>-22046.804381796268</v>
      </c>
      <c r="BH13" s="70">
        <f t="shared" si="7"/>
        <v>-33651.183458975203</v>
      </c>
      <c r="BI13" s="70">
        <f t="shared" si="8"/>
        <v>-32251.824037972052</v>
      </c>
      <c r="BJ13" s="41">
        <f>-79562</f>
        <v>-79562</v>
      </c>
      <c r="BK13" s="41">
        <v>-108603</v>
      </c>
      <c r="BL13" s="70">
        <v>-111719</v>
      </c>
    </row>
    <row r="14" spans="1:66" ht="15.6" outlineLevel="1">
      <c r="A14" s="138" t="s">
        <v>54</v>
      </c>
      <c r="B14" s="41">
        <v>-3174.0985770032835</v>
      </c>
      <c r="C14" s="41">
        <v>-1160.2864373014593</v>
      </c>
      <c r="D14" s="41">
        <v>-9350.7645763074288</v>
      </c>
      <c r="E14" s="41">
        <v>2070.7288327894225</v>
      </c>
      <c r="F14" s="41">
        <v>0</v>
      </c>
      <c r="G14" s="41">
        <v>-3835.2780145063252</v>
      </c>
      <c r="H14" s="41">
        <v>-4126.9289827994362</v>
      </c>
      <c r="I14" s="41">
        <v>-1562.7209924889637</v>
      </c>
      <c r="J14" s="41">
        <v>-1829.4365870733557</v>
      </c>
      <c r="K14" s="41">
        <v>-2546.4497437823566</v>
      </c>
      <c r="L14" s="41">
        <v>-1455.4240668913237</v>
      </c>
      <c r="M14" s="41">
        <v>-6983.8998896267358</v>
      </c>
      <c r="N14" s="41">
        <v>-2326.0247621797962</v>
      </c>
      <c r="O14" s="41">
        <v>-5563.2371874765277</v>
      </c>
      <c r="P14" s="41">
        <v>-4128.1116107441985</v>
      </c>
      <c r="Q14" s="41">
        <v>-6119.8603322600084</v>
      </c>
      <c r="R14" s="41">
        <v>-3453.820704441418</v>
      </c>
      <c r="S14" s="41">
        <v>-4262.0915849022967</v>
      </c>
      <c r="T14" s="41">
        <v>-2870.4910535865511</v>
      </c>
      <c r="U14" s="41">
        <v>-4922.1641007579483</v>
      </c>
      <c r="V14" s="41">
        <v>-3385.6255388214786</v>
      </c>
      <c r="W14" s="41">
        <v>-8400.1949632148207</v>
      </c>
      <c r="X14" s="41">
        <v>-5329.2075582246971</v>
      </c>
      <c r="Y14" s="41">
        <v>-9286.9682736324685</v>
      </c>
      <c r="Z14" s="41">
        <v>-5151.3354056640874</v>
      </c>
      <c r="AA14" s="41">
        <v>-2587.7619378644076</v>
      </c>
      <c r="AB14" s="41">
        <v>-4343.9485314395333</v>
      </c>
      <c r="AC14" s="41">
        <v>-8853.7481975165501</v>
      </c>
      <c r="AD14" s="41">
        <v>-4474.8707332854801</v>
      </c>
      <c r="AE14" s="41">
        <v>-10293.060019007919</v>
      </c>
      <c r="AF14" s="41">
        <v>-13077.247270341546</v>
      </c>
      <c r="AG14" s="41">
        <v>-11650.858687407834</v>
      </c>
      <c r="AH14" s="41">
        <v>-10086</v>
      </c>
      <c r="AI14" s="70">
        <v>-7822.3761340186165</v>
      </c>
      <c r="AJ14" s="70">
        <v>-8201.8628973722916</v>
      </c>
      <c r="AK14" s="70">
        <v>-6105.9938150549215</v>
      </c>
      <c r="AL14" s="70">
        <v>-21030</v>
      </c>
      <c r="AM14" s="70">
        <v>-2404</v>
      </c>
      <c r="AN14" s="70">
        <v>-17830</v>
      </c>
      <c r="AO14" s="70">
        <f t="shared" si="13"/>
        <v>-19319</v>
      </c>
      <c r="AP14" s="70">
        <v>-11100</v>
      </c>
      <c r="AQ14" s="70">
        <v>-16278</v>
      </c>
      <c r="AR14" s="70">
        <v>-13084</v>
      </c>
      <c r="AS14" s="70">
        <f t="shared" si="14"/>
        <v>-21099</v>
      </c>
      <c r="AT14" s="70">
        <v>-44767</v>
      </c>
      <c r="AU14" s="70">
        <v>-50697</v>
      </c>
      <c r="AV14" s="70">
        <v>-54219</v>
      </c>
      <c r="AW14" s="70">
        <f t="shared" si="12"/>
        <v>-39971</v>
      </c>
      <c r="AX14" s="70">
        <v>-40715</v>
      </c>
      <c r="AY14" s="70">
        <v>-38219</v>
      </c>
      <c r="AZ14" s="329"/>
      <c r="BA14" s="41">
        <f t="shared" si="0"/>
        <v>-11614.420757822749</v>
      </c>
      <c r="BB14" s="41">
        <f t="shared" si="1"/>
        <v>-9524.9279897947254</v>
      </c>
      <c r="BC14" s="41">
        <f t="shared" si="2"/>
        <v>-12815.210287373771</v>
      </c>
      <c r="BD14" s="41">
        <f t="shared" si="3"/>
        <v>-18137.23389266053</v>
      </c>
      <c r="BE14" s="41">
        <f t="shared" si="4"/>
        <v>-15508.567443688215</v>
      </c>
      <c r="BF14" s="70">
        <f t="shared" si="5"/>
        <v>-26401.996333893465</v>
      </c>
      <c r="BG14" s="41">
        <f t="shared" si="6"/>
        <v>-20936.794072484579</v>
      </c>
      <c r="BH14" s="70">
        <f t="shared" si="7"/>
        <v>-39496.036710042776</v>
      </c>
      <c r="BI14" s="70">
        <f t="shared" si="8"/>
        <v>-32216.23284644583</v>
      </c>
      <c r="BJ14" s="41">
        <v>-60583</v>
      </c>
      <c r="BK14" s="41">
        <v>-61561</v>
      </c>
      <c r="BL14" s="70">
        <v>-189654</v>
      </c>
    </row>
    <row r="15" spans="1:66" ht="15.6" outlineLevel="1">
      <c r="A15" s="138" t="s">
        <v>55</v>
      </c>
      <c r="B15" s="41">
        <v>-1040.1192244066219</v>
      </c>
      <c r="C15" s="41">
        <v>-1001.9024031299916</v>
      </c>
      <c r="D15" s="41">
        <v>-927.16325770721039</v>
      </c>
      <c r="E15" s="41">
        <v>-2511.6265801005252</v>
      </c>
      <c r="F15" s="41">
        <v>0</v>
      </c>
      <c r="G15" s="41">
        <v>-894.58340034379512</v>
      </c>
      <c r="H15" s="41">
        <v>-971.37432095997679</v>
      </c>
      <c r="I15" s="41">
        <v>-593.62596104031684</v>
      </c>
      <c r="J15" s="41">
        <v>-480.71474853933717</v>
      </c>
      <c r="K15" s="41">
        <v>-875.46702337258409</v>
      </c>
      <c r="L15" s="41">
        <v>-514.51274168258055</v>
      </c>
      <c r="M15" s="41">
        <v>-1408.1349253614226</v>
      </c>
      <c r="N15" s="41">
        <v>-652.85225167459203</v>
      </c>
      <c r="O15" s="41">
        <v>-955.97244755452209</v>
      </c>
      <c r="P15" s="41">
        <v>-855.79330565186558</v>
      </c>
      <c r="Q15" s="41">
        <v>-1188.3403189294661</v>
      </c>
      <c r="R15" s="41">
        <v>-783.9791021051916</v>
      </c>
      <c r="S15" s="41">
        <v>-1028.5323080976027</v>
      </c>
      <c r="T15" s="41">
        <v>-597.29102896804034</v>
      </c>
      <c r="U15" s="41">
        <v>-1419.3757147860188</v>
      </c>
      <c r="V15" s="41">
        <v>-808.38875842676362</v>
      </c>
      <c r="W15" s="41">
        <v>-5617.4757365375108</v>
      </c>
      <c r="X15" s="41">
        <v>-3119.2782334846934</v>
      </c>
      <c r="Y15" s="41">
        <v>-4499.9238143189332</v>
      </c>
      <c r="Z15" s="41">
        <v>-2978.920887584386</v>
      </c>
      <c r="AA15" s="41">
        <v>-2352.0711625589515</v>
      </c>
      <c r="AB15" s="41">
        <v>-2635.1862394446375</v>
      </c>
      <c r="AC15" s="41">
        <v>-5500.2577281258682</v>
      </c>
      <c r="AD15" s="41">
        <v>-2496.1627956073853</v>
      </c>
      <c r="AE15" s="41">
        <v>-5215.6312231757165</v>
      </c>
      <c r="AF15" s="41">
        <v>-6697.9670398901599</v>
      </c>
      <c r="AG15" s="41">
        <v>-9707.5569049275091</v>
      </c>
      <c r="AH15" s="41">
        <v>-6485</v>
      </c>
      <c r="AI15" s="70">
        <v>-7381.7987964927734</v>
      </c>
      <c r="AJ15" s="70">
        <v>-6541.9598711491799</v>
      </c>
      <c r="AK15" s="70">
        <v>-4388.1425097924794</v>
      </c>
      <c r="AL15" s="70">
        <v>-12499</v>
      </c>
      <c r="AM15" s="70">
        <v>-13829</v>
      </c>
      <c r="AN15" s="70">
        <v>-11607</v>
      </c>
      <c r="AO15" s="70">
        <f t="shared" si="13"/>
        <v>-10443</v>
      </c>
      <c r="AP15" s="70">
        <v>-11502</v>
      </c>
      <c r="AQ15" s="70">
        <v>-13041</v>
      </c>
      <c r="AR15" s="70">
        <v>-12949</v>
      </c>
      <c r="AS15" s="70">
        <f t="shared" si="14"/>
        <v>-10199</v>
      </c>
      <c r="AT15" s="70">
        <v>-22944</v>
      </c>
      <c r="AU15" s="70">
        <v>-19324</v>
      </c>
      <c r="AV15" s="70">
        <v>-27808</v>
      </c>
      <c r="AW15" s="70">
        <f t="shared" si="12"/>
        <v>-29188</v>
      </c>
      <c r="AX15" s="70">
        <v>-29488</v>
      </c>
      <c r="AY15" s="70">
        <v>-21366</v>
      </c>
      <c r="BA15" s="41">
        <f t="shared" si="0"/>
        <v>-5480.811465344349</v>
      </c>
      <c r="BB15" s="41">
        <f t="shared" si="1"/>
        <v>-2459.5836823440886</v>
      </c>
      <c r="BC15" s="41">
        <f t="shared" si="2"/>
        <v>-3278.8294389559242</v>
      </c>
      <c r="BD15" s="41">
        <f t="shared" si="3"/>
        <v>-3652.958323810446</v>
      </c>
      <c r="BE15" s="41">
        <f t="shared" si="4"/>
        <v>-3829.1781539568533</v>
      </c>
      <c r="BF15" s="70">
        <f t="shared" si="5"/>
        <v>-14045.066542767901</v>
      </c>
      <c r="BG15" s="41">
        <f t="shared" si="6"/>
        <v>-13466.436017713844</v>
      </c>
      <c r="BH15" s="70">
        <f t="shared" si="7"/>
        <v>-24117.31796360077</v>
      </c>
      <c r="BI15" s="70">
        <f t="shared" si="8"/>
        <v>-24796.901177434433</v>
      </c>
      <c r="BJ15" s="41">
        <v>-48378</v>
      </c>
      <c r="BK15" s="41">
        <v>-47691</v>
      </c>
      <c r="BL15" s="70">
        <v>-99264</v>
      </c>
      <c r="BM15" s="41"/>
      <c r="BN15" s="41"/>
    </row>
    <row r="16" spans="1:66" ht="15.6" outlineLevel="1">
      <c r="A16" s="138" t="s">
        <v>56</v>
      </c>
      <c r="B16" s="41">
        <v>-1487.8190370275356</v>
      </c>
      <c r="C16" s="41">
        <v>-843.06968897503555</v>
      </c>
      <c r="D16" s="41">
        <v>-1531.2041852035154</v>
      </c>
      <c r="E16" s="41">
        <v>-1422.3267186388418</v>
      </c>
      <c r="F16" s="41">
        <v>0</v>
      </c>
      <c r="G16" s="41">
        <v>-1469.3703321263938</v>
      </c>
      <c r="H16" s="41">
        <v>-1718.8242708381915</v>
      </c>
      <c r="I16" s="41">
        <v>-845.32544868246612</v>
      </c>
      <c r="J16" s="41">
        <v>-922.41794247217172</v>
      </c>
      <c r="K16" s="41">
        <v>-1094.7620898925268</v>
      </c>
      <c r="L16" s="41">
        <v>-641.13833259967078</v>
      </c>
      <c r="M16" s="41">
        <v>-1247.8297850874185</v>
      </c>
      <c r="N16" s="41">
        <v>-599.72051384337522</v>
      </c>
      <c r="O16" s="41">
        <v>-1238.3481737677641</v>
      </c>
      <c r="P16" s="41">
        <v>-805.50833314682245</v>
      </c>
      <c r="Q16" s="41">
        <v>-911.71733945831386</v>
      </c>
      <c r="R16" s="41">
        <v>-680.4753778193982</v>
      </c>
      <c r="S16" s="41">
        <v>-966.1886202414712</v>
      </c>
      <c r="T16" s="41">
        <v>-662.1093856513038</v>
      </c>
      <c r="U16" s="41">
        <v>-1116.3481823317024</v>
      </c>
      <c r="V16" s="41">
        <v>-444.26880551753197</v>
      </c>
      <c r="W16" s="41">
        <v>-765.25416445429721</v>
      </c>
      <c r="X16" s="41">
        <v>-481.61253112640992</v>
      </c>
      <c r="Y16" s="41">
        <v>-861.36193498380237</v>
      </c>
      <c r="Z16" s="41">
        <v>-267.49127921905369</v>
      </c>
      <c r="AA16" s="41">
        <v>-193.46361982452621</v>
      </c>
      <c r="AB16" s="41">
        <v>-338.92652141297964</v>
      </c>
      <c r="AC16" s="41">
        <v>-608.73222735184277</v>
      </c>
      <c r="AD16" s="41">
        <v>-374.85350152746412</v>
      </c>
      <c r="AE16" s="41">
        <v>-456.89873520670534</v>
      </c>
      <c r="AF16" s="41">
        <v>-476.02288872378404</v>
      </c>
      <c r="AG16" s="41">
        <v>-389.77040542285482</v>
      </c>
      <c r="AH16" s="41"/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f t="shared" si="13"/>
        <v>0</v>
      </c>
      <c r="AP16" s="70">
        <v>0</v>
      </c>
      <c r="AQ16" s="70">
        <v>0</v>
      </c>
      <c r="AR16" s="70">
        <v>0</v>
      </c>
      <c r="AS16" s="70">
        <f t="shared" si="14"/>
        <v>0</v>
      </c>
      <c r="AT16" s="70">
        <v>0</v>
      </c>
      <c r="AU16" s="70">
        <v>0</v>
      </c>
      <c r="AV16" s="70">
        <v>0</v>
      </c>
      <c r="AW16" s="70">
        <f t="shared" si="12"/>
        <v>0</v>
      </c>
      <c r="AX16" s="70">
        <v>0</v>
      </c>
      <c r="AY16" s="70">
        <v>0</v>
      </c>
      <c r="AZ16" s="329"/>
      <c r="BA16" s="41">
        <f t="shared" si="0"/>
        <v>-5284.4196298449287</v>
      </c>
      <c r="BB16" s="41">
        <f t="shared" si="1"/>
        <v>-4033.5200516470513</v>
      </c>
      <c r="BC16" s="41">
        <f t="shared" si="2"/>
        <v>-3906.1481500517875</v>
      </c>
      <c r="BD16" s="41">
        <f t="shared" si="3"/>
        <v>-3555.2943602162754</v>
      </c>
      <c r="BE16" s="41">
        <f t="shared" si="4"/>
        <v>-3425.1215660438756</v>
      </c>
      <c r="BF16" s="70">
        <f t="shared" si="5"/>
        <v>-2552.4974360820415</v>
      </c>
      <c r="BG16" s="41">
        <f t="shared" si="6"/>
        <v>-1408.6136478084022</v>
      </c>
      <c r="BH16" s="70">
        <f t="shared" si="7"/>
        <v>-1697.5455308808082</v>
      </c>
      <c r="BI16" s="70">
        <f t="shared" si="8"/>
        <v>0</v>
      </c>
      <c r="BJ16" s="41">
        <v>0</v>
      </c>
      <c r="BK16" s="41">
        <v>0</v>
      </c>
      <c r="BL16" s="70">
        <v>0</v>
      </c>
      <c r="BM16" s="41"/>
      <c r="BN16" s="41"/>
    </row>
    <row r="17" spans="1:66" ht="15.6" outlineLevel="1">
      <c r="A17" s="138" t="s">
        <v>57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-11619.806685853664</v>
      </c>
      <c r="AC17" s="41">
        <v>-1789.8986849271555</v>
      </c>
      <c r="AD17" s="41">
        <v>-3916.6987146934403</v>
      </c>
      <c r="AE17" s="41">
        <v>0</v>
      </c>
      <c r="AF17" s="41">
        <v>0</v>
      </c>
      <c r="AG17" s="41">
        <v>-17710.472546634534</v>
      </c>
      <c r="AH17" s="41">
        <v>-11798</v>
      </c>
      <c r="AI17" s="70">
        <v>-18731.099389730949</v>
      </c>
      <c r="AJ17" s="70">
        <v>-16980.946668821722</v>
      </c>
      <c r="AK17" s="70">
        <v>-26332.098327424348</v>
      </c>
      <c r="AL17" s="70">
        <v>-10949</v>
      </c>
      <c r="AM17" s="70">
        <v>3303</v>
      </c>
      <c r="AN17" s="70">
        <v>0</v>
      </c>
      <c r="AO17" s="70">
        <f t="shared" si="13"/>
        <v>84</v>
      </c>
      <c r="AP17" s="70">
        <v>0</v>
      </c>
      <c r="AQ17" s="70">
        <v>0</v>
      </c>
      <c r="AR17" s="70">
        <v>0</v>
      </c>
      <c r="AS17" s="70">
        <f t="shared" si="14"/>
        <v>0</v>
      </c>
      <c r="AT17" s="70">
        <v>0</v>
      </c>
      <c r="AU17" s="70">
        <v>0</v>
      </c>
      <c r="AV17" s="70">
        <v>0</v>
      </c>
      <c r="AW17" s="70">
        <f t="shared" si="12"/>
        <v>0</v>
      </c>
      <c r="AX17" s="70">
        <v>0</v>
      </c>
      <c r="AY17" s="70">
        <v>0</v>
      </c>
      <c r="AZ17" s="329"/>
      <c r="BA17" s="41"/>
      <c r="BB17" s="41"/>
      <c r="BC17" s="41"/>
      <c r="BD17" s="41"/>
      <c r="BE17" s="41"/>
      <c r="BF17" s="70"/>
      <c r="BG17" s="41">
        <f t="shared" si="6"/>
        <v>-13409.705370780819</v>
      </c>
      <c r="BH17" s="70">
        <f t="shared" si="7"/>
        <v>-21627.171261327974</v>
      </c>
      <c r="BI17" s="70">
        <f t="shared" si="8"/>
        <v>-73842.144385977022</v>
      </c>
      <c r="BJ17" s="41">
        <v>-7562</v>
      </c>
      <c r="BK17" s="41">
        <v>0</v>
      </c>
      <c r="BL17" s="70">
        <v>0</v>
      </c>
      <c r="BM17" s="41"/>
      <c r="BN17" s="41"/>
    </row>
    <row r="18" spans="1:66" ht="15.6" outlineLevel="1">
      <c r="A18" s="138" t="s">
        <v>58</v>
      </c>
      <c r="B18" s="41">
        <v>-20264.552293575554</v>
      </c>
      <c r="C18" s="41">
        <v>2478.9569087743857</v>
      </c>
      <c r="D18" s="41">
        <v>856.38408061339305</v>
      </c>
      <c r="E18" s="41">
        <v>-12835.459152592439</v>
      </c>
      <c r="F18" s="41">
        <v>0</v>
      </c>
      <c r="G18" s="41">
        <v>-951.89926436290978</v>
      </c>
      <c r="H18" s="41">
        <v>-1799.0191275686082</v>
      </c>
      <c r="I18" s="41">
        <v>-1410.609215349855</v>
      </c>
      <c r="J18" s="41">
        <v>-554.88803328459528</v>
      </c>
      <c r="K18" s="41">
        <v>-4172.3170729028698</v>
      </c>
      <c r="L18" s="41">
        <v>-18051.078763582274</v>
      </c>
      <c r="M18" s="41">
        <v>19907.287391337453</v>
      </c>
      <c r="N18" s="41">
        <v>-541.49831011216156</v>
      </c>
      <c r="O18" s="41">
        <v>-821.00431410017507</v>
      </c>
      <c r="P18" s="41">
        <v>-935.49024320702824</v>
      </c>
      <c r="Q18" s="41">
        <v>-1239.1109436377421</v>
      </c>
      <c r="R18" s="41">
        <v>-1337.8472457535745</v>
      </c>
      <c r="S18" s="41">
        <v>-1447.4818904908075</v>
      </c>
      <c r="T18" s="41">
        <v>-1051.019525750884</v>
      </c>
      <c r="U18" s="41">
        <v>-1530.8793522692088</v>
      </c>
      <c r="V18" s="41">
        <v>-618.63236897333752</v>
      </c>
      <c r="W18" s="41">
        <v>-3500.0174634924706</v>
      </c>
      <c r="X18" s="41">
        <v>-6925.0997876080282</v>
      </c>
      <c r="Y18" s="41">
        <v>2359.8790745537622</v>
      </c>
      <c r="Z18" s="41">
        <v>-1513.5436201037912</v>
      </c>
      <c r="AA18" s="41">
        <v>-17.672157580124992</v>
      </c>
      <c r="AB18" s="41">
        <v>-940.92546619368625</v>
      </c>
      <c r="AC18" s="41">
        <v>-6790.8737586749994</v>
      </c>
      <c r="AD18" s="41">
        <v>-439.3071235631167</v>
      </c>
      <c r="AE18" s="41">
        <v>-3705.5997834305808</v>
      </c>
      <c r="AF18" s="41">
        <v>-7182.5927519041325</v>
      </c>
      <c r="AG18" s="41">
        <v>707.02955030539908</v>
      </c>
      <c r="AH18" s="41">
        <v>-3722</v>
      </c>
      <c r="AI18" s="70">
        <v>-10079.891573643788</v>
      </c>
      <c r="AJ18" s="70">
        <v>-1202.897970201127</v>
      </c>
      <c r="AK18" s="70">
        <v>19325.340693902046</v>
      </c>
      <c r="AL18" s="70">
        <v>-10845</v>
      </c>
      <c r="AM18" s="70">
        <v>-16079</v>
      </c>
      <c r="AN18" s="70">
        <v>-5144</v>
      </c>
      <c r="AO18" s="70">
        <f t="shared" si="13"/>
        <v>-136</v>
      </c>
      <c r="AP18" s="70">
        <v>-5774</v>
      </c>
      <c r="AQ18" s="70">
        <v>-1504</v>
      </c>
      <c r="AR18" s="70">
        <v>-7565</v>
      </c>
      <c r="AS18" s="70">
        <f t="shared" si="14"/>
        <v>5758</v>
      </c>
      <c r="AT18" s="70">
        <v>-11058</v>
      </c>
      <c r="AU18" s="70">
        <v>-7871</v>
      </c>
      <c r="AV18" s="70">
        <v>-11360</v>
      </c>
      <c r="AW18" s="70">
        <f t="shared" si="12"/>
        <v>-13565</v>
      </c>
      <c r="AX18" s="70">
        <v>-13095</v>
      </c>
      <c r="AY18" s="70">
        <v>-6476</v>
      </c>
      <c r="AZ18" s="329"/>
      <c r="BA18" s="41">
        <f>SUM(B18:E18)</f>
        <v>-29764.670456780215</v>
      </c>
      <c r="BB18" s="41">
        <f>SUM(F18:I18)</f>
        <v>-4161.5276072813731</v>
      </c>
      <c r="BC18" s="41">
        <f>SUM(J18:M18)</f>
        <v>-2870.9964784322874</v>
      </c>
      <c r="BD18" s="41">
        <f>SUM(N18:Q18)</f>
        <v>-3537.1038110571071</v>
      </c>
      <c r="BE18" s="41">
        <f>SUM(R18:U18)</f>
        <v>-5367.228014264475</v>
      </c>
      <c r="BF18" s="70">
        <f>SUM(V18:Y18)</f>
        <v>-8683.8705455200725</v>
      </c>
      <c r="BG18" s="41">
        <f t="shared" si="6"/>
        <v>-9263.0150025526018</v>
      </c>
      <c r="BH18" s="70">
        <f t="shared" si="7"/>
        <v>-10620.470108592432</v>
      </c>
      <c r="BI18" s="70">
        <f t="shared" si="8"/>
        <v>4320.5511500571301</v>
      </c>
      <c r="BJ18" s="41">
        <v>-32204</v>
      </c>
      <c r="BK18" s="41">
        <v>-9085</v>
      </c>
      <c r="BL18" s="70">
        <v>-43854</v>
      </c>
      <c r="BM18" s="87"/>
      <c r="BN18" s="87"/>
    </row>
    <row r="19" spans="1:66" ht="18.75" customHeight="1">
      <c r="A19" s="193" t="s">
        <v>59</v>
      </c>
      <c r="B19" s="70">
        <v>-9610.7354860550022</v>
      </c>
      <c r="C19" s="70">
        <v>-9148.1361833485898</v>
      </c>
      <c r="D19" s="70">
        <v>-11489.52666675104</v>
      </c>
      <c r="E19" s="70">
        <v>-38053.71197699706</v>
      </c>
      <c r="F19" s="70">
        <v>-1407.652497775754</v>
      </c>
      <c r="G19" s="70">
        <v>-13946.968797423995</v>
      </c>
      <c r="H19" s="70">
        <v>-15377.646154313492</v>
      </c>
      <c r="I19" s="70">
        <v>10057.838720543363</v>
      </c>
      <c r="J19" s="70">
        <v>-2888.3949706682865</v>
      </c>
      <c r="K19" s="70">
        <v>-6100.5717398418983</v>
      </c>
      <c r="L19" s="70">
        <v>-4770.7962903920716</v>
      </c>
      <c r="M19" s="70">
        <v>-6405.2226218951982</v>
      </c>
      <c r="N19" s="70">
        <v>-4022.4225233537363</v>
      </c>
      <c r="O19" s="70">
        <v>-8558.348001529097</v>
      </c>
      <c r="P19" s="70">
        <v>-6718.2620812869845</v>
      </c>
      <c r="Q19" s="70">
        <v>-7930.3715794327118</v>
      </c>
      <c r="R19" s="70">
        <v>-4670.2975115979607</v>
      </c>
      <c r="S19" s="70">
        <v>-6834.8077704319958</v>
      </c>
      <c r="T19" s="70">
        <v>-4675.023975780372</v>
      </c>
      <c r="U19" s="70">
        <v>-3106.3601595316936</v>
      </c>
      <c r="V19" s="70">
        <v>-7920.9359435342049</v>
      </c>
      <c r="W19" s="70">
        <v>-22569.130902807618</v>
      </c>
      <c r="X19" s="70">
        <v>-20577.669547385383</v>
      </c>
      <c r="Y19" s="70">
        <v>-44408.721825099761</v>
      </c>
      <c r="Z19" s="70">
        <v>-20181.47771957222</v>
      </c>
      <c r="AA19" s="70">
        <v>-32175.976340200625</v>
      </c>
      <c r="AB19" s="70">
        <v>-27189.086279209569</v>
      </c>
      <c r="AC19" s="70">
        <v>-44629.683826374574</v>
      </c>
      <c r="AD19" s="70">
        <v>-18616.324066603596</v>
      </c>
      <c r="AE19" s="70">
        <v>-40971.922076835675</v>
      </c>
      <c r="AF19" s="70">
        <v>-31263.042184248134</v>
      </c>
      <c r="AG19" s="41">
        <v>-49713.172874966571</v>
      </c>
      <c r="AH19" s="41">
        <v>-28878</v>
      </c>
      <c r="AI19" s="41">
        <v>-32986</v>
      </c>
      <c r="AJ19" s="41">
        <v>-40617.577584795465</v>
      </c>
      <c r="AK19" s="41">
        <v>-30450</v>
      </c>
      <c r="AL19" s="41">
        <f>-(54944+9713)</f>
        <v>-64657</v>
      </c>
      <c r="AM19" s="70">
        <v>-91676</v>
      </c>
      <c r="AN19" s="70">
        <f>-(156236+2723)</f>
        <v>-158959</v>
      </c>
      <c r="AO19" s="70">
        <f t="shared" si="13"/>
        <v>-55917</v>
      </c>
      <c r="AP19" s="70">
        <f>-(109828+8113)</f>
        <v>-117941</v>
      </c>
      <c r="AQ19" s="70">
        <f>-(114135+9671)</f>
        <v>-123806</v>
      </c>
      <c r="AR19" s="94">
        <v>-106720</v>
      </c>
      <c r="AS19" s="70">
        <f t="shared" si="14"/>
        <v>-130770</v>
      </c>
      <c r="AT19" s="70">
        <f>-(247255+9453)</f>
        <v>-256708</v>
      </c>
      <c r="AU19" s="70">
        <f>-(209895+7739)</f>
        <v>-217634</v>
      </c>
      <c r="AV19" s="70">
        <f>-(196182+11647)</f>
        <v>-207829</v>
      </c>
      <c r="AW19" s="70">
        <f t="shared" si="12"/>
        <v>-324408</v>
      </c>
      <c r="AX19" s="70">
        <f>-(361323+14763)</f>
        <v>-376086</v>
      </c>
      <c r="AY19" s="70">
        <f>-(280036+30748)</f>
        <v>-310784</v>
      </c>
      <c r="AZ19" s="329"/>
      <c r="BA19" s="70">
        <f>SUM(B19:E19)</f>
        <v>-68302.110313151687</v>
      </c>
      <c r="BB19" s="70">
        <f>SUM(F19:I19)</f>
        <v>-20674.428728969877</v>
      </c>
      <c r="BC19" s="70">
        <f>SUM(J19:M19)</f>
        <v>-20164.985622797456</v>
      </c>
      <c r="BD19" s="70">
        <f>SUM(N19:Q19)</f>
        <v>-27229.404185602529</v>
      </c>
      <c r="BE19" s="70">
        <f>SUM(R19:U19)</f>
        <v>-19286.489417342022</v>
      </c>
      <c r="BF19" s="70">
        <f>SUM(V19:Y19)</f>
        <v>-95476.458218826971</v>
      </c>
      <c r="BG19" s="41">
        <f t="shared" si="6"/>
        <v>-124176.22416535699</v>
      </c>
      <c r="BH19" s="70">
        <f t="shared" si="7"/>
        <v>-140564.46120265397</v>
      </c>
      <c r="BI19" s="70">
        <f t="shared" si="8"/>
        <v>-132931.57758479548</v>
      </c>
      <c r="BJ19" s="70">
        <v>-371209</v>
      </c>
      <c r="BK19" s="70">
        <f>-(443258+35979)</f>
        <v>-479237</v>
      </c>
      <c r="BL19" s="70">
        <f>-(952959+53620)</f>
        <v>-1006579</v>
      </c>
      <c r="BM19" s="87"/>
      <c r="BN19" s="87"/>
    </row>
    <row r="20" spans="1:66" ht="18.75" customHeight="1">
      <c r="A20" s="193" t="s">
        <v>60</v>
      </c>
      <c r="B20" s="41">
        <v>-4933.2745004436538</v>
      </c>
      <c r="C20" s="41">
        <v>-5588.3148656652129</v>
      </c>
      <c r="D20" s="41">
        <v>-5698.5949422129934</v>
      </c>
      <c r="E20" s="41">
        <v>-3880.6994564852394</v>
      </c>
      <c r="F20" s="41">
        <v>0</v>
      </c>
      <c r="G20" s="41">
        <v>-3119.8066892222632</v>
      </c>
      <c r="H20" s="41">
        <v>-3341.0758620925712</v>
      </c>
      <c r="I20" s="41">
        <v>-1260.3175791337783</v>
      </c>
      <c r="J20" s="41">
        <v>-1269.6721094629477</v>
      </c>
      <c r="K20" s="41">
        <v>-2246.6322700246224</v>
      </c>
      <c r="L20" s="41">
        <v>-4030.1444155388244</v>
      </c>
      <c r="M20" s="41">
        <v>-2900.9765441630857</v>
      </c>
      <c r="N20" s="41">
        <v>-2544.2784876421601</v>
      </c>
      <c r="O20" s="41">
        <v>-4673.8158472013374</v>
      </c>
      <c r="P20" s="41">
        <v>-3171.4321023935358</v>
      </c>
      <c r="Q20" s="41">
        <v>-4780.1312414731374</v>
      </c>
      <c r="R20" s="41">
        <v>-3315.1996451300874</v>
      </c>
      <c r="S20" s="41">
        <v>-4636.1537120390867</v>
      </c>
      <c r="T20" s="41">
        <v>-4646.6659447314441</v>
      </c>
      <c r="U20" s="41">
        <v>-8084.4072597812174</v>
      </c>
      <c r="V20" s="41">
        <v>-3777.346421105754</v>
      </c>
      <c r="W20" s="41">
        <v>-12427.472546016301</v>
      </c>
      <c r="X20" s="41">
        <v>-8185.6507250622535</v>
      </c>
      <c r="Y20" s="41">
        <v>-11735.995636437514</v>
      </c>
      <c r="Z20" s="41">
        <v>-7220.0242434436032</v>
      </c>
      <c r="AA20" s="41">
        <v>-3930.8459139539073</v>
      </c>
      <c r="AB20" s="41">
        <v>-4531.910524389903</v>
      </c>
      <c r="AC20" s="41">
        <v>-13856.069672438183</v>
      </c>
      <c r="AD20" s="41">
        <v>-6069.9609375445771</v>
      </c>
      <c r="AE20" s="41">
        <v>-15519.641707738176</v>
      </c>
      <c r="AF20" s="41">
        <v>-15021.485333924229</v>
      </c>
      <c r="AG20" s="41">
        <v>-22751.168915157756</v>
      </c>
      <c r="AH20" s="41">
        <v>-22331</v>
      </c>
      <c r="AI20" s="41">
        <v>-31598</v>
      </c>
      <c r="AJ20" s="41">
        <v>-27018</v>
      </c>
      <c r="AK20" s="41">
        <v>-15098.00137</v>
      </c>
      <c r="AL20" s="70">
        <v>-44380</v>
      </c>
      <c r="AM20" s="70">
        <v>-46591</v>
      </c>
      <c r="AN20" s="70">
        <v>-63995</v>
      </c>
      <c r="AO20" s="70">
        <f t="shared" si="13"/>
        <v>-75152</v>
      </c>
      <c r="AP20" s="70">
        <v>-56864</v>
      </c>
      <c r="AQ20" s="70">
        <v>-59428</v>
      </c>
      <c r="AR20" s="70">
        <v>-58558</v>
      </c>
      <c r="AS20" s="70">
        <f t="shared" si="14"/>
        <v>-51146</v>
      </c>
      <c r="AT20" s="70">
        <v>-87509</v>
      </c>
      <c r="AU20" s="70">
        <v>-54329</v>
      </c>
      <c r="AV20" s="70">
        <v>-63449</v>
      </c>
      <c r="AW20" s="70">
        <f t="shared" si="12"/>
        <v>-65956</v>
      </c>
      <c r="AX20" s="70">
        <v>-71643</v>
      </c>
      <c r="AY20" s="70">
        <v>-179434</v>
      </c>
      <c r="AZ20" s="329"/>
      <c r="BA20" s="41">
        <f>SUM(B20:E20)</f>
        <v>-20100.883764807098</v>
      </c>
      <c r="BB20" s="41">
        <f>SUM(F20:I20)</f>
        <v>-7721.200130448613</v>
      </c>
      <c r="BC20" s="41">
        <f>SUM(J20:M20)</f>
        <v>-10447.42533918948</v>
      </c>
      <c r="BD20" s="41">
        <f>SUM(N20:Q20)</f>
        <v>-15169.657678710169</v>
      </c>
      <c r="BE20" s="41">
        <f>SUM(R20:U20)</f>
        <v>-20682.426561681837</v>
      </c>
      <c r="BF20" s="70">
        <f>SUM(V20:Y20)</f>
        <v>-36126.465328621824</v>
      </c>
      <c r="BG20" s="41">
        <f t="shared" si="6"/>
        <v>-29538.850354225597</v>
      </c>
      <c r="BH20" s="41">
        <f t="shared" si="7"/>
        <v>-59362.256894364735</v>
      </c>
      <c r="BI20" s="41">
        <f t="shared" si="8"/>
        <v>-96045.001369999998</v>
      </c>
      <c r="BJ20" s="41">
        <v>-230118</v>
      </c>
      <c r="BK20" s="70">
        <v>-225996</v>
      </c>
      <c r="BL20" s="41">
        <v>-271243</v>
      </c>
      <c r="BM20" s="74"/>
      <c r="BN20" s="74"/>
    </row>
    <row r="21" spans="1:66" s="5" customFormat="1" ht="15.6">
      <c r="A21" s="125" t="s">
        <v>61</v>
      </c>
      <c r="B21" s="126">
        <f t="shared" ref="B21:AF21" si="15">B9+B10+B19+B20</f>
        <v>9858.1687416773639</v>
      </c>
      <c r="C21" s="126">
        <f t="shared" si="15"/>
        <v>24748.284857947914</v>
      </c>
      <c r="D21" s="126">
        <f t="shared" si="15"/>
        <v>12545.727103708883</v>
      </c>
      <c r="E21" s="126">
        <f t="shared" si="15"/>
        <v>-34605.467028890984</v>
      </c>
      <c r="F21" s="126">
        <f t="shared" si="15"/>
        <v>284.52921431385062</v>
      </c>
      <c r="G21" s="126">
        <f t="shared" si="15"/>
        <v>-6328.5180993378108</v>
      </c>
      <c r="H21" s="126">
        <f t="shared" si="15"/>
        <v>-8151.6234023587385</v>
      </c>
      <c r="I21" s="126">
        <f t="shared" si="15"/>
        <v>1585.8495624755049</v>
      </c>
      <c r="J21" s="126">
        <f t="shared" si="15"/>
        <v>-6433.8266504987214</v>
      </c>
      <c r="K21" s="126">
        <f t="shared" si="15"/>
        <v>-3053.8551255609241</v>
      </c>
      <c r="L21" s="126">
        <f t="shared" si="15"/>
        <v>4506.7619073849046</v>
      </c>
      <c r="M21" s="126">
        <f t="shared" si="15"/>
        <v>3199.4234246353358</v>
      </c>
      <c r="N21" s="126">
        <f t="shared" si="15"/>
        <v>2082.6577395159502</v>
      </c>
      <c r="O21" s="126">
        <f t="shared" si="15"/>
        <v>7370.3796379447585</v>
      </c>
      <c r="P21" s="126">
        <f t="shared" si="15"/>
        <v>5218.8843791083054</v>
      </c>
      <c r="Q21" s="126">
        <f t="shared" si="15"/>
        <v>16034.286385140989</v>
      </c>
      <c r="R21" s="126">
        <f t="shared" si="15"/>
        <v>7598.2823310517269</v>
      </c>
      <c r="S21" s="126">
        <f t="shared" si="15"/>
        <v>25981.801184807147</v>
      </c>
      <c r="T21" s="126">
        <f t="shared" si="15"/>
        <v>28091.414917726652</v>
      </c>
      <c r="U21" s="126">
        <f>U9+U10+U19+U20</f>
        <v>24937.198209740534</v>
      </c>
      <c r="V21" s="126">
        <f>V9+V10+V19+V20</f>
        <v>11533.454786932514</v>
      </c>
      <c r="W21" s="126">
        <f t="shared" si="15"/>
        <v>71134.966111013622</v>
      </c>
      <c r="X21" s="126">
        <f>X9+X10+X19+X20</f>
        <v>41960.502807664314</v>
      </c>
      <c r="Y21" s="126">
        <f>Y9+Y10+Y19+Y20</f>
        <v>52218.765560819942</v>
      </c>
      <c r="Z21" s="126">
        <f t="shared" si="15"/>
        <v>3659.7490051164141</v>
      </c>
      <c r="AA21" s="126">
        <f t="shared" si="15"/>
        <v>11596.283781366648</v>
      </c>
      <c r="AB21" s="126">
        <f t="shared" si="15"/>
        <v>30617.87168920313</v>
      </c>
      <c r="AC21" s="126">
        <f t="shared" si="15"/>
        <v>63888.141683368871</v>
      </c>
      <c r="AD21" s="126">
        <f t="shared" si="15"/>
        <v>76468.471018123018</v>
      </c>
      <c r="AE21" s="126">
        <f t="shared" si="15"/>
        <v>104647.55766857906</v>
      </c>
      <c r="AF21" s="126">
        <f t="shared" si="15"/>
        <v>92953.123302788954</v>
      </c>
      <c r="AG21" s="126">
        <f t="shared" ref="AG21:AH21" si="16">AG9+AG10+AG19+AG20</f>
        <v>188584.03364450723</v>
      </c>
      <c r="AH21" s="126">
        <f t="shared" si="16"/>
        <v>216312</v>
      </c>
      <c r="AI21" s="126">
        <f t="shared" ref="AI21:AK21" si="17">AI9+AI10+AI19+AI20</f>
        <v>257308.51401218801</v>
      </c>
      <c r="AJ21" s="126">
        <f t="shared" si="17"/>
        <v>265782.75884684938</v>
      </c>
      <c r="AK21" s="126">
        <f t="shared" si="17"/>
        <v>112588.03638442171</v>
      </c>
      <c r="AL21" s="126">
        <f t="shared" ref="AL21:AP21" si="18">AL9+AL10+AL19+AL20</f>
        <v>354904</v>
      </c>
      <c r="AM21" s="126">
        <f t="shared" si="18"/>
        <v>301665.91840615775</v>
      </c>
      <c r="AN21" s="126">
        <f t="shared" si="18"/>
        <v>537700</v>
      </c>
      <c r="AO21" s="126">
        <f t="shared" si="18"/>
        <v>494326.35506873089</v>
      </c>
      <c r="AP21" s="126">
        <f t="shared" si="18"/>
        <v>407356.013615945</v>
      </c>
      <c r="AQ21" s="126">
        <f t="shared" ref="AQ21:AV21" si="19">AQ9+AQ10+AQ19+AQ20</f>
        <v>483074</v>
      </c>
      <c r="AR21" s="126">
        <f t="shared" si="19"/>
        <v>240462</v>
      </c>
      <c r="AS21" s="126">
        <f t="shared" si="19"/>
        <v>290155.98638405511</v>
      </c>
      <c r="AT21" s="126">
        <f t="shared" si="19"/>
        <v>262849</v>
      </c>
      <c r="AU21" s="126">
        <f t="shared" si="19"/>
        <v>141205</v>
      </c>
      <c r="AV21" s="126">
        <f t="shared" si="19"/>
        <v>177756</v>
      </c>
      <c r="AW21" s="126">
        <f t="shared" ref="AW21" si="20">AW9+AW10+AW19+AW20</f>
        <v>125672</v>
      </c>
      <c r="AX21" s="126">
        <f>AX9+AX10+AX19+AX20</f>
        <v>627129</v>
      </c>
      <c r="AY21" s="126">
        <f>AY9+AY10+AY19+AY20</f>
        <v>727425</v>
      </c>
      <c r="AZ21" s="94"/>
      <c r="BA21" s="126">
        <f t="shared" ref="BA21:BD21" si="21">BA9+BA10+BA19+BA20</f>
        <v>12546.713674443185</v>
      </c>
      <c r="BB21" s="126">
        <f t="shared" si="21"/>
        <v>-12609.762724907197</v>
      </c>
      <c r="BC21" s="126">
        <f t="shared" si="21"/>
        <v>-1781.4964440394197</v>
      </c>
      <c r="BD21" s="126">
        <f t="shared" si="21"/>
        <v>30706.208141709994</v>
      </c>
      <c r="BE21" s="126">
        <f>BE9+BE10+BE19+BE20</f>
        <v>86608.696643326053</v>
      </c>
      <c r="BF21" s="126">
        <f>BF9+BF10+BF19+BF20</f>
        <v>176847.68926643036</v>
      </c>
      <c r="BG21" s="126">
        <f t="shared" ref="BG21:BH21" si="22">BG9+BG10+BG19+BG20</f>
        <v>109762.04615905504</v>
      </c>
      <c r="BH21" s="126">
        <f t="shared" si="22"/>
        <v>462653.18563399836</v>
      </c>
      <c r="BI21" s="126">
        <f t="shared" si="8"/>
        <v>851991.30924345914</v>
      </c>
      <c r="BJ21" s="126">
        <f>BJ9+BJ10+BJ19+BJ20</f>
        <v>1688596.2734748889</v>
      </c>
      <c r="BK21" s="126">
        <f>BK9+BK10+BK19+BK20</f>
        <v>1421048</v>
      </c>
      <c r="BL21" s="126">
        <f>BL9+BL10+BL19+BL20</f>
        <v>707482</v>
      </c>
    </row>
    <row r="22" spans="1:66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94"/>
      <c r="BA22" s="46"/>
      <c r="BB22" s="46"/>
      <c r="BC22" s="46"/>
      <c r="BD22" s="46"/>
      <c r="BE22" s="46"/>
      <c r="BF22" s="46"/>
      <c r="BG22" s="46"/>
      <c r="BH22" s="46"/>
      <c r="BI22" s="46"/>
      <c r="BJ22" s="41"/>
      <c r="BK22" s="41"/>
      <c r="BL22" s="41"/>
    </row>
    <row r="23" spans="1:66" ht="15.6">
      <c r="A23" s="143" t="s">
        <v>62</v>
      </c>
      <c r="B23" s="41">
        <f t="shared" ref="B23:W23" si="23">+SUM(B25:B29)</f>
        <v>-13911.27725889654</v>
      </c>
      <c r="C23" s="41">
        <f t="shared" si="23"/>
        <v>-18766.937669376697</v>
      </c>
      <c r="D23" s="41">
        <f t="shared" si="23"/>
        <v>-13758.856555932938</v>
      </c>
      <c r="E23" s="41">
        <f t="shared" si="23"/>
        <v>-22632.097265666096</v>
      </c>
      <c r="F23" s="41">
        <f t="shared" si="23"/>
        <v>-6845.4381561391137</v>
      </c>
      <c r="G23" s="41">
        <f t="shared" si="23"/>
        <v>-6187.5080475180594</v>
      </c>
      <c r="H23" s="41">
        <f t="shared" si="23"/>
        <v>-4285.1580939749274</v>
      </c>
      <c r="I23" s="41">
        <f t="shared" si="23"/>
        <v>-7111.9800299991311</v>
      </c>
      <c r="J23" s="41">
        <f t="shared" si="23"/>
        <v>-3912.7049340534945</v>
      </c>
      <c r="K23" s="41">
        <f t="shared" si="23"/>
        <v>-4287.9609556379955</v>
      </c>
      <c r="L23" s="41">
        <f t="shared" si="23"/>
        <v>-4448.2245295886814</v>
      </c>
      <c r="M23" s="41">
        <f t="shared" si="23"/>
        <v>-9096.4058858890858</v>
      </c>
      <c r="N23" s="41">
        <f t="shared" si="23"/>
        <v>-6000.0832879644549</v>
      </c>
      <c r="O23" s="41">
        <f t="shared" si="23"/>
        <v>-8485.2661781148781</v>
      </c>
      <c r="P23" s="41">
        <f t="shared" si="23"/>
        <v>-4772.3285226484304</v>
      </c>
      <c r="Q23" s="41">
        <f t="shared" si="23"/>
        <v>-10648.29235548241</v>
      </c>
      <c r="R23" s="41">
        <f>+SUM(R25:R29)</f>
        <v>-8795.6602367031574</v>
      </c>
      <c r="S23" s="41">
        <f>+SUM(S25:S29)</f>
        <v>-7131.5637246271817</v>
      </c>
      <c r="T23" s="41">
        <f t="shared" ref="T23" si="24">+SUM(T25:T29)</f>
        <v>-5823.7774299677385</v>
      </c>
      <c r="U23" s="41">
        <f>+SUM(U25:U29)</f>
        <v>-10061.301161983187</v>
      </c>
      <c r="V23" s="41">
        <f t="shared" si="23"/>
        <v>-5407.4448754736804</v>
      </c>
      <c r="W23" s="41">
        <f t="shared" si="23"/>
        <v>-8195.1068471410672</v>
      </c>
      <c r="X23" s="41">
        <f t="shared" ref="X23:AF23" si="25">+SUM(X25:X29)</f>
        <v>-7197.2552121087574</v>
      </c>
      <c r="Y23" s="41">
        <f t="shared" si="25"/>
        <v>-9363.1902335025552</v>
      </c>
      <c r="Z23" s="41">
        <f t="shared" si="25"/>
        <v>-8727.8361936353176</v>
      </c>
      <c r="AA23" s="41">
        <f t="shared" si="25"/>
        <v>-5080.8278826207134</v>
      </c>
      <c r="AB23" s="41">
        <f t="shared" si="25"/>
        <v>-6561.0671428335809</v>
      </c>
      <c r="AC23" s="41">
        <f t="shared" si="25"/>
        <v>-7938.9410791931359</v>
      </c>
      <c r="AD23" s="41">
        <f t="shared" si="25"/>
        <v>-9455.8758583070194</v>
      </c>
      <c r="AE23" s="41">
        <f t="shared" si="25"/>
        <v>-8600.8354885708522</v>
      </c>
      <c r="AF23" s="41">
        <f t="shared" si="25"/>
        <v>-8004.4491368935078</v>
      </c>
      <c r="AG23" s="41">
        <f t="shared" ref="AG23:AH23" si="26">+SUM(AG25:AG29)</f>
        <v>-11718.893944211088</v>
      </c>
      <c r="AH23" s="41">
        <f t="shared" si="26"/>
        <v>-13143</v>
      </c>
      <c r="AI23" s="41">
        <f>+SUM(AI25:AI29)</f>
        <v>-13231.447943285624</v>
      </c>
      <c r="AJ23" s="41">
        <f>+SUM(AJ25:AJ29)</f>
        <v>-11712.85457252239</v>
      </c>
      <c r="AK23" s="41">
        <f>+SUM(AK25:AK29)</f>
        <v>-11864.507969424174</v>
      </c>
      <c r="AL23" s="41">
        <f t="shared" ref="AL23:AR23" si="27">+SUM(AL24:AL29)</f>
        <v>-30600.712179999988</v>
      </c>
      <c r="AM23" s="41">
        <f t="shared" si="27"/>
        <v>-50651.4024469</v>
      </c>
      <c r="AN23" s="41">
        <f t="shared" si="27"/>
        <v>-54251.668653099987</v>
      </c>
      <c r="AO23" s="70">
        <f t="shared" si="27"/>
        <v>-90870.265530498509</v>
      </c>
      <c r="AP23" s="70">
        <f t="shared" si="27"/>
        <v>-52478.322861380111</v>
      </c>
      <c r="AQ23" s="70">
        <f t="shared" si="27"/>
        <v>-65122.971369999992</v>
      </c>
      <c r="AR23" s="70">
        <f t="shared" si="27"/>
        <v>-3708</v>
      </c>
      <c r="AS23" s="41">
        <f>SUM(AS24:AS29)</f>
        <v>-66573.705768619897</v>
      </c>
      <c r="AT23" s="70">
        <f t="shared" ref="AT23" si="28">+SUM(AT24:AT29)</f>
        <v>-60226</v>
      </c>
      <c r="AU23" s="70">
        <f>+SUM(AU24:AU29)</f>
        <v>-72462</v>
      </c>
      <c r="AV23" s="70">
        <f>+SUM(AV24:AV29)</f>
        <v>-50858</v>
      </c>
      <c r="AW23" s="41">
        <f>SUM(AW24:AW29)</f>
        <v>-90204</v>
      </c>
      <c r="AX23" s="41">
        <f>SUM(AX24:AX29)</f>
        <v>-124914</v>
      </c>
      <c r="AY23" s="70">
        <f>SUM(AY24:AY29)</f>
        <v>-136899</v>
      </c>
      <c r="BA23" s="41">
        <f>SUM(B23:E23)</f>
        <v>-69069.168749872275</v>
      </c>
      <c r="BB23" s="41">
        <f>SUM(F23:I23)</f>
        <v>-24430.08432763123</v>
      </c>
      <c r="BC23" s="41">
        <f>SUM(J23:M23)</f>
        <v>-21745.296305169257</v>
      </c>
      <c r="BD23" s="41">
        <f>SUM(N23:Q23)</f>
        <v>-29905.970344210175</v>
      </c>
      <c r="BE23" s="41">
        <f>SUM(R23:U23)</f>
        <v>-31812.302553281268</v>
      </c>
      <c r="BF23" s="70">
        <f>SUM(V23:Y23)</f>
        <v>-30162.997168226062</v>
      </c>
      <c r="BG23" s="41">
        <f>+SUM(BG25:BG29)</f>
        <v>-28308.672298282749</v>
      </c>
      <c r="BH23" s="41">
        <f>SUM(AD23:AG23)</f>
        <v>-37780.054427982468</v>
      </c>
      <c r="BI23" s="41">
        <f>+SUM(AH23:AK23)</f>
        <v>-49951.810485232185</v>
      </c>
      <c r="BJ23" s="70">
        <f>+SUM(BJ24:BJ29)</f>
        <v>-226374.04881049847</v>
      </c>
      <c r="BK23" s="70">
        <f>+SUM(BK24:BK29)</f>
        <v>-187883</v>
      </c>
      <c r="BL23" s="70">
        <f>+SUM(BL24:BL29)</f>
        <v>-273750</v>
      </c>
    </row>
    <row r="24" spans="1:66" ht="15.6">
      <c r="A24" s="138" t="s">
        <v>63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-18567.266540000001</v>
      </c>
      <c r="AM24" s="41">
        <v>-34041.761566899993</v>
      </c>
      <c r="AN24" s="41">
        <v>-32302.999753100026</v>
      </c>
      <c r="AO24" s="70">
        <v>-52366.458280000006</v>
      </c>
      <c r="AP24" s="70">
        <v>-33457.12571138014</v>
      </c>
      <c r="AQ24" s="70">
        <v>-33488</v>
      </c>
      <c r="AR24" s="70">
        <v>17971</v>
      </c>
      <c r="AS24" s="70">
        <f>BK24-SUM(AP24:AR24)</f>
        <v>-47948.87428861986</v>
      </c>
      <c r="AT24" s="70">
        <f>63851-33414-56772</f>
        <v>-26335</v>
      </c>
      <c r="AU24" s="70">
        <f>110628-37856-121677</f>
        <v>-48905</v>
      </c>
      <c r="AV24" s="70">
        <f>116394-42366-96324</f>
        <v>-22296</v>
      </c>
      <c r="AW24" s="70">
        <f t="shared" ref="AW24:AW33" si="29">BL24-SUM(AT24:AV24)</f>
        <v>-57690</v>
      </c>
      <c r="AX24" s="70">
        <f>-28848+32030-97714</f>
        <v>-94532</v>
      </c>
      <c r="AY24" s="70">
        <f>62532-109720-56490</f>
        <v>-103678</v>
      </c>
      <c r="AZ24" s="94"/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70">
        <v>-137278.48614000002</v>
      </c>
      <c r="BK24" s="41">
        <f>406516-141186-362253</f>
        <v>-96923</v>
      </c>
      <c r="BL24" s="70">
        <f>312625-166858-300993</f>
        <v>-155226</v>
      </c>
    </row>
    <row r="25" spans="1:66" ht="15.6">
      <c r="A25" s="138" t="s">
        <v>64</v>
      </c>
      <c r="B25" s="41">
        <v>-2120.8614941928349</v>
      </c>
      <c r="C25" s="41">
        <v>579.69453866724098</v>
      </c>
      <c r="D25" s="41">
        <v>-573.7069944560975</v>
      </c>
      <c r="E25" s="41">
        <v>-879.04969014606866</v>
      </c>
      <c r="F25" s="41">
        <v>-26.500269960603738</v>
      </c>
      <c r="G25" s="41">
        <v>-55.361914109372108</v>
      </c>
      <c r="H25" s="41">
        <v>-300.41957459032</v>
      </c>
      <c r="I25" s="41">
        <v>-36.429303233911</v>
      </c>
      <c r="J25" s="41">
        <v>-45.684583683930597</v>
      </c>
      <c r="K25" s="41">
        <v>-58.82133294675549</v>
      </c>
      <c r="L25" s="41">
        <v>-64.699207037929298</v>
      </c>
      <c r="M25" s="41">
        <v>-61.63246870383113</v>
      </c>
      <c r="N25" s="41">
        <v>-64.497812812800561</v>
      </c>
      <c r="O25" s="41">
        <v>-45.404026461600594</v>
      </c>
      <c r="P25" s="41">
        <v>-76.218102979342049</v>
      </c>
      <c r="Q25" s="41">
        <v>-38.770295231774398</v>
      </c>
      <c r="R25" s="41">
        <v>-62.533500089333558</v>
      </c>
      <c r="S25" s="41">
        <v>-41.008292456477697</v>
      </c>
      <c r="T25" s="41">
        <v>-248.13277167811765</v>
      </c>
      <c r="U25" s="41">
        <v>-322.44228345138947</v>
      </c>
      <c r="V25" s="41">
        <v>169.14532644028873</v>
      </c>
      <c r="W25" s="41">
        <v>-17.090676339479302</v>
      </c>
      <c r="X25" s="41">
        <v>-50.147485626922531</v>
      </c>
      <c r="Y25" s="41">
        <v>-234.68791650932667</v>
      </c>
      <c r="Z25" s="41">
        <v>-33.900204831938204</v>
      </c>
      <c r="AA25" s="41">
        <v>-12.649544373142099</v>
      </c>
      <c r="AB25" s="41">
        <v>-19.289025972873599</v>
      </c>
      <c r="AC25" s="41">
        <v>-27.488880651815041</v>
      </c>
      <c r="AD25" s="41">
        <v>-1259.8583344079407</v>
      </c>
      <c r="AE25" s="41">
        <v>-176.9066590449103</v>
      </c>
      <c r="AF25" s="41">
        <v>-174.73289971628057</v>
      </c>
      <c r="AG25" s="41">
        <v>-270.52966586767735</v>
      </c>
      <c r="AH25" s="41">
        <v>-1357</v>
      </c>
      <c r="AI25" s="41">
        <v>-1414.3420799999999</v>
      </c>
      <c r="AJ25" s="41">
        <v>-46.64976999999999</v>
      </c>
      <c r="AK25" s="41">
        <v>-83.05047999999988</v>
      </c>
      <c r="AL25" s="41">
        <v>0</v>
      </c>
      <c r="AM25" s="41">
        <v>-225.08908999999997</v>
      </c>
      <c r="AN25" s="70">
        <v>-259</v>
      </c>
      <c r="AO25" s="70">
        <v>-4533.0123999999996</v>
      </c>
      <c r="AP25" s="70">
        <v>-88.615770000000012</v>
      </c>
      <c r="AQ25" s="70">
        <v>-818</v>
      </c>
      <c r="AR25" s="70">
        <v>386</v>
      </c>
      <c r="AS25" s="70">
        <f t="shared" ref="AS25:AS32" si="30">BK25-SUM(AP25:AR25)</f>
        <v>-6752.3842299999997</v>
      </c>
      <c r="AT25" s="70">
        <v>0</v>
      </c>
      <c r="AU25" s="70">
        <v>-1944</v>
      </c>
      <c r="AV25" s="70">
        <v>0</v>
      </c>
      <c r="AW25" s="70">
        <f t="shared" si="29"/>
        <v>0</v>
      </c>
      <c r="AX25" s="70">
        <v>0</v>
      </c>
      <c r="AY25" s="70">
        <v>-3868</v>
      </c>
      <c r="AZ25" s="329"/>
      <c r="BA25" s="41">
        <f t="shared" ref="BA25:BA34" si="31">SUM(B25:E25)</f>
        <v>-2993.9236401277603</v>
      </c>
      <c r="BB25" s="41">
        <f t="shared" ref="BB25:BB34" si="32">SUM(F25:I25)</f>
        <v>-418.71106189420686</v>
      </c>
      <c r="BC25" s="41">
        <f t="shared" ref="BC25:BC34" si="33">SUM(J25:M25)</f>
        <v>-230.83759237244652</v>
      </c>
      <c r="BD25" s="41">
        <f t="shared" ref="BD25:BD34" si="34">SUM(N25:Q25)</f>
        <v>-224.89023748551762</v>
      </c>
      <c r="BE25" s="41">
        <f t="shared" ref="BE25:BE34" si="35">SUM(R25:U25)</f>
        <v>-674.11684767531835</v>
      </c>
      <c r="BF25" s="70">
        <f t="shared" ref="BF25:BF37" si="36">SUM(V25:Y25)</f>
        <v>-132.78075203543978</v>
      </c>
      <c r="BG25" s="41">
        <f t="shared" ref="BG25:BG36" si="37">SUM(Z25:AC25)</f>
        <v>-93.327655829768943</v>
      </c>
      <c r="BH25" s="41">
        <f t="shared" ref="BH25:BH36" si="38">SUM(AD25:AG25)</f>
        <v>-1882.027559036809</v>
      </c>
      <c r="BI25" s="41">
        <f t="shared" ref="BI25:BI33" si="39">+SUM(AH25:AK25)</f>
        <v>-2901.0423299999998</v>
      </c>
      <c r="BJ25" s="41">
        <v>-5017.1014899999991</v>
      </c>
      <c r="BK25" s="41">
        <v>-7273</v>
      </c>
      <c r="BL25" s="70">
        <v>-1944</v>
      </c>
    </row>
    <row r="26" spans="1:66" ht="15.6">
      <c r="A26" s="138" t="s">
        <v>65</v>
      </c>
      <c r="B26" s="41">
        <v>-4558.6673736910243</v>
      </c>
      <c r="C26" s="41">
        <v>-4384.0521186668821</v>
      </c>
      <c r="D26" s="41">
        <v>-2483.4259093352448</v>
      </c>
      <c r="E26" s="41">
        <v>-9105.4799006518024</v>
      </c>
      <c r="F26" s="41">
        <v>-2335.5106341595242</v>
      </c>
      <c r="G26" s="41">
        <v>-1924.6406610964068</v>
      </c>
      <c r="H26" s="41">
        <v>-1274.4530463266958</v>
      </c>
      <c r="I26" s="41">
        <v>-2795.3944815254868</v>
      </c>
      <c r="J26" s="41">
        <v>-1515.0342555406874</v>
      </c>
      <c r="K26" s="41">
        <v>-1211.2625939812465</v>
      </c>
      <c r="L26" s="41">
        <v>-1595.6056821401705</v>
      </c>
      <c r="M26" s="41">
        <v>-3776.2790430455743</v>
      </c>
      <c r="N26" s="41">
        <v>-1695.8725798803848</v>
      </c>
      <c r="O26" s="41">
        <v>-4049.3549901130227</v>
      </c>
      <c r="P26" s="41">
        <v>-1837.4571714106944</v>
      </c>
      <c r="Q26" s="41">
        <v>-4227.8083847982562</v>
      </c>
      <c r="R26" s="41">
        <v>-4017.5463456408288</v>
      </c>
      <c r="S26" s="41">
        <v>-2542.5141323016173</v>
      </c>
      <c r="T26" s="41">
        <v>-2186.3535545311693</v>
      </c>
      <c r="U26" s="41">
        <v>-6198.2904365655631</v>
      </c>
      <c r="V26" s="41">
        <v>-2806.0009716285899</v>
      </c>
      <c r="W26" s="41">
        <v>-2770.9853294890099</v>
      </c>
      <c r="X26" s="41">
        <v>-4027.8294929971421</v>
      </c>
      <c r="Y26" s="41">
        <v>-2625.9119835285364</v>
      </c>
      <c r="Z26" s="70">
        <v>-2364.4827370913208</v>
      </c>
      <c r="AA26" s="70">
        <v>-860.44844294108964</v>
      </c>
      <c r="AB26" s="70">
        <v>-2203.5709359828179</v>
      </c>
      <c r="AC26" s="70">
        <v>-2003.8923512212734</v>
      </c>
      <c r="AD26" s="70">
        <v>-4315.2886775938077</v>
      </c>
      <c r="AE26" s="70">
        <v>-5297.1933114440217</v>
      </c>
      <c r="AF26" s="70">
        <v>-5171.2526666579752</v>
      </c>
      <c r="AG26" s="41">
        <v>-6464.0655569070977</v>
      </c>
      <c r="AH26" s="41">
        <v>-3676</v>
      </c>
      <c r="AI26" s="41">
        <v>-7198.9022100000002</v>
      </c>
      <c r="AJ26" s="41">
        <v>-4905.6789905758251</v>
      </c>
      <c r="AK26" s="41">
        <v>-7467.1794094241741</v>
      </c>
      <c r="AL26" s="41">
        <v>-5837.2445099999968</v>
      </c>
      <c r="AM26" s="41">
        <v>-8306.3633400000072</v>
      </c>
      <c r="AN26" s="70">
        <v>-10768.590689999994</v>
      </c>
      <c r="AO26" s="70">
        <v>-22396.102707998682</v>
      </c>
      <c r="AP26" s="70">
        <v>-8231.3352900000082</v>
      </c>
      <c r="AQ26" s="70">
        <v>-12242.971369999994</v>
      </c>
      <c r="AR26" s="70">
        <v>-10218</v>
      </c>
      <c r="AS26" s="70">
        <f t="shared" si="30"/>
        <v>-10023.693339999998</v>
      </c>
      <c r="AT26" s="70">
        <v>-21357</v>
      </c>
      <c r="AU26" s="70">
        <v>-15297</v>
      </c>
      <c r="AV26" s="70">
        <v>-18082</v>
      </c>
      <c r="AW26" s="70">
        <f t="shared" si="29"/>
        <v>-16725</v>
      </c>
      <c r="AX26" s="70">
        <v>-17388</v>
      </c>
      <c r="AY26" s="70">
        <v>-15523</v>
      </c>
      <c r="AZ26" s="335"/>
      <c r="BA26" s="41">
        <f t="shared" si="31"/>
        <v>-20531.625302344954</v>
      </c>
      <c r="BB26" s="41">
        <f t="shared" si="32"/>
        <v>-8329.9988231081134</v>
      </c>
      <c r="BC26" s="41">
        <f t="shared" si="33"/>
        <v>-8098.1815747076789</v>
      </c>
      <c r="BD26" s="41">
        <f t="shared" si="34"/>
        <v>-11810.493126202357</v>
      </c>
      <c r="BE26" s="41">
        <f t="shared" si="35"/>
        <v>-14944.704469039179</v>
      </c>
      <c r="BF26" s="70">
        <f t="shared" si="36"/>
        <v>-12230.727777643278</v>
      </c>
      <c r="BG26" s="41">
        <f t="shared" si="37"/>
        <v>-7432.3944672365014</v>
      </c>
      <c r="BH26" s="41">
        <f t="shared" si="38"/>
        <v>-21247.800212602902</v>
      </c>
      <c r="BI26" s="41">
        <f t="shared" si="39"/>
        <v>-23247.760609999998</v>
      </c>
      <c r="BJ26" s="41">
        <v>-47308.301247998679</v>
      </c>
      <c r="BK26" s="41">
        <v>-40716</v>
      </c>
      <c r="BL26" s="70">
        <v>-71461</v>
      </c>
    </row>
    <row r="27" spans="1:66" ht="15.6">
      <c r="A27" s="138" t="s">
        <v>66</v>
      </c>
      <c r="B27" s="41">
        <v>-5779.8976754149908</v>
      </c>
      <c r="C27" s="41">
        <v>-1480.1952655288144</v>
      </c>
      <c r="D27" s="41">
        <v>-3617.6512317082193</v>
      </c>
      <c r="E27" s="41">
        <v>-7581.9506741782061</v>
      </c>
      <c r="F27" s="41">
        <v>-2247.2926302117248</v>
      </c>
      <c r="G27" s="41">
        <v>-827.17212845767733</v>
      </c>
      <c r="H27" s="41">
        <v>-475.19990184399165</v>
      </c>
      <c r="I27" s="41">
        <v>-389.28636017938453</v>
      </c>
      <c r="J27" s="41">
        <v>-580.55352973624167</v>
      </c>
      <c r="K27" s="41">
        <v>-847.7695996063934</v>
      </c>
      <c r="L27" s="41">
        <v>-1109.1292635073594</v>
      </c>
      <c r="M27" s="41">
        <v>-782.09477527620186</v>
      </c>
      <c r="N27" s="41">
        <v>-860.15056973914056</v>
      </c>
      <c r="O27" s="41">
        <v>-1237.1042278373093</v>
      </c>
      <c r="P27" s="41">
        <v>-1029.1025190654732</v>
      </c>
      <c r="Q27" s="41">
        <v>-1000.0274563751335</v>
      </c>
      <c r="R27" s="41">
        <v>-1165.649085409055</v>
      </c>
      <c r="S27" s="41">
        <v>-1613.4546417166866</v>
      </c>
      <c r="T27" s="41">
        <v>-1442.2084362026103</v>
      </c>
      <c r="U27" s="41">
        <v>-1049.9707228417094</v>
      </c>
      <c r="V27" s="41">
        <v>-782.8584318254143</v>
      </c>
      <c r="W27" s="41">
        <v>-2850.5717625922571</v>
      </c>
      <c r="X27" s="41">
        <v>-47.33045261461843</v>
      </c>
      <c r="Y27" s="41">
        <v>-2631.7444291783499</v>
      </c>
      <c r="Z27" s="70">
        <v>-2127.1740898024977</v>
      </c>
      <c r="AA27" s="70">
        <v>-1733.7736504335312</v>
      </c>
      <c r="AB27" s="70">
        <v>-1849.7093810354679</v>
      </c>
      <c r="AC27" s="70">
        <v>-2726.4523086755466</v>
      </c>
      <c r="AD27" s="70">
        <v>-614.22658506497282</v>
      </c>
      <c r="AE27" s="70">
        <v>-1389.5763186451866</v>
      </c>
      <c r="AF27" s="70">
        <v>-1275.3207593077764</v>
      </c>
      <c r="AG27" s="41">
        <v>-1388.8144395338011</v>
      </c>
      <c r="AH27" s="41">
        <v>-4454</v>
      </c>
      <c r="AI27" s="41">
        <v>-3013.1328332856237</v>
      </c>
      <c r="AJ27" s="41">
        <v>-2174.2053519465617</v>
      </c>
      <c r="AK27" s="41">
        <v>-18.683459999998377</v>
      </c>
      <c r="AL27" s="41">
        <v>-3956.0484499999993</v>
      </c>
      <c r="AM27" s="41">
        <v>-3251.3712999999971</v>
      </c>
      <c r="AN27" s="70">
        <v>-3965.6880499999888</v>
      </c>
      <c r="AO27" s="70">
        <v>-3021.4028224998438</v>
      </c>
      <c r="AP27" s="70">
        <v>-3445.608659999968</v>
      </c>
      <c r="AQ27" s="70">
        <v>-7435</v>
      </c>
      <c r="AR27" s="70">
        <v>-4687</v>
      </c>
      <c r="AS27" s="70">
        <f t="shared" si="30"/>
        <v>4488.6086599999689</v>
      </c>
      <c r="AT27" s="70">
        <v>-5102</v>
      </c>
      <c r="AU27" s="70">
        <v>-3007</v>
      </c>
      <c r="AV27" s="70">
        <v>-3960</v>
      </c>
      <c r="AW27" s="70">
        <f t="shared" si="29"/>
        <v>-6779</v>
      </c>
      <c r="AX27" s="70">
        <v>-5275</v>
      </c>
      <c r="AY27" s="70">
        <v>-4308</v>
      </c>
      <c r="AZ27" s="70"/>
      <c r="BA27" s="41">
        <f t="shared" si="31"/>
        <v>-18459.694846830229</v>
      </c>
      <c r="BB27" s="41">
        <f t="shared" si="32"/>
        <v>-3938.9510206927785</v>
      </c>
      <c r="BC27" s="41">
        <f t="shared" si="33"/>
        <v>-3319.5471681261965</v>
      </c>
      <c r="BD27" s="41">
        <f t="shared" si="34"/>
        <v>-4126.3847730170564</v>
      </c>
      <c r="BE27" s="41">
        <f t="shared" si="35"/>
        <v>-5271.2828861700609</v>
      </c>
      <c r="BF27" s="70">
        <f t="shared" si="36"/>
        <v>-6312.5050762106403</v>
      </c>
      <c r="BG27" s="70">
        <f t="shared" si="37"/>
        <v>-8437.1094299470442</v>
      </c>
      <c r="BH27" s="70">
        <f t="shared" si="38"/>
        <v>-4667.9381025517368</v>
      </c>
      <c r="BI27" s="70">
        <f t="shared" si="39"/>
        <v>-9660.0216452321838</v>
      </c>
      <c r="BJ27" s="70">
        <v>-14194.510622499829</v>
      </c>
      <c r="BK27" s="70">
        <v>-11079</v>
      </c>
      <c r="BL27" s="70">
        <v>-18848</v>
      </c>
    </row>
    <row r="28" spans="1:66" ht="15.6">
      <c r="A28" s="138" t="s">
        <v>67</v>
      </c>
      <c r="B28" s="41">
        <v>-1181.8767265124877</v>
      </c>
      <c r="C28" s="41">
        <v>-12431.576302517993</v>
      </c>
      <c r="D28" s="41">
        <v>-6926.6876663986759</v>
      </c>
      <c r="E28" s="41">
        <v>-4679.6353429016508</v>
      </c>
      <c r="F28" s="41">
        <v>-2026.573276460907</v>
      </c>
      <c r="G28" s="41">
        <v>-3111.6652312650026</v>
      </c>
      <c r="H28" s="41">
        <v>-1976.4930627339045</v>
      </c>
      <c r="I28" s="41">
        <v>-3036.9047081453691</v>
      </c>
      <c r="J28" s="41">
        <v>-1681.0900175828394</v>
      </c>
      <c r="K28" s="41">
        <v>-2086.4440769026328</v>
      </c>
      <c r="L28" s="41">
        <v>-1524.7446458605336</v>
      </c>
      <c r="M28" s="41">
        <v>-4402.6228013510108</v>
      </c>
      <c r="N28" s="41">
        <v>-3244.6264230796769</v>
      </c>
      <c r="O28" s="41">
        <v>-3119.194420615438</v>
      </c>
      <c r="P28" s="41">
        <v>-1341.5651155119047</v>
      </c>
      <c r="Q28" s="41">
        <v>-4899.5191347265281</v>
      </c>
      <c r="R28" s="41">
        <v>-3302.2616795943632</v>
      </c>
      <c r="S28" s="41">
        <v>-2520.0704046734099</v>
      </c>
      <c r="T28" s="41">
        <v>-1205.4695162852227</v>
      </c>
      <c r="U28" s="41">
        <v>-2407.1667621371021</v>
      </c>
      <c r="V28" s="41">
        <v>-1802.1959591687478</v>
      </c>
      <c r="W28" s="41">
        <v>-1752.6871213218253</v>
      </c>
      <c r="X28" s="41">
        <v>-3200.0924637468879</v>
      </c>
      <c r="Y28" s="41">
        <v>-1978.8358101646072</v>
      </c>
      <c r="Z28" s="41">
        <v>-3687.8161983824498</v>
      </c>
      <c r="AA28" s="41">
        <v>-2194.4484693833028</v>
      </c>
      <c r="AB28" s="41">
        <v>-1047.0840200756454</v>
      </c>
      <c r="AC28" s="41">
        <v>-2287.3861197151568</v>
      </c>
      <c r="AD28" s="41">
        <v>-2214.9770224206854</v>
      </c>
      <c r="AE28" s="41">
        <v>-2223.8885132230503</v>
      </c>
      <c r="AF28" s="41">
        <v>-1331.5258714703436</v>
      </c>
      <c r="AG28" s="41">
        <v>-3014.678036982099</v>
      </c>
      <c r="AH28" s="41">
        <v>-2971</v>
      </c>
      <c r="AI28" s="41">
        <v>-460.1891899999996</v>
      </c>
      <c r="AJ28" s="41">
        <v>-4152.8338100000028</v>
      </c>
      <c r="AK28" s="41">
        <v>-4279.1117000000004</v>
      </c>
      <c r="AL28" s="41">
        <v>-1340.968929999993</v>
      </c>
      <c r="AM28" s="41">
        <v>-3443.2057000000032</v>
      </c>
      <c r="AN28" s="70">
        <v>-4875.9259200000033</v>
      </c>
      <c r="AO28" s="70">
        <v>-7061.7875599999898</v>
      </c>
      <c r="AP28" s="70">
        <v>-4351.6888500000005</v>
      </c>
      <c r="AQ28" s="70">
        <v>-9115</v>
      </c>
      <c r="AR28" s="70">
        <v>-6588</v>
      </c>
      <c r="AS28" s="70">
        <f t="shared" si="30"/>
        <v>-5729.3111500000014</v>
      </c>
      <c r="AT28" s="70">
        <v>-7098</v>
      </c>
      <c r="AU28" s="70">
        <v>-5629</v>
      </c>
      <c r="AV28" s="70">
        <v>-5505</v>
      </c>
      <c r="AW28" s="70">
        <f t="shared" si="29"/>
        <v>-5357</v>
      </c>
      <c r="AX28" s="70">
        <v>-5361</v>
      </c>
      <c r="AY28" s="70">
        <v>-6785</v>
      </c>
      <c r="AZ28" s="70"/>
      <c r="BA28" s="41">
        <f t="shared" si="31"/>
        <v>-25219.776038330805</v>
      </c>
      <c r="BB28" s="41">
        <f t="shared" si="32"/>
        <v>-10151.636278605183</v>
      </c>
      <c r="BC28" s="41">
        <f t="shared" si="33"/>
        <v>-9694.9015416970178</v>
      </c>
      <c r="BD28" s="41">
        <f t="shared" si="34"/>
        <v>-12604.905093933548</v>
      </c>
      <c r="BE28" s="41">
        <f t="shared" si="35"/>
        <v>-9434.9683626900969</v>
      </c>
      <c r="BF28" s="70">
        <f t="shared" si="36"/>
        <v>-8733.8113544020671</v>
      </c>
      <c r="BG28" s="41">
        <f t="shared" si="37"/>
        <v>-9216.7348075565551</v>
      </c>
      <c r="BH28" s="41">
        <f t="shared" si="38"/>
        <v>-8785.0694440961779</v>
      </c>
      <c r="BI28" s="41">
        <f t="shared" si="39"/>
        <v>-11863.134700000002</v>
      </c>
      <c r="BJ28" s="41">
        <v>-16721.888109999989</v>
      </c>
      <c r="BK28" s="41">
        <v>-25784</v>
      </c>
      <c r="BL28" s="70">
        <v>-23589</v>
      </c>
    </row>
    <row r="29" spans="1:66" ht="15.6">
      <c r="A29" s="138" t="s">
        <v>68</v>
      </c>
      <c r="B29" s="41">
        <v>-269.97398908520125</v>
      </c>
      <c r="C29" s="41">
        <v>-1050.8085213302465</v>
      </c>
      <c r="D29" s="41">
        <v>-157.38475403469954</v>
      </c>
      <c r="E29" s="41">
        <v>-385.9816577883675</v>
      </c>
      <c r="F29" s="41">
        <v>-209.56134534635325</v>
      </c>
      <c r="G29" s="41">
        <v>-268.66811258959996</v>
      </c>
      <c r="H29" s="41">
        <v>-258.59250848001574</v>
      </c>
      <c r="I29" s="41">
        <v>-853.96517691497922</v>
      </c>
      <c r="J29" s="41">
        <v>-90.342547509795338</v>
      </c>
      <c r="K29" s="41">
        <v>-83.663352200967751</v>
      </c>
      <c r="L29" s="41">
        <v>-154.0457310426888</v>
      </c>
      <c r="M29" s="41">
        <v>-73.776797512467809</v>
      </c>
      <c r="N29" s="41">
        <v>-134.93590245245178</v>
      </c>
      <c r="O29" s="41">
        <v>-34.208513087507292</v>
      </c>
      <c r="P29" s="41">
        <v>-487.98561368101576</v>
      </c>
      <c r="Q29" s="41">
        <v>-482.16708435071808</v>
      </c>
      <c r="R29" s="41">
        <v>-247.66962596957723</v>
      </c>
      <c r="S29" s="41">
        <v>-414.51625347899079</v>
      </c>
      <c r="T29" s="41">
        <v>-741.61315127061903</v>
      </c>
      <c r="U29" s="41">
        <v>-83.430956987422178</v>
      </c>
      <c r="V29" s="41">
        <v>-185.5348392912168</v>
      </c>
      <c r="W29" s="41">
        <v>-803.77195739849674</v>
      </c>
      <c r="X29" s="41">
        <v>128.14468287681268</v>
      </c>
      <c r="Y29" s="41">
        <v>-1892.0100941217338</v>
      </c>
      <c r="Z29" s="41">
        <v>-514.46296352711079</v>
      </c>
      <c r="AA29" s="41">
        <v>-279.5077754896476</v>
      </c>
      <c r="AB29" s="41">
        <v>-1441.4137797667752</v>
      </c>
      <c r="AC29" s="41">
        <v>-893.72141892934383</v>
      </c>
      <c r="AD29" s="41">
        <v>-1051.5252388196132</v>
      </c>
      <c r="AE29" s="41">
        <v>486.72931378631665</v>
      </c>
      <c r="AF29" s="41">
        <v>-51.616939741133208</v>
      </c>
      <c r="AG29" s="41">
        <v>-580.80624492041386</v>
      </c>
      <c r="AH29" s="41">
        <v>-685</v>
      </c>
      <c r="AI29" s="41">
        <v>-1144.881630000001</v>
      </c>
      <c r="AJ29" s="41">
        <v>-433.48665000000119</v>
      </c>
      <c r="AK29" s="41">
        <v>-16.482920000000831</v>
      </c>
      <c r="AL29" s="41">
        <v>-899.18374999999833</v>
      </c>
      <c r="AM29" s="41">
        <v>-1383.6114499999953</v>
      </c>
      <c r="AN29" s="41">
        <v>-2079.4642399999698</v>
      </c>
      <c r="AO29" s="70">
        <v>-1491.5017599999965</v>
      </c>
      <c r="AP29" s="70">
        <v>-2903.9485799999952</v>
      </c>
      <c r="AQ29" s="70">
        <v>-2024</v>
      </c>
      <c r="AR29" s="70">
        <v>-572</v>
      </c>
      <c r="AS29" s="70">
        <f t="shared" si="30"/>
        <v>-608.05142000000524</v>
      </c>
      <c r="AT29" s="70">
        <v>-334</v>
      </c>
      <c r="AU29" s="70">
        <v>2320</v>
      </c>
      <c r="AV29" s="70">
        <v>-1015</v>
      </c>
      <c r="AW29" s="70">
        <f t="shared" si="29"/>
        <v>-3653</v>
      </c>
      <c r="AX29" s="70">
        <v>-2358</v>
      </c>
      <c r="AY29" s="70">
        <v>-2737</v>
      </c>
      <c r="AZ29" s="329"/>
      <c r="BA29" s="41">
        <f t="shared" si="31"/>
        <v>-1864.1489222385148</v>
      </c>
      <c r="BB29" s="41">
        <f t="shared" si="32"/>
        <v>-1590.7871433309483</v>
      </c>
      <c r="BC29" s="41">
        <f t="shared" si="33"/>
        <v>-401.82842826591968</v>
      </c>
      <c r="BD29" s="41">
        <f t="shared" si="34"/>
        <v>-1139.297113571693</v>
      </c>
      <c r="BE29" s="41">
        <f t="shared" si="35"/>
        <v>-1487.2299877066093</v>
      </c>
      <c r="BF29" s="70">
        <f t="shared" si="36"/>
        <v>-2753.1722079346346</v>
      </c>
      <c r="BG29" s="41">
        <f t="shared" si="37"/>
        <v>-3129.1059377128777</v>
      </c>
      <c r="BH29" s="41">
        <f t="shared" si="38"/>
        <v>-1197.2191096948436</v>
      </c>
      <c r="BI29" s="41">
        <f t="shared" si="39"/>
        <v>-2279.8512000000032</v>
      </c>
      <c r="BJ29" s="41">
        <v>-5853.7611999999599</v>
      </c>
      <c r="BK29" s="41">
        <v>-6108</v>
      </c>
      <c r="BL29" s="70">
        <v>-2682</v>
      </c>
    </row>
    <row r="30" spans="1:66" ht="15.6">
      <c r="A30" s="194" t="s">
        <v>59</v>
      </c>
      <c r="B30" s="70">
        <v>-1151.8325992004982</v>
      </c>
      <c r="C30" s="70">
        <v>-1235.66467452754</v>
      </c>
      <c r="D30" s="70">
        <v>-937.27456872061293</v>
      </c>
      <c r="E30" s="70">
        <v>-973.58381568163418</v>
      </c>
      <c r="F30" s="70">
        <v>-283.83183878857164</v>
      </c>
      <c r="G30" s="70">
        <v>-279.08917877489353</v>
      </c>
      <c r="H30" s="70">
        <v>-229.00714369143637</v>
      </c>
      <c r="I30" s="70">
        <v>-185.39435401740951</v>
      </c>
      <c r="J30" s="70">
        <v>-83.92617339688374</v>
      </c>
      <c r="K30" s="70">
        <v>-9.7083753407266347</v>
      </c>
      <c r="L30" s="70">
        <v>11.39938409715897</v>
      </c>
      <c r="M30" s="70">
        <v>-13.358761689500342</v>
      </c>
      <c r="N30" s="70">
        <v>-22.907096549985685</v>
      </c>
      <c r="O30" s="70">
        <v>-17.104256543753646</v>
      </c>
      <c r="P30" s="70">
        <v>-22.138038209767402</v>
      </c>
      <c r="Q30" s="70">
        <v>-639.70987132427774</v>
      </c>
      <c r="R30" s="70">
        <v>-171.89011354604986</v>
      </c>
      <c r="S30" s="70">
        <v>-165.69566816874098</v>
      </c>
      <c r="T30" s="70">
        <v>-168.37580935300841</v>
      </c>
      <c r="U30" s="70">
        <v>-133.54200347986759</v>
      </c>
      <c r="V30" s="70">
        <v>-370.07097071423624</v>
      </c>
      <c r="W30" s="70">
        <v>-527.00503458752598</v>
      </c>
      <c r="X30" s="70">
        <v>-599.93866266295595</v>
      </c>
      <c r="Y30" s="70">
        <v>-29206.771094710948</v>
      </c>
      <c r="Z30" s="70">
        <v>-9313.0332254322748</v>
      </c>
      <c r="AA30" s="70">
        <v>-8734.8824350773593</v>
      </c>
      <c r="AB30" s="70">
        <v>-10146.972948808339</v>
      </c>
      <c r="AC30" s="70">
        <v>-9335.8328934029651</v>
      </c>
      <c r="AD30" s="70">
        <v>-5476.1842268931823</v>
      </c>
      <c r="AE30" s="70">
        <v>-4741.1739828556956</v>
      </c>
      <c r="AF30" s="70">
        <v>-5436.6867243198985</v>
      </c>
      <c r="AG30" s="41">
        <v>-4911.1803978060325</v>
      </c>
      <c r="AH30" s="41">
        <v>-4208</v>
      </c>
      <c r="AI30" s="41">
        <v>-4364.2502599999953</v>
      </c>
      <c r="AJ30" s="41">
        <v>-7356.6127900000192</v>
      </c>
      <c r="AK30" s="41">
        <v>2152.5398499999974</v>
      </c>
      <c r="AL30" s="41">
        <v>-4141.6804799999845</v>
      </c>
      <c r="AM30" s="41">
        <v>-4136.8806800000111</v>
      </c>
      <c r="AN30" s="41">
        <v>-3248.5724899999968</v>
      </c>
      <c r="AO30" s="70">
        <v>-9439.2313900001463</v>
      </c>
      <c r="AP30" s="70">
        <v>-4950.3473299999905</v>
      </c>
      <c r="AQ30" s="70">
        <v>-5749.5461200000109</v>
      </c>
      <c r="AR30" s="70">
        <v>-4654</v>
      </c>
      <c r="AS30" s="70">
        <f>BK30-SUM(AP30:AR30)</f>
        <v>-4476.1065499999986</v>
      </c>
      <c r="AT30" s="70">
        <v>-8813</v>
      </c>
      <c r="AU30" s="70">
        <v>-5882</v>
      </c>
      <c r="AV30" s="70">
        <v>-5559</v>
      </c>
      <c r="AW30" s="70">
        <f t="shared" si="29"/>
        <v>-6613</v>
      </c>
      <c r="AX30" s="70">
        <v>-5562</v>
      </c>
      <c r="AY30" s="70">
        <v>-4737</v>
      </c>
      <c r="AZ30" s="329"/>
      <c r="BA30" s="70">
        <f t="shared" si="31"/>
        <v>-4298.3556581302855</v>
      </c>
      <c r="BB30" s="70">
        <f t="shared" si="32"/>
        <v>-977.32251527231097</v>
      </c>
      <c r="BC30" s="70">
        <f t="shared" si="33"/>
        <v>-95.593926329951742</v>
      </c>
      <c r="BD30" s="70">
        <f t="shared" si="34"/>
        <v>-701.85926262778446</v>
      </c>
      <c r="BE30" s="70">
        <f t="shared" si="35"/>
        <v>-639.50359454766692</v>
      </c>
      <c r="BF30" s="70">
        <f t="shared" si="36"/>
        <v>-30703.785762675667</v>
      </c>
      <c r="BG30" s="41">
        <f t="shared" si="37"/>
        <v>-37530.721502720939</v>
      </c>
      <c r="BH30" s="41">
        <f t="shared" si="38"/>
        <v>-20565.225331874812</v>
      </c>
      <c r="BI30" s="41">
        <f t="shared" si="39"/>
        <v>-13776.323200000017</v>
      </c>
      <c r="BJ30" s="41">
        <v>-20966.365040000139</v>
      </c>
      <c r="BK30" s="41">
        <v>-19830</v>
      </c>
      <c r="BL30" s="70">
        <v>-26867</v>
      </c>
    </row>
    <row r="31" spans="1:66" ht="15.6">
      <c r="A31" s="194" t="s">
        <v>69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-961.47820827011901</v>
      </c>
      <c r="T31" s="41">
        <v>-349.41145399571673</v>
      </c>
      <c r="U31" s="41">
        <v>0</v>
      </c>
      <c r="V31" s="41">
        <v>0</v>
      </c>
      <c r="W31" s="41">
        <v>0</v>
      </c>
      <c r="X31" s="41">
        <v>0</v>
      </c>
      <c r="Y31" s="41">
        <v>138063.24957324978</v>
      </c>
      <c r="Z31" s="41">
        <v>6.7208864125390368</v>
      </c>
      <c r="AA31" s="41">
        <v>0</v>
      </c>
      <c r="AB31" s="41">
        <v>122.70515860261469</v>
      </c>
      <c r="AC31" s="41">
        <v>-10345.11437544913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f t="shared" si="30"/>
        <v>0</v>
      </c>
      <c r="AT31" s="70">
        <v>0</v>
      </c>
      <c r="AU31" s="70">
        <v>0</v>
      </c>
      <c r="AV31" s="70">
        <v>0</v>
      </c>
      <c r="AW31" s="70">
        <f t="shared" si="29"/>
        <v>0</v>
      </c>
      <c r="AX31" s="70">
        <v>0</v>
      </c>
      <c r="AY31" s="70">
        <v>0</v>
      </c>
      <c r="AZ31" s="191"/>
      <c r="BA31" s="70">
        <f t="shared" si="31"/>
        <v>0</v>
      </c>
      <c r="BB31" s="70">
        <f t="shared" si="32"/>
        <v>0</v>
      </c>
      <c r="BC31" s="70">
        <f t="shared" si="33"/>
        <v>0</v>
      </c>
      <c r="BD31" s="70">
        <f t="shared" si="34"/>
        <v>0</v>
      </c>
      <c r="BE31" s="70">
        <f t="shared" si="35"/>
        <v>-1310.8896622658358</v>
      </c>
      <c r="BF31" s="70">
        <f t="shared" si="36"/>
        <v>138063.24957324978</v>
      </c>
      <c r="BG31" s="41">
        <f t="shared" si="37"/>
        <v>-10215.688330433975</v>
      </c>
      <c r="BH31" s="41">
        <f t="shared" si="38"/>
        <v>0</v>
      </c>
      <c r="BI31" s="41">
        <f t="shared" si="39"/>
        <v>0</v>
      </c>
      <c r="BJ31" s="41">
        <f t="shared" ref="BJ31:BJ32" si="40">SUM(AL31:AO31)</f>
        <v>0</v>
      </c>
      <c r="BK31" s="41">
        <f>SUM(AM31:AP31)</f>
        <v>0</v>
      </c>
      <c r="BL31" s="70">
        <f>SUM(AN31:AQ31)</f>
        <v>0</v>
      </c>
    </row>
    <row r="32" spans="1:66" ht="15.6">
      <c r="A32" s="194" t="s">
        <v>70</v>
      </c>
      <c r="B32" s="41">
        <v>0</v>
      </c>
      <c r="C32" s="41">
        <v>0</v>
      </c>
      <c r="D32" s="41">
        <v>1387.4477199260104</v>
      </c>
      <c r="E32" s="41">
        <v>-2651.568933302508</v>
      </c>
      <c r="F32" s="41">
        <v>0</v>
      </c>
      <c r="G32" s="41">
        <v>5997.3235896364513</v>
      </c>
      <c r="H32" s="41">
        <v>-5200.156450393556</v>
      </c>
      <c r="I32" s="41">
        <v>49964.688478153381</v>
      </c>
      <c r="J32" s="41">
        <v>0</v>
      </c>
      <c r="K32" s="41">
        <v>-1916.5475084399166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-23.35017349647979</v>
      </c>
      <c r="V32" s="41">
        <v>1.3269677584155675</v>
      </c>
      <c r="W32" s="41">
        <v>1.2754236074238285</v>
      </c>
      <c r="X32" s="41">
        <v>1.5918666233338215</v>
      </c>
      <c r="Y32" s="41">
        <v>-6716.9712989769041</v>
      </c>
      <c r="Z32" s="41">
        <v>-1421.8950030381852</v>
      </c>
      <c r="AA32" s="41">
        <v>1181.0581944864587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f t="shared" si="30"/>
        <v>0</v>
      </c>
      <c r="AT32" s="70">
        <v>0</v>
      </c>
      <c r="AU32" s="70">
        <v>0</v>
      </c>
      <c r="AV32" s="70">
        <v>0</v>
      </c>
      <c r="AW32" s="70">
        <f t="shared" si="29"/>
        <v>0</v>
      </c>
      <c r="AX32" s="70">
        <v>0</v>
      </c>
      <c r="AY32" s="70">
        <v>0</v>
      </c>
      <c r="AZ32" s="191"/>
      <c r="BA32" s="41">
        <f t="shared" si="31"/>
        <v>-1264.1212133764975</v>
      </c>
      <c r="BB32" s="41">
        <f t="shared" si="32"/>
        <v>50761.855617396279</v>
      </c>
      <c r="BC32" s="41">
        <f t="shared" si="33"/>
        <v>-1916.5475084399166</v>
      </c>
      <c r="BD32" s="41">
        <f t="shared" si="34"/>
        <v>0</v>
      </c>
      <c r="BE32" s="41">
        <f t="shared" si="35"/>
        <v>-23.35017349647979</v>
      </c>
      <c r="BF32" s="70">
        <f t="shared" si="36"/>
        <v>-6712.7770409877312</v>
      </c>
      <c r="BG32" s="41">
        <f t="shared" si="37"/>
        <v>-240.83680855172656</v>
      </c>
      <c r="BH32" s="41">
        <f t="shared" si="38"/>
        <v>0</v>
      </c>
      <c r="BI32" s="41">
        <f t="shared" si="39"/>
        <v>0</v>
      </c>
      <c r="BJ32" s="41">
        <f t="shared" si="40"/>
        <v>0</v>
      </c>
      <c r="BK32" s="41">
        <f>SUM(AM32:AP32)</f>
        <v>0</v>
      </c>
      <c r="BL32" s="70">
        <f>SUM(AN32:AQ32)</f>
        <v>0</v>
      </c>
    </row>
    <row r="33" spans="1:64" ht="15.6">
      <c r="A33" s="194" t="s">
        <v>71</v>
      </c>
      <c r="B33" s="41">
        <v>9586.1923961381653</v>
      </c>
      <c r="C33" s="41">
        <v>135.05267503006158</v>
      </c>
      <c r="D33" s="41">
        <v>561.83719457079894</v>
      </c>
      <c r="E33" s="41">
        <v>-6205.9103738513841</v>
      </c>
      <c r="F33" s="41">
        <v>-6474.4343766906613</v>
      </c>
      <c r="G33" s="41">
        <v>4757.2167135865157</v>
      </c>
      <c r="H33" s="41">
        <v>8892.3106806251817</v>
      </c>
      <c r="I33" s="41">
        <v>-2530.7325200481423</v>
      </c>
      <c r="J33" s="41">
        <v>-556.42796307169408</v>
      </c>
      <c r="K33" s="41">
        <v>4847.6202399857666</v>
      </c>
      <c r="L33" s="41">
        <v>-5032.0578502404724</v>
      </c>
      <c r="M33" s="41">
        <v>107157.00328410679</v>
      </c>
      <c r="N33" s="41">
        <v>33.609044718969287</v>
      </c>
      <c r="O33" s="41">
        <v>13162.191890142352</v>
      </c>
      <c r="P33" s="41">
        <v>-584.44420873785941</v>
      </c>
      <c r="Q33" s="41">
        <v>272.47580862426474</v>
      </c>
      <c r="R33" s="41">
        <v>1088.3293389931796</v>
      </c>
      <c r="S33" s="41">
        <v>-180.10398713993584</v>
      </c>
      <c r="T33" s="41">
        <v>-3677.1757582462274</v>
      </c>
      <c r="U33" s="41">
        <v>-856.87265887082026</v>
      </c>
      <c r="V33" s="41">
        <v>80.414246159983378</v>
      </c>
      <c r="W33" s="41">
        <v>-8310.1500565306978</v>
      </c>
      <c r="X33" s="41">
        <v>-7614.9159586934238</v>
      </c>
      <c r="Y33" s="41">
        <v>-14139.243536555879</v>
      </c>
      <c r="Z33" s="41">
        <v>27201.614718322249</v>
      </c>
      <c r="AA33" s="41">
        <v>19992.408725700312</v>
      </c>
      <c r="AB33" s="41">
        <v>6051.1688609593721</v>
      </c>
      <c r="AC33" s="41">
        <v>90019.582748264002</v>
      </c>
      <c r="AD33" s="41">
        <v>-3697.4103292406958</v>
      </c>
      <c r="AE33" s="41">
        <v>-11740.975886900573</v>
      </c>
      <c r="AF33" s="41">
        <v>3023.2232780232616</v>
      </c>
      <c r="AG33" s="41">
        <v>-1593.2782902425288</v>
      </c>
      <c r="AH33" s="41">
        <v>-3406</v>
      </c>
      <c r="AI33" s="41">
        <v>-20039.389446714387</v>
      </c>
      <c r="AJ33" s="41">
        <v>-988.49725829323688</v>
      </c>
      <c r="AK33" s="41">
        <v>42089.749100239809</v>
      </c>
      <c r="AL33" s="41">
        <v>-27245.919482760663</v>
      </c>
      <c r="AM33" s="41">
        <v>-1483.0906072393482</v>
      </c>
      <c r="AN33" s="41">
        <f>-13242.982458106+1</f>
        <v>-13241.982458106</v>
      </c>
      <c r="AO33" s="70">
        <f t="shared" ref="AO33:AO36" si="41">BJ33-SUM(AL33:AN33)</f>
        <v>61675.992548106013</v>
      </c>
      <c r="AP33" s="70">
        <v>4430</v>
      </c>
      <c r="AQ33" s="70">
        <v>57136</v>
      </c>
      <c r="AR33" s="70">
        <v>-8361</v>
      </c>
      <c r="AS33" s="70">
        <f>BK33-SUM(AP33:AR33)</f>
        <v>-40990</v>
      </c>
      <c r="AT33" s="70">
        <v>-14388</v>
      </c>
      <c r="AU33" s="70">
        <v>-48616</v>
      </c>
      <c r="AV33" s="70">
        <v>-10840</v>
      </c>
      <c r="AW33" s="70">
        <f t="shared" si="29"/>
        <v>-17147</v>
      </c>
      <c r="AX33" s="70">
        <v>-30266</v>
      </c>
      <c r="AY33" s="70">
        <v>-31398</v>
      </c>
      <c r="AZ33" s="329"/>
      <c r="BA33" s="41">
        <f t="shared" si="31"/>
        <v>4077.1718918876413</v>
      </c>
      <c r="BB33" s="41">
        <f t="shared" si="32"/>
        <v>4644.3604974728933</v>
      </c>
      <c r="BC33" s="41">
        <f t="shared" si="33"/>
        <v>106416.13771078039</v>
      </c>
      <c r="BD33" s="41">
        <f t="shared" si="34"/>
        <v>12883.832534747728</v>
      </c>
      <c r="BE33" s="41">
        <f t="shared" si="35"/>
        <v>-3625.823065263804</v>
      </c>
      <c r="BF33" s="70">
        <f t="shared" si="36"/>
        <v>-29983.895305620019</v>
      </c>
      <c r="BG33" s="41">
        <f t="shared" si="37"/>
        <v>143264.77505324595</v>
      </c>
      <c r="BH33" s="70">
        <f t="shared" si="38"/>
        <v>-14008.441228360534</v>
      </c>
      <c r="BI33" s="70">
        <f t="shared" si="39"/>
        <v>17655.862395232187</v>
      </c>
      <c r="BJ33" s="70">
        <v>19705</v>
      </c>
      <c r="BK33" s="70">
        <v>12215</v>
      </c>
      <c r="BL33" s="70">
        <v>-90991</v>
      </c>
    </row>
    <row r="34" spans="1:64" s="17" customFormat="1" ht="15.6">
      <c r="A34" s="194" t="s">
        <v>72</v>
      </c>
      <c r="B34" s="70">
        <v>-3008.6442984259893</v>
      </c>
      <c r="C34" s="70">
        <v>-734.48913297079991</v>
      </c>
      <c r="D34" s="70">
        <v>9173.5968224638982</v>
      </c>
      <c r="E34" s="70">
        <v>1064.1953633941473</v>
      </c>
      <c r="F34" s="70">
        <v>-5510.6614007550197</v>
      </c>
      <c r="G34" s="70">
        <v>-3949.2584259079736</v>
      </c>
      <c r="H34" s="70">
        <v>8220.2551911238024</v>
      </c>
      <c r="I34" s="70">
        <v>4033.1722653072075</v>
      </c>
      <c r="J34" s="70">
        <v>-5702.6166565913145</v>
      </c>
      <c r="K34" s="70">
        <v>-10244.334767624983</v>
      </c>
      <c r="L34" s="70">
        <v>33888.212280619024</v>
      </c>
      <c r="M34" s="70">
        <v>-19453.39310211466</v>
      </c>
      <c r="N34" s="70">
        <v>6872.7652732332053</v>
      </c>
      <c r="O34" s="70">
        <v>3325.0674721057089</v>
      </c>
      <c r="P34" s="70">
        <v>4498.4493642247362</v>
      </c>
      <c r="Q34" s="70">
        <v>-18552.201669915667</v>
      </c>
      <c r="R34" s="70">
        <v>-8581.8757585652384</v>
      </c>
      <c r="S34" s="70">
        <v>3704.0463078256344</v>
      </c>
      <c r="T34" s="70">
        <v>6847.4517114928713</v>
      </c>
      <c r="U34" s="70">
        <v>10052.905593984451</v>
      </c>
      <c r="V34" s="70">
        <f t="shared" ref="V34:AD34" si="42">SUM(V35:V36)</f>
        <v>-37192.053549482524</v>
      </c>
      <c r="W34" s="70">
        <f t="shared" si="42"/>
        <v>-2972.7570389248031</v>
      </c>
      <c r="X34" s="70">
        <f t="shared" si="42"/>
        <v>-42516.240825535038</v>
      </c>
      <c r="Y34" s="70">
        <f t="shared" si="42"/>
        <v>-4028.1848084130761</v>
      </c>
      <c r="Z34" s="70">
        <f t="shared" si="42"/>
        <v>-23183.221008632157</v>
      </c>
      <c r="AA34" s="70">
        <f t="shared" si="42"/>
        <v>-41788.770345846846</v>
      </c>
      <c r="AB34" s="70">
        <f t="shared" si="42"/>
        <v>-33870.632581854814</v>
      </c>
      <c r="AC34" s="70">
        <f t="shared" si="42"/>
        <v>9563.3157660115394</v>
      </c>
      <c r="AD34" s="70">
        <f t="shared" si="42"/>
        <v>-66105.627115156749</v>
      </c>
      <c r="AE34" s="70">
        <v>26511.643510934202</v>
      </c>
      <c r="AF34" s="70">
        <f>SUM(AF35:AF36)</f>
        <v>-50528.543804928151</v>
      </c>
      <c r="AG34" s="70">
        <f>SUM(AG35:AG36)</f>
        <v>-24418.933472464592</v>
      </c>
      <c r="AH34" s="70">
        <f>SUM(AH35:AH36)</f>
        <v>-6722</v>
      </c>
      <c r="AI34" s="70">
        <f t="shared" ref="AI34" si="43">SUM(AI35:AI36)</f>
        <v>-36124.2576573814</v>
      </c>
      <c r="AJ34" s="70">
        <v>-5184.4700674375345</v>
      </c>
      <c r="AK34" s="41">
        <v>4024.208397577022</v>
      </c>
      <c r="AL34" s="70">
        <f t="shared" ref="AL34" si="44">SUM(AL35:AL36)</f>
        <v>-52129.656626289332</v>
      </c>
      <c r="AM34" s="70">
        <f t="shared" ref="AM34:AO34" si="45">SUM(AM35:AM36)</f>
        <v>-69672.366762386722</v>
      </c>
      <c r="AN34" s="70">
        <f t="shared" si="45"/>
        <v>-23091.131017239881</v>
      </c>
      <c r="AO34" s="70">
        <f t="shared" si="45"/>
        <v>-67810.845594084065</v>
      </c>
      <c r="AP34" s="70">
        <v>-40549.386077401025</v>
      </c>
      <c r="AQ34" s="70">
        <v>-13062</v>
      </c>
      <c r="AR34" s="70">
        <v>-38822</v>
      </c>
      <c r="AS34" s="70">
        <f t="shared" ref="AS34:AT34" si="46">+SUM(AS35:AS36)</f>
        <v>-5028.9425906070974</v>
      </c>
      <c r="AT34" s="70">
        <f t="shared" si="46"/>
        <v>-80973</v>
      </c>
      <c r="AU34" s="70">
        <f t="shared" ref="AU34:AV34" si="47">+SUM(AU35:AU36)</f>
        <v>-88937</v>
      </c>
      <c r="AV34" s="70">
        <f t="shared" si="47"/>
        <v>-139267</v>
      </c>
      <c r="AW34" s="70">
        <f t="shared" ref="AW34" si="48">+SUM(AW35:AW36)</f>
        <v>-55030</v>
      </c>
      <c r="AX34" s="70">
        <f>+SUM(AX35:AX36)</f>
        <v>-140860</v>
      </c>
      <c r="AY34" s="70">
        <f>+SUM(AY35:AY36)</f>
        <v>-132721</v>
      </c>
      <c r="AZ34" s="329"/>
      <c r="BA34" s="41">
        <f t="shared" si="31"/>
        <v>6494.6587544612566</v>
      </c>
      <c r="BB34" s="41">
        <f t="shared" si="32"/>
        <v>2793.5076297680162</v>
      </c>
      <c r="BC34" s="41">
        <f t="shared" si="33"/>
        <v>-1512.132245711935</v>
      </c>
      <c r="BD34" s="41">
        <f t="shared" si="34"/>
        <v>-3855.9195603520166</v>
      </c>
      <c r="BE34" s="41">
        <f t="shared" si="35"/>
        <v>12022.527854737718</v>
      </c>
      <c r="BF34" s="70">
        <f t="shared" si="36"/>
        <v>-86709.236222355437</v>
      </c>
      <c r="BG34" s="41">
        <f t="shared" si="37"/>
        <v>-89279.308170322271</v>
      </c>
      <c r="BH34" s="70">
        <f t="shared" si="38"/>
        <v>-114541.46088161529</v>
      </c>
      <c r="BI34" s="70">
        <f>+SUM(AH34:AK36)</f>
        <v>-86852.776984623313</v>
      </c>
      <c r="BJ34" s="70">
        <f>SUM(BJ35:BJ36)</f>
        <v>-212704</v>
      </c>
      <c r="BK34" s="70">
        <f>SUM(BK35:BK36)</f>
        <v>-97463</v>
      </c>
      <c r="BL34" s="70">
        <f>SUM(BL35:BL36)</f>
        <v>-364207</v>
      </c>
    </row>
    <row r="35" spans="1:64" s="17" customFormat="1" ht="15.6" outlineLevel="1">
      <c r="A35" s="203" t="s">
        <v>73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v>16183.091411850137</v>
      </c>
      <c r="W35" s="70">
        <v>17575.084321632257</v>
      </c>
      <c r="X35" s="70">
        <v>17566.144832029233</v>
      </c>
      <c r="Y35" s="70">
        <v>40323.503196297163</v>
      </c>
      <c r="Z35" s="70">
        <v>146575.10182931487</v>
      </c>
      <c r="AA35" s="70">
        <v>19546.979904920347</v>
      </c>
      <c r="AB35" s="70">
        <v>51219.739694575801</v>
      </c>
      <c r="AC35" s="70">
        <v>80431.18398883073</v>
      </c>
      <c r="AD35" s="70">
        <v>9887.8653649336338</v>
      </c>
      <c r="AE35" s="70">
        <v>98045.147104590491</v>
      </c>
      <c r="AF35" s="70">
        <v>41542.683837202741</v>
      </c>
      <c r="AG35" s="70">
        <v>27889.937789060979</v>
      </c>
      <c r="AH35" s="70">
        <v>65628</v>
      </c>
      <c r="AI35" s="70">
        <v>-23208.391806393091</v>
      </c>
      <c r="AJ35" s="41">
        <v>0</v>
      </c>
      <c r="AK35" s="41">
        <v>0</v>
      </c>
      <c r="AL35" s="70">
        <v>56499.233950329217</v>
      </c>
      <c r="AM35" s="70">
        <v>161428.91537343254</v>
      </c>
      <c r="AN35" s="70">
        <v>-53671.102455111686</v>
      </c>
      <c r="AO35" s="70">
        <f t="shared" si="41"/>
        <v>-127908.04686865007</v>
      </c>
      <c r="AP35" s="70">
        <v>10264</v>
      </c>
      <c r="AQ35" s="70">
        <v>59824</v>
      </c>
      <c r="AR35" s="70">
        <v>32242</v>
      </c>
      <c r="AS35" s="70">
        <v>1354839.7664718647</v>
      </c>
      <c r="AT35" s="70">
        <v>10757</v>
      </c>
      <c r="AU35" s="70">
        <v>30970</v>
      </c>
      <c r="AV35" s="70">
        <f>-2485+6019</f>
        <v>3534</v>
      </c>
      <c r="AW35" s="70">
        <f t="shared" ref="AW35:AW36" si="49">BL35-SUM(AT35:AV35)</f>
        <v>19964</v>
      </c>
      <c r="AX35" s="70">
        <v>11168</v>
      </c>
      <c r="AY35" s="70">
        <v>13674</v>
      </c>
      <c r="AZ35" s="329"/>
      <c r="BA35" s="41"/>
      <c r="BB35" s="41"/>
      <c r="BC35" s="41"/>
      <c r="BD35" s="41"/>
      <c r="BE35" s="41"/>
      <c r="BF35" s="70">
        <f t="shared" si="36"/>
        <v>91647.823761808788</v>
      </c>
      <c r="BG35" s="41">
        <f t="shared" si="37"/>
        <v>297773.00541764178</v>
      </c>
      <c r="BH35" s="70">
        <f t="shared" si="38"/>
        <v>177365.63409578786</v>
      </c>
      <c r="BI35" s="70">
        <f>+SUM(AH35:AJ35)</f>
        <v>42419.608193606909</v>
      </c>
      <c r="BJ35" s="70">
        <v>36349</v>
      </c>
      <c r="BK35" s="70">
        <f>147215+33955</f>
        <v>181170</v>
      </c>
      <c r="BL35" s="70">
        <f>65225</f>
        <v>65225</v>
      </c>
    </row>
    <row r="36" spans="1:64" s="17" customFormat="1" ht="15.6" outlineLevel="1">
      <c r="A36" s="203" t="s">
        <v>74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v>-53375.144961332662</v>
      </c>
      <c r="W36" s="70">
        <v>-20547.84136055706</v>
      </c>
      <c r="X36" s="70">
        <v>-60082.385657564271</v>
      </c>
      <c r="Y36" s="70">
        <v>-44351.688004710239</v>
      </c>
      <c r="Z36" s="70">
        <v>-169758.32283794702</v>
      </c>
      <c r="AA36" s="70">
        <v>-61335.750250767196</v>
      </c>
      <c r="AB36" s="70">
        <v>-85090.372276430615</v>
      </c>
      <c r="AC36" s="70">
        <v>-70867.86822281919</v>
      </c>
      <c r="AD36" s="70">
        <v>-75993.492480090383</v>
      </c>
      <c r="AE36" s="70">
        <v>-71533.662631287327</v>
      </c>
      <c r="AF36" s="70">
        <v>-92071.227642130892</v>
      </c>
      <c r="AG36" s="70">
        <v>-52308.871261525572</v>
      </c>
      <c r="AH36" s="70">
        <v>-72350</v>
      </c>
      <c r="AI36" s="70">
        <v>-12915.86585098831</v>
      </c>
      <c r="AJ36" s="41">
        <v>0</v>
      </c>
      <c r="AK36" s="41">
        <v>0</v>
      </c>
      <c r="AL36" s="70">
        <v>-108628.89057661855</v>
      </c>
      <c r="AM36" s="70">
        <v>-231101.28213581926</v>
      </c>
      <c r="AN36" s="70">
        <v>30579.971437871805</v>
      </c>
      <c r="AO36" s="70">
        <f t="shared" si="41"/>
        <v>60097.201274566003</v>
      </c>
      <c r="AP36" s="70">
        <v>-50814</v>
      </c>
      <c r="AQ36" s="70">
        <v>-72886</v>
      </c>
      <c r="AR36" s="70">
        <v>-71064</v>
      </c>
      <c r="AS36" s="70">
        <v>-1359868.7090624718</v>
      </c>
      <c r="AT36" s="70">
        <f>-87610-4120</f>
        <v>-91730</v>
      </c>
      <c r="AU36" s="70">
        <f>-98685-21222</f>
        <v>-119907</v>
      </c>
      <c r="AV36" s="70">
        <v>-142801</v>
      </c>
      <c r="AW36" s="70">
        <f t="shared" si="49"/>
        <v>-74994</v>
      </c>
      <c r="AX36" s="70">
        <f>-152125+97</f>
        <v>-152028</v>
      </c>
      <c r="AY36" s="70">
        <f>-129786-16609</f>
        <v>-146395</v>
      </c>
      <c r="AZ36" s="329"/>
      <c r="BA36" s="41"/>
      <c r="BB36" s="41"/>
      <c r="BC36" s="41"/>
      <c r="BD36" s="41"/>
      <c r="BE36" s="41"/>
      <c r="BF36" s="70">
        <f t="shared" si="36"/>
        <v>-178357.05998416425</v>
      </c>
      <c r="BG36" s="41">
        <f t="shared" si="37"/>
        <v>-387052.31358796399</v>
      </c>
      <c r="BH36" s="70">
        <f t="shared" si="38"/>
        <v>-291907.25401503418</v>
      </c>
      <c r="BI36" s="70">
        <f>+SUM(AH36:AJ36)</f>
        <v>-85265.86585098831</v>
      </c>
      <c r="BJ36" s="70">
        <v>-249053</v>
      </c>
      <c r="BK36" s="70">
        <v>-278633</v>
      </c>
      <c r="BL36" s="70">
        <f>-406798-22634</f>
        <v>-429432</v>
      </c>
    </row>
    <row r="37" spans="1:64" s="5" customFormat="1" ht="18.75" customHeight="1">
      <c r="A37" s="12" t="s">
        <v>75</v>
      </c>
      <c r="B37" s="42">
        <f t="shared" ref="B37:S37" si="50">+SUM(B30:B34)+B23+B21</f>
        <v>1372.6069812925016</v>
      </c>
      <c r="C37" s="42">
        <f t="shared" si="50"/>
        <v>4146.2460561029402</v>
      </c>
      <c r="D37" s="42">
        <f t="shared" si="50"/>
        <v>8972.4777160160393</v>
      </c>
      <c r="E37" s="42">
        <f t="shared" si="50"/>
        <v>-66004.432053998462</v>
      </c>
      <c r="F37" s="42">
        <f t="shared" si="50"/>
        <v>-18829.836558059516</v>
      </c>
      <c r="G37" s="42">
        <f t="shared" si="50"/>
        <v>-5989.8334483157696</v>
      </c>
      <c r="H37" s="42">
        <f t="shared" si="50"/>
        <v>-753.37921866967554</v>
      </c>
      <c r="I37" s="42">
        <f t="shared" si="50"/>
        <v>45755.603401871405</v>
      </c>
      <c r="J37" s="42">
        <f t="shared" si="50"/>
        <v>-16689.502377612109</v>
      </c>
      <c r="K37" s="42">
        <f t="shared" si="50"/>
        <v>-14664.786492618779</v>
      </c>
      <c r="L37" s="42">
        <f t="shared" si="50"/>
        <v>28926.091192271932</v>
      </c>
      <c r="M37" s="42">
        <f t="shared" si="50"/>
        <v>81793.268959048888</v>
      </c>
      <c r="N37" s="42">
        <f t="shared" si="50"/>
        <v>2966.0416729536846</v>
      </c>
      <c r="O37" s="42">
        <f t="shared" si="50"/>
        <v>15355.268565534188</v>
      </c>
      <c r="P37" s="42">
        <f t="shared" si="50"/>
        <v>4338.4229737369842</v>
      </c>
      <c r="Q37" s="42">
        <f t="shared" si="50"/>
        <v>-13533.441702957101</v>
      </c>
      <c r="R37" s="42">
        <f t="shared" si="50"/>
        <v>-8862.8144387695393</v>
      </c>
      <c r="S37" s="42">
        <f t="shared" si="50"/>
        <v>21247.005904426806</v>
      </c>
      <c r="T37" s="42">
        <f>+SUM(T30:T34)+T23+T21</f>
        <v>24920.126177656832</v>
      </c>
      <c r="U37" s="42">
        <f t="shared" ref="U37:X37" si="51">+SUM(U30:U34)+U23+U21</f>
        <v>23915.03780589463</v>
      </c>
      <c r="V37" s="42">
        <f t="shared" si="51"/>
        <v>-31354.373394819526</v>
      </c>
      <c r="W37" s="42">
        <f t="shared" si="51"/>
        <v>51131.222557436951</v>
      </c>
      <c r="X37" s="42">
        <f t="shared" si="51"/>
        <v>-15966.25598471253</v>
      </c>
      <c r="Y37" s="42">
        <f>+SUM(Y30:Y34)+Y23+Y21</f>
        <v>126827.65416191037</v>
      </c>
      <c r="Z37" s="42">
        <f>+SUM(Z30:Z34)+Z23+Z21</f>
        <v>-11777.900820886734</v>
      </c>
      <c r="AA37" s="42">
        <f>+SUM(AA30:AA34)+AA23+AA21</f>
        <v>-22834.729961991499</v>
      </c>
      <c r="AB37" s="42">
        <f>+SUM(AB30:AB34)+AB23+AB21</f>
        <v>-13786.926964731618</v>
      </c>
      <c r="AC37" s="42">
        <f>+SUM(AC30:AC34)+AC23+AC21</f>
        <v>135851.15184959921</v>
      </c>
      <c r="AD37" s="42">
        <f t="shared" ref="AD37:AF37" si="52">+SUM(AD30:AD34)+AD23+AD21</f>
        <v>-8266.6265114746202</v>
      </c>
      <c r="AE37" s="42">
        <f t="shared" si="52"/>
        <v>106076.21582118614</v>
      </c>
      <c r="AF37" s="42">
        <f t="shared" si="52"/>
        <v>32006.666914670663</v>
      </c>
      <c r="AG37" s="42">
        <f t="shared" ref="AG37:AH37" si="53">+SUM(AG30:AG34)+AG23+AG21</f>
        <v>145941.74753978298</v>
      </c>
      <c r="AH37" s="42">
        <f t="shared" si="53"/>
        <v>188833</v>
      </c>
      <c r="AI37" s="42">
        <f t="shared" ref="AI37:AJ37" si="54">+SUM(AI30:AI34)+AI23+AI21</f>
        <v>183549.16870480659</v>
      </c>
      <c r="AJ37" s="42">
        <f t="shared" si="54"/>
        <v>240540.3241585962</v>
      </c>
      <c r="AK37" s="42">
        <f t="shared" ref="AK37:AS37" si="55">+SUM(AK30:AK34)+AK23+AK21</f>
        <v>148990.02576281436</v>
      </c>
      <c r="AL37" s="42">
        <f t="shared" si="55"/>
        <v>240786.03123095003</v>
      </c>
      <c r="AM37" s="42">
        <f t="shared" si="55"/>
        <v>175722.17790963169</v>
      </c>
      <c r="AN37" s="42">
        <f t="shared" si="55"/>
        <v>443866.64538155415</v>
      </c>
      <c r="AO37" s="68">
        <f t="shared" si="55"/>
        <v>387882.00510225422</v>
      </c>
      <c r="AP37" s="68">
        <f t="shared" si="55"/>
        <v>313807.95734716387</v>
      </c>
      <c r="AQ37" s="68">
        <f t="shared" si="55"/>
        <v>456275.48251</v>
      </c>
      <c r="AR37" s="68">
        <f t="shared" si="55"/>
        <v>184917</v>
      </c>
      <c r="AS37" s="68">
        <f t="shared" si="55"/>
        <v>173087.23147482812</v>
      </c>
      <c r="AT37" s="68">
        <f>+SUM(AT30:AT34)+AT23+AT21</f>
        <v>98449</v>
      </c>
      <c r="AU37" s="68">
        <f>+SUM(AU30:AU34)+AU23+AU21</f>
        <v>-74692</v>
      </c>
      <c r="AV37" s="68">
        <f>+SUM(AV30:AV34)+AV23+AV21</f>
        <v>-28768</v>
      </c>
      <c r="AW37" s="68">
        <f t="shared" ref="AW37" si="56">+SUM(AW30:AW34)+AW23+AW21</f>
        <v>-43322</v>
      </c>
      <c r="AX37" s="68">
        <f>+SUM(AX30:AX34)+AX23+AX21</f>
        <v>325527</v>
      </c>
      <c r="AY37" s="68">
        <f>+SUM(AY30:AY34)+AY23+AY21</f>
        <v>421670</v>
      </c>
      <c r="AZ37" s="192"/>
      <c r="BA37" s="42">
        <f t="shared" ref="BA37:BD37" si="57">+SUM(BA30:BA34)+BA23+BA21</f>
        <v>-51513.101300586975</v>
      </c>
      <c r="BB37" s="42">
        <f t="shared" si="57"/>
        <v>20182.554176826452</v>
      </c>
      <c r="BC37" s="42">
        <f t="shared" si="57"/>
        <v>79365.071281089884</v>
      </c>
      <c r="BD37" s="42">
        <f t="shared" si="57"/>
        <v>9126.2915092677467</v>
      </c>
      <c r="BE37" s="42">
        <f>+SUM(BE30:BE34)+BE23+BE21</f>
        <v>61219.355449208713</v>
      </c>
      <c r="BF37" s="68">
        <f t="shared" si="36"/>
        <v>130638.24733981527</v>
      </c>
      <c r="BG37" s="42">
        <f t="shared" ref="BG37" si="58">+SUM(BG30:BG34)+BG23+BG21</f>
        <v>87451.594101989322</v>
      </c>
      <c r="BH37" s="42">
        <f>+SUM(BH30:BH34)+BH23+BH21</f>
        <v>275758.00376416527</v>
      </c>
      <c r="BI37" s="42">
        <f>+SUM(AH37:AK37)</f>
        <v>761912.51862621715</v>
      </c>
      <c r="BJ37" s="68">
        <f>+SUM(BJ30:BJ34)+BJ23+BJ21</f>
        <v>1248256.8596243903</v>
      </c>
      <c r="BK37" s="68">
        <f>+SUM(BK30:BK34)+BK23+BK21</f>
        <v>1128087</v>
      </c>
      <c r="BL37" s="68">
        <f>+SUM(BL30:BL34)+BL23+BL21</f>
        <v>-48333</v>
      </c>
    </row>
    <row r="38" spans="1:64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-69189.626605180471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323"/>
      <c r="AP38" s="323"/>
      <c r="AQ38" s="323"/>
      <c r="AR38" s="323"/>
      <c r="AS38" s="70"/>
      <c r="AT38" s="70"/>
      <c r="AU38" s="70"/>
      <c r="AV38" s="70"/>
      <c r="AW38" s="70"/>
      <c r="AX38" s="70"/>
      <c r="AY38" s="70"/>
      <c r="AZ38" s="191"/>
      <c r="BA38" s="46"/>
      <c r="BB38" s="46"/>
      <c r="BC38" s="46"/>
      <c r="BD38" s="46"/>
      <c r="BE38" s="46"/>
      <c r="BF38" s="96"/>
      <c r="BG38" s="46"/>
      <c r="BH38" s="46"/>
      <c r="BI38" s="46"/>
      <c r="BJ38" s="46"/>
      <c r="BK38" s="46"/>
      <c r="BL38" s="46"/>
    </row>
    <row r="39" spans="1:64" ht="15.6">
      <c r="A39" s="194" t="s">
        <v>76</v>
      </c>
      <c r="B39" s="41">
        <v>-653.7771365777993</v>
      </c>
      <c r="C39" s="41">
        <v>225.23735171126546</v>
      </c>
      <c r="D39" s="41">
        <v>-1786.6246938464217</v>
      </c>
      <c r="E39" s="41">
        <v>4171.2692570340441</v>
      </c>
      <c r="F39" s="41">
        <v>161.4424341020991</v>
      </c>
      <c r="G39" s="41">
        <v>702.77065087073538</v>
      </c>
      <c r="H39" s="41">
        <v>759.59212889021433</v>
      </c>
      <c r="I39" s="41">
        <v>56.164348482132475</v>
      </c>
      <c r="J39" s="41">
        <v>-92.395787225927052</v>
      </c>
      <c r="K39" s="41">
        <v>95.941591602474972</v>
      </c>
      <c r="L39" s="41">
        <v>-6906.4863055679098</v>
      </c>
      <c r="M39" s="41">
        <v>3373.6945430392684</v>
      </c>
      <c r="N39" s="41">
        <v>-1687.4337704176196</v>
      </c>
      <c r="O39" s="41">
        <v>-705.93931553310506</v>
      </c>
      <c r="P39" s="41">
        <v>842.51048272600519</v>
      </c>
      <c r="Q39" s="41">
        <v>2185.59846850233</v>
      </c>
      <c r="R39" s="41">
        <v>97.342788316400998</v>
      </c>
      <c r="S39" s="41">
        <v>-90.329076627106275</v>
      </c>
      <c r="T39" s="41">
        <v>-6520.8279610186146</v>
      </c>
      <c r="U39" s="41">
        <v>-1423.3111372854255</v>
      </c>
      <c r="V39" s="41">
        <f t="shared" ref="V39:AD39" si="59">SUM(V40:V41)</f>
        <v>-1263.5490419500125</v>
      </c>
      <c r="W39" s="41">
        <f t="shared" si="59"/>
        <v>-9102.8866794016503</v>
      </c>
      <c r="X39" s="41">
        <f t="shared" si="59"/>
        <v>-181.54296031101572</v>
      </c>
      <c r="Y39" s="41">
        <f t="shared" si="59"/>
        <v>83199.857632002968</v>
      </c>
      <c r="Z39" s="41">
        <f t="shared" si="59"/>
        <v>-1991.5158562943514</v>
      </c>
      <c r="AA39" s="41">
        <f t="shared" si="59"/>
        <v>4269.742666197697</v>
      </c>
      <c r="AB39" s="41">
        <f t="shared" si="59"/>
        <v>-6775.0748451160116</v>
      </c>
      <c r="AC39" s="41">
        <f t="shared" si="59"/>
        <v>-1627.5992028438586</v>
      </c>
      <c r="AD39" s="41">
        <f t="shared" si="59"/>
        <v>-3746.1280441575436</v>
      </c>
      <c r="AE39" s="41">
        <f t="shared" ref="AE39:AI39" si="60">SUM(AE40:AE41)</f>
        <v>-26609.517715615973</v>
      </c>
      <c r="AF39" s="41">
        <f t="shared" si="60"/>
        <v>-13442.702242004794</v>
      </c>
      <c r="AG39" s="41">
        <f t="shared" si="60"/>
        <v>11762.574017201292</v>
      </c>
      <c r="AH39" s="41">
        <f t="shared" si="60"/>
        <v>34569</v>
      </c>
      <c r="AI39" s="41">
        <f t="shared" si="60"/>
        <v>-42278.718290379889</v>
      </c>
      <c r="AJ39" s="41">
        <v>-85690.59263213852</v>
      </c>
      <c r="AK39" s="41">
        <v>47744.664118069006</v>
      </c>
      <c r="AL39" s="41">
        <f t="shared" ref="AL39:AN39" si="61">SUM(AL40:AL41)</f>
        <v>-19001.943487076558</v>
      </c>
      <c r="AM39" s="41">
        <f t="shared" si="61"/>
        <v>1065.42797373344</v>
      </c>
      <c r="AN39" s="41">
        <f t="shared" si="61"/>
        <v>-98628.181194048273</v>
      </c>
      <c r="AO39" s="70">
        <v>-72491.511467579665</v>
      </c>
      <c r="AP39" s="70">
        <v>-96092.874928527919</v>
      </c>
      <c r="AQ39" s="70">
        <v>-189733.85939835527</v>
      </c>
      <c r="AR39" s="70">
        <v>-28341</v>
      </c>
      <c r="AS39" s="70">
        <f t="shared" ref="AS39" si="62">+SUM(AS40:AS41)</f>
        <v>908228.81405711221</v>
      </c>
      <c r="AT39" s="70">
        <f>+SUM(AT40:AT41)</f>
        <v>254474</v>
      </c>
      <c r="AU39" s="70">
        <f>+SUM(AU40:AU41)</f>
        <v>197212</v>
      </c>
      <c r="AV39" s="70">
        <f>+SUM(AV40:AV41)</f>
        <v>92764</v>
      </c>
      <c r="AW39" s="70">
        <f t="shared" ref="AW39:AX39" si="63">+SUM(AW40:AW41)</f>
        <v>-114321</v>
      </c>
      <c r="AX39" s="70">
        <f t="shared" si="63"/>
        <v>132895</v>
      </c>
      <c r="AY39" s="70">
        <f>+SUM(AY40:AY41)</f>
        <v>-28975</v>
      </c>
      <c r="AZ39" s="329"/>
      <c r="BA39" s="41">
        <f>SUM(B39:E39)</f>
        <v>1956.1047783210888</v>
      </c>
      <c r="BB39" s="41">
        <f>SUM(F39:I39)</f>
        <v>1679.9695623451812</v>
      </c>
      <c r="BC39" s="41">
        <f>SUM(J39:M39)</f>
        <v>-3529.2459581520939</v>
      </c>
      <c r="BD39" s="41">
        <f>SUM(N39:Q39)</f>
        <v>634.73586527761063</v>
      </c>
      <c r="BE39" s="41">
        <f>SUM(R39:U39)</f>
        <v>-7937.1253866147454</v>
      </c>
      <c r="BF39" s="70">
        <f>SUM(V39:Y39)</f>
        <v>72651.878950340295</v>
      </c>
      <c r="BG39" s="41">
        <f>SUM(Z39:AC39)</f>
        <v>-6124.4472380565248</v>
      </c>
      <c r="BH39" s="41">
        <f>SUM(AD39:AG39)</f>
        <v>-32035.773984577023</v>
      </c>
      <c r="BI39" s="41">
        <f>+SUM(AH39:AK39)</f>
        <v>-45655.646804449396</v>
      </c>
      <c r="BJ39" s="70">
        <f>SUM(BJ40:BJ41)</f>
        <v>-189056.20817497105</v>
      </c>
      <c r="BK39" s="70">
        <f>SUM(BK40:BK41)</f>
        <v>594060</v>
      </c>
      <c r="BL39" s="70">
        <f>SUM(BL40:BL41)</f>
        <v>430129</v>
      </c>
    </row>
    <row r="40" spans="1:64" ht="15.6" outlineLevel="1">
      <c r="A40" s="203" t="s">
        <v>77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-1432.4907000708686</v>
      </c>
      <c r="W40" s="41">
        <v>-9363.3373911468898</v>
      </c>
      <c r="X40" s="41">
        <v>-144.99086522898847</v>
      </c>
      <c r="Y40" s="41">
        <v>-3152.4247949415922</v>
      </c>
      <c r="Z40" s="41">
        <v>-2720.1600398152204</v>
      </c>
      <c r="AA40" s="41">
        <v>-489.77645665084151</v>
      </c>
      <c r="AB40" s="41">
        <v>-1814.3591239708014</v>
      </c>
      <c r="AC40" s="41">
        <v>-9742.2829005175045</v>
      </c>
      <c r="AD40" s="41">
        <v>-14529.08696194977</v>
      </c>
      <c r="AE40" s="41">
        <v>-11321.32189401808</v>
      </c>
      <c r="AF40" s="41">
        <v>-18075.979343871313</v>
      </c>
      <c r="AG40" s="41">
        <v>-19823.776676873778</v>
      </c>
      <c r="AH40" s="41">
        <v>-24325</v>
      </c>
      <c r="AI40" s="41">
        <v>-37797.237889999989</v>
      </c>
      <c r="AJ40" s="41"/>
      <c r="AK40" s="41"/>
      <c r="AL40" s="41">
        <v>-25022.15628226383</v>
      </c>
      <c r="AM40" s="41">
        <v>-22036.690009029327</v>
      </c>
      <c r="AN40" s="41">
        <v>-37408.818278706836</v>
      </c>
      <c r="AO40" s="70">
        <v>-54406.40399999998</v>
      </c>
      <c r="AP40" s="70">
        <v>-36249.993510000008</v>
      </c>
      <c r="AQ40" s="70">
        <v>-45975.139639999987</v>
      </c>
      <c r="AR40" s="70">
        <v>-22383</v>
      </c>
      <c r="AS40" s="70">
        <v>1367.6013870608294</v>
      </c>
      <c r="AT40" s="70">
        <v>-50084</v>
      </c>
      <c r="AU40" s="70">
        <v>-2260</v>
      </c>
      <c r="AV40" s="70">
        <v>-12555</v>
      </c>
      <c r="AW40" s="70">
        <f>BL40-SUM(AT40:AV40)</f>
        <v>-7860</v>
      </c>
      <c r="AX40" s="70">
        <v>-43600</v>
      </c>
      <c r="AY40" s="70">
        <v>-26661</v>
      </c>
      <c r="AZ40" s="329"/>
      <c r="BA40" s="41"/>
      <c r="BB40" s="41"/>
      <c r="BC40" s="41"/>
      <c r="BD40" s="41"/>
      <c r="BE40" s="41"/>
      <c r="BF40" s="70">
        <f>SUM(V40:Y40)</f>
        <v>-14093.243751388338</v>
      </c>
      <c r="BG40" s="41">
        <f>SUM(Z40:AC40)</f>
        <v>-14766.578520954368</v>
      </c>
      <c r="BH40" s="41">
        <f>SUM(AD40:AG40)</f>
        <v>-63750.164876712937</v>
      </c>
      <c r="BI40" s="41">
        <f>+SUM(AH40:AJ40)</f>
        <v>-62122.237889999989</v>
      </c>
      <c r="BJ40" s="41">
        <v>-138874.06856999997</v>
      </c>
      <c r="BK40" s="41">
        <v>-103477</v>
      </c>
      <c r="BL40" s="70">
        <v>-72759</v>
      </c>
    </row>
    <row r="41" spans="1:64" ht="15.6" outlineLevel="1">
      <c r="A41" s="203" t="s">
        <v>78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168.94165812085609</v>
      </c>
      <c r="W41" s="41">
        <v>260.45071174523861</v>
      </c>
      <c r="X41" s="41">
        <v>-36.552095082027257</v>
      </c>
      <c r="Y41" s="41">
        <v>86352.282426944555</v>
      </c>
      <c r="Z41" s="41">
        <v>728.64418352086909</v>
      </c>
      <c r="AA41" s="41">
        <v>4759.5191228485382</v>
      </c>
      <c r="AB41" s="41">
        <v>-4960.7157211452104</v>
      </c>
      <c r="AC41" s="41">
        <v>8114.6836976736458</v>
      </c>
      <c r="AD41" s="41">
        <v>10782.958917792226</v>
      </c>
      <c r="AE41" s="41">
        <v>-15288.195821597894</v>
      </c>
      <c r="AF41" s="41">
        <v>4633.277101866518</v>
      </c>
      <c r="AG41" s="41">
        <v>31586.35069407507</v>
      </c>
      <c r="AH41" s="41">
        <v>58894</v>
      </c>
      <c r="AI41" s="41">
        <v>-4481.4804003798999</v>
      </c>
      <c r="AJ41" s="41"/>
      <c r="AK41" s="41"/>
      <c r="AL41" s="41">
        <v>6020.2127951872717</v>
      </c>
      <c r="AM41" s="41">
        <v>23102.117982762767</v>
      </c>
      <c r="AN41" s="41">
        <v>-61219.362915341437</v>
      </c>
      <c r="AO41" s="70">
        <v>-18085.107467579692</v>
      </c>
      <c r="AP41" s="70">
        <v>-59842.881418527904</v>
      </c>
      <c r="AQ41" s="70">
        <v>-143758.71975835529</v>
      </c>
      <c r="AR41" s="70">
        <v>-5958</v>
      </c>
      <c r="AS41" s="70">
        <v>906861.21267005138</v>
      </c>
      <c r="AT41" s="70">
        <v>304558</v>
      </c>
      <c r="AU41" s="70">
        <v>199472</v>
      </c>
      <c r="AV41" s="70">
        <v>105319</v>
      </c>
      <c r="AW41" s="70">
        <f t="shared" ref="AW41" si="64">BL41-SUM(AT41:AV41)</f>
        <v>-106461</v>
      </c>
      <c r="AX41" s="70">
        <v>176495</v>
      </c>
      <c r="AY41" s="70">
        <v>-2314</v>
      </c>
      <c r="AZ41" s="329"/>
      <c r="BA41" s="41"/>
      <c r="BB41" s="41"/>
      <c r="BC41" s="41"/>
      <c r="BD41" s="41"/>
      <c r="BE41" s="41"/>
      <c r="BF41" s="70">
        <f>SUM(V41:Y41)</f>
        <v>86745.122701728629</v>
      </c>
      <c r="BG41" s="41">
        <f>SUM(Z41:AC41)</f>
        <v>8642.1312828978425</v>
      </c>
      <c r="BH41" s="41">
        <f>SUM(AD41:AG41)</f>
        <v>31714.390892135922</v>
      </c>
      <c r="BI41" s="41">
        <f>+SUM(AH41:AJ41)</f>
        <v>54412.5195996201</v>
      </c>
      <c r="BJ41" s="41">
        <v>-50182.139604971089</v>
      </c>
      <c r="BK41" s="41">
        <v>697537</v>
      </c>
      <c r="BL41" s="70">
        <v>502888</v>
      </c>
    </row>
    <row r="42" spans="1:64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41"/>
      <c r="AN42" s="41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191"/>
      <c r="BA42" s="32"/>
      <c r="BB42" s="32"/>
      <c r="BC42" s="32"/>
      <c r="BD42" s="32"/>
      <c r="BE42" s="32"/>
      <c r="BF42" s="70"/>
      <c r="BG42" s="41"/>
      <c r="BH42" s="41"/>
      <c r="BI42" s="41"/>
      <c r="BJ42" s="41"/>
      <c r="BK42" s="41"/>
      <c r="BL42" s="41"/>
    </row>
    <row r="43" spans="1:64" s="8" customFormat="1" ht="15.6">
      <c r="A43" s="134" t="s">
        <v>79</v>
      </c>
      <c r="B43" s="135">
        <f t="shared" ref="B43:Q43" si="65">+B39+B37</f>
        <v>718.82984471470229</v>
      </c>
      <c r="C43" s="135">
        <f t="shared" si="65"/>
        <v>4371.4834078142057</v>
      </c>
      <c r="D43" s="135">
        <f t="shared" si="65"/>
        <v>7185.8530221696174</v>
      </c>
      <c r="E43" s="135">
        <f t="shared" si="65"/>
        <v>-61833.162796964418</v>
      </c>
      <c r="F43" s="135">
        <f t="shared" si="65"/>
        <v>-18668.394123957416</v>
      </c>
      <c r="G43" s="135">
        <f t="shared" si="65"/>
        <v>-5287.0627974450344</v>
      </c>
      <c r="H43" s="135">
        <f t="shared" si="65"/>
        <v>6.2129102205387881</v>
      </c>
      <c r="I43" s="135">
        <f t="shared" si="65"/>
        <v>45811.767750353538</v>
      </c>
      <c r="J43" s="135">
        <f t="shared" si="65"/>
        <v>-16781.898164838036</v>
      </c>
      <c r="K43" s="135">
        <f t="shared" si="65"/>
        <v>-14568.844901016304</v>
      </c>
      <c r="L43" s="135">
        <f t="shared" si="65"/>
        <v>22019.604886704023</v>
      </c>
      <c r="M43" s="135">
        <f t="shared" si="65"/>
        <v>85166.963502088154</v>
      </c>
      <c r="N43" s="135">
        <f t="shared" si="65"/>
        <v>1278.607902536065</v>
      </c>
      <c r="O43" s="135">
        <f t="shared" si="65"/>
        <v>14649.329250001083</v>
      </c>
      <c r="P43" s="135">
        <f t="shared" si="65"/>
        <v>5180.9334564629899</v>
      </c>
      <c r="Q43" s="135">
        <f t="shared" si="65"/>
        <v>-11347.843234454771</v>
      </c>
      <c r="R43" s="135">
        <f>+R39+R37</f>
        <v>-8765.4716504531389</v>
      </c>
      <c r="S43" s="135">
        <f t="shared" ref="S43" si="66">+S39+S37</f>
        <v>21156.6768277997</v>
      </c>
      <c r="T43" s="135">
        <f>+T39+T37</f>
        <v>18399.298216638217</v>
      </c>
      <c r="U43" s="135">
        <f t="shared" ref="U43:AA43" si="67">+U39+U37</f>
        <v>22491.726668609204</v>
      </c>
      <c r="V43" s="135">
        <f t="shared" si="67"/>
        <v>-32617.922436769539</v>
      </c>
      <c r="W43" s="135">
        <f>+W39+W37</f>
        <v>42028.335878035301</v>
      </c>
      <c r="X43" s="135">
        <f>+X39+X37</f>
        <v>-16147.798945023545</v>
      </c>
      <c r="Y43" s="135">
        <f>+Y39+Y37</f>
        <v>210027.51179391332</v>
      </c>
      <c r="Z43" s="135">
        <f t="shared" si="67"/>
        <v>-13769.416677181085</v>
      </c>
      <c r="AA43" s="135">
        <f t="shared" si="67"/>
        <v>-18564.987295793802</v>
      </c>
      <c r="AB43" s="135">
        <f>+AB39+AB37</f>
        <v>-20562.001809847628</v>
      </c>
      <c r="AC43" s="135">
        <f t="shared" ref="AC43:AD43" si="68">+AC39+AC37</f>
        <v>134223.55264675536</v>
      </c>
      <c r="AD43" s="135">
        <f t="shared" si="68"/>
        <v>-12012.754555632164</v>
      </c>
      <c r="AE43" s="135">
        <f>+AE39+AE37</f>
        <v>79466.698105570162</v>
      </c>
      <c r="AF43" s="135">
        <f t="shared" ref="AF43" si="69">+AF39+AF37</f>
        <v>18563.964672665868</v>
      </c>
      <c r="AG43" s="135">
        <f t="shared" ref="AG43:AH43" si="70">+AG39+AG37</f>
        <v>157704.32155698427</v>
      </c>
      <c r="AH43" s="135">
        <f t="shared" si="70"/>
        <v>223402</v>
      </c>
      <c r="AI43" s="135">
        <f t="shared" ref="AI43:AK43" si="71">+AI39+AI37</f>
        <v>141270.45041442671</v>
      </c>
      <c r="AJ43" s="135">
        <f t="shared" si="71"/>
        <v>154849.73152645768</v>
      </c>
      <c r="AK43" s="135">
        <f t="shared" si="71"/>
        <v>196734.68988088338</v>
      </c>
      <c r="AL43" s="135">
        <f t="shared" ref="AL43:AR43" si="72">+AL39+AL37</f>
        <v>221784.08774387348</v>
      </c>
      <c r="AM43" s="135">
        <f t="shared" si="72"/>
        <v>176787.60588336512</v>
      </c>
      <c r="AN43" s="135">
        <f t="shared" si="72"/>
        <v>345238.46418750589</v>
      </c>
      <c r="AO43" s="135">
        <f t="shared" si="72"/>
        <v>315390.49363467458</v>
      </c>
      <c r="AP43" s="135">
        <f t="shared" si="72"/>
        <v>217715.08241863595</v>
      </c>
      <c r="AQ43" s="135">
        <f t="shared" si="72"/>
        <v>266541.62311164476</v>
      </c>
      <c r="AR43" s="135">
        <f t="shared" si="72"/>
        <v>156576</v>
      </c>
      <c r="AS43" s="135">
        <f>+AS39+AS37</f>
        <v>1081316.0455319404</v>
      </c>
      <c r="AT43" s="135">
        <f>+AT39+AT37</f>
        <v>352923</v>
      </c>
      <c r="AU43" s="135">
        <f>+AU39+AU37</f>
        <v>122520</v>
      </c>
      <c r="AV43" s="135">
        <f>+AV39+AV37</f>
        <v>63996</v>
      </c>
      <c r="AW43" s="135">
        <f>+AW39+AW37</f>
        <v>-157643</v>
      </c>
      <c r="AX43" s="135">
        <f t="shared" ref="AX43:AY43" si="73">+AX39+AX37</f>
        <v>458422</v>
      </c>
      <c r="AY43" s="135">
        <f t="shared" si="73"/>
        <v>392695</v>
      </c>
      <c r="AZ43" s="195"/>
      <c r="BA43" s="135">
        <f t="shared" ref="BA43:BD43" si="74">+BA39+BA37</f>
        <v>-49556.996522265887</v>
      </c>
      <c r="BB43" s="135">
        <f t="shared" si="74"/>
        <v>21862.523739171633</v>
      </c>
      <c r="BC43" s="135">
        <f t="shared" si="74"/>
        <v>75835.825322937788</v>
      </c>
      <c r="BD43" s="135">
        <f t="shared" si="74"/>
        <v>9761.0273745453578</v>
      </c>
      <c r="BE43" s="135">
        <f>+BE39+BE37</f>
        <v>53282.230062593968</v>
      </c>
      <c r="BF43" s="135">
        <f>+BF39+BF37</f>
        <v>203290.12629015557</v>
      </c>
      <c r="BG43" s="135">
        <f t="shared" ref="BG43" si="75">+BG39+BG37</f>
        <v>81327.146863932794</v>
      </c>
      <c r="BH43" s="135">
        <f>+BH39+BH37</f>
        <v>243722.22977958826</v>
      </c>
      <c r="BI43" s="135">
        <f>+SUM(AH43:AK43)</f>
        <v>716256.87182176788</v>
      </c>
      <c r="BJ43" s="135">
        <f>+BJ39+BJ37</f>
        <v>1059200.6514494191</v>
      </c>
      <c r="BK43" s="135">
        <f>+BK39+BK37</f>
        <v>1722147</v>
      </c>
      <c r="BL43" s="135">
        <f>+BL39+BL37</f>
        <v>381796</v>
      </c>
    </row>
    <row r="44" spans="1:64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184"/>
      <c r="AK44" s="184"/>
      <c r="AL44" s="184"/>
      <c r="AM44" s="184"/>
      <c r="AN44" s="184"/>
      <c r="AO44" s="184"/>
      <c r="AP44" s="324"/>
      <c r="AQ44" s="184"/>
      <c r="AR44" s="184"/>
      <c r="AS44" s="68"/>
      <c r="AT44" s="68"/>
      <c r="AU44" s="68"/>
      <c r="AV44" s="68"/>
      <c r="AW44" s="68"/>
      <c r="AX44" s="68"/>
      <c r="AY44" s="68"/>
      <c r="AZ44" s="18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64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8"/>
      <c r="AK45" s="8"/>
      <c r="AL45" s="8"/>
      <c r="AM45" s="75"/>
      <c r="AN45" s="75"/>
      <c r="AO45" s="75"/>
      <c r="AP45" s="75"/>
      <c r="AQ45" s="75"/>
      <c r="AR45" s="75"/>
      <c r="AS45" s="100"/>
      <c r="AT45" s="100"/>
      <c r="AU45" s="100"/>
      <c r="AV45" s="100"/>
      <c r="AW45" s="100"/>
      <c r="AX45" s="100"/>
      <c r="AY45" s="100"/>
      <c r="AZ45" s="17"/>
      <c r="BA45" s="16"/>
      <c r="BB45" s="16"/>
      <c r="BC45" s="16"/>
      <c r="BD45" s="16"/>
      <c r="BF45" s="7"/>
      <c r="BG45" s="7"/>
      <c r="BH45" s="7"/>
      <c r="BI45" s="7"/>
      <c r="BJ45" s="7"/>
      <c r="BK45" s="7"/>
      <c r="BL45" s="7"/>
    </row>
    <row r="46" spans="1:64" ht="15.6">
      <c r="V46" s="42"/>
      <c r="W46" s="42"/>
      <c r="X46" s="42"/>
      <c r="Y46" s="42"/>
      <c r="AJ46" s="8"/>
      <c r="AK46" s="8"/>
      <c r="AL46" s="8"/>
      <c r="AM46" s="8"/>
      <c r="AN46" s="8"/>
      <c r="AO46" s="8"/>
      <c r="BA46" s="1"/>
    </row>
    <row r="47" spans="1:64">
      <c r="AR47" s="74"/>
      <c r="BA47" s="1"/>
    </row>
    <row r="48" spans="1:64">
      <c r="AR48" s="74"/>
      <c r="BA48" s="1"/>
    </row>
    <row r="49" spans="2:56">
      <c r="AP49" s="74"/>
      <c r="BA49" s="1"/>
    </row>
    <row r="50" spans="2:56">
      <c r="BA50" s="1"/>
    </row>
    <row r="59" spans="2:56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4"/>
      <c r="BA59" s="5"/>
      <c r="BB59" s="5"/>
      <c r="BC59" s="7"/>
      <c r="BD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R23 AR10 BI12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CE0E-7416-4EEE-914C-BAF8D9CFB2DA}">
  <dimension ref="B2:CN98"/>
  <sheetViews>
    <sheetView showGridLines="0" tabSelected="1" zoomScaleNormal="100" workbookViewId="0">
      <pane xSplit="2" ySplit="2" topLeftCell="CI3" activePane="bottomRight" state="frozen"/>
      <selection pane="topRight" activeCell="AR7" sqref="AR7"/>
      <selection pane="bottomLeft" activeCell="AR7" sqref="AR7"/>
      <selection pane="bottomRight" activeCell="CN2" sqref="CN2"/>
    </sheetView>
  </sheetViews>
  <sheetFormatPr defaultColWidth="9.33203125" defaultRowHeight="15" customHeight="1"/>
  <cols>
    <col min="1" max="1" width="3.33203125" style="242" customWidth="1"/>
    <col min="2" max="2" width="34.88671875" style="242" customWidth="1"/>
    <col min="3" max="23" width="9.6640625" style="242" customWidth="1"/>
    <col min="24" max="45" width="13" style="242" customWidth="1"/>
    <col min="46" max="52" width="9.33203125" style="242"/>
    <col min="53" max="53" width="9.33203125" style="242" bestFit="1" customWidth="1"/>
    <col min="54" max="58" width="9.33203125" style="242"/>
    <col min="59" max="59" width="10.33203125" style="242" bestFit="1" customWidth="1"/>
    <col min="60" max="16384" width="9.33203125" style="242"/>
  </cols>
  <sheetData>
    <row r="2" spans="2:92" s="243" customFormat="1" ht="15" customHeight="1">
      <c r="B2" s="251" t="s">
        <v>228</v>
      </c>
      <c r="C2" s="252">
        <v>43466</v>
      </c>
      <c r="D2" s="252">
        <f t="shared" ref="D2:AE2" si="0">+DATE(YEAR(C2),MONTH(C2)+1,DAY(C2))</f>
        <v>43497</v>
      </c>
      <c r="E2" s="252">
        <f t="shared" si="0"/>
        <v>43525</v>
      </c>
      <c r="F2" s="252">
        <f t="shared" si="0"/>
        <v>43556</v>
      </c>
      <c r="G2" s="252">
        <f t="shared" si="0"/>
        <v>43586</v>
      </c>
      <c r="H2" s="252">
        <f t="shared" si="0"/>
        <v>43617</v>
      </c>
      <c r="I2" s="252">
        <f t="shared" si="0"/>
        <v>43647</v>
      </c>
      <c r="J2" s="252">
        <f t="shared" si="0"/>
        <v>43678</v>
      </c>
      <c r="K2" s="252">
        <f t="shared" si="0"/>
        <v>43709</v>
      </c>
      <c r="L2" s="252">
        <f t="shared" si="0"/>
        <v>43739</v>
      </c>
      <c r="M2" s="252">
        <f t="shared" si="0"/>
        <v>43770</v>
      </c>
      <c r="N2" s="252">
        <f t="shared" si="0"/>
        <v>43800</v>
      </c>
      <c r="O2" s="252">
        <f t="shared" si="0"/>
        <v>43831</v>
      </c>
      <c r="P2" s="252">
        <f t="shared" si="0"/>
        <v>43862</v>
      </c>
      <c r="Q2" s="252">
        <f t="shared" si="0"/>
        <v>43891</v>
      </c>
      <c r="R2" s="252">
        <f t="shared" si="0"/>
        <v>43922</v>
      </c>
      <c r="S2" s="252">
        <f t="shared" si="0"/>
        <v>43952</v>
      </c>
      <c r="T2" s="252">
        <f t="shared" si="0"/>
        <v>43983</v>
      </c>
      <c r="U2" s="252">
        <f t="shared" si="0"/>
        <v>44013</v>
      </c>
      <c r="V2" s="252">
        <f t="shared" si="0"/>
        <v>44044</v>
      </c>
      <c r="W2" s="252">
        <f t="shared" si="0"/>
        <v>44075</v>
      </c>
      <c r="X2" s="252">
        <f t="shared" si="0"/>
        <v>44105</v>
      </c>
      <c r="Y2" s="252">
        <f t="shared" si="0"/>
        <v>44136</v>
      </c>
      <c r="Z2" s="252">
        <f t="shared" si="0"/>
        <v>44166</v>
      </c>
      <c r="AA2" s="252">
        <f t="shared" si="0"/>
        <v>44197</v>
      </c>
      <c r="AB2" s="252">
        <f t="shared" si="0"/>
        <v>44228</v>
      </c>
      <c r="AC2" s="252">
        <f t="shared" si="0"/>
        <v>44256</v>
      </c>
      <c r="AD2" s="252">
        <f t="shared" si="0"/>
        <v>44287</v>
      </c>
      <c r="AE2" s="252">
        <f t="shared" si="0"/>
        <v>44317</v>
      </c>
      <c r="AF2" s="252">
        <f t="shared" ref="AF2:AQ2" si="1">+DATE(YEAR(AE2),MONTH(AE2)+1,DAY(AE2))</f>
        <v>44348</v>
      </c>
      <c r="AG2" s="252">
        <f t="shared" si="1"/>
        <v>44378</v>
      </c>
      <c r="AH2" s="252">
        <f t="shared" si="1"/>
        <v>44409</v>
      </c>
      <c r="AI2" s="252">
        <f t="shared" si="1"/>
        <v>44440</v>
      </c>
      <c r="AJ2" s="252">
        <f t="shared" si="1"/>
        <v>44470</v>
      </c>
      <c r="AK2" s="252">
        <f t="shared" si="1"/>
        <v>44501</v>
      </c>
      <c r="AL2" s="252">
        <f t="shared" si="1"/>
        <v>44531</v>
      </c>
      <c r="AM2" s="252">
        <f t="shared" si="1"/>
        <v>44562</v>
      </c>
      <c r="AN2" s="252">
        <f t="shared" si="1"/>
        <v>44593</v>
      </c>
      <c r="AO2" s="252">
        <f t="shared" si="1"/>
        <v>44621</v>
      </c>
      <c r="AP2" s="252">
        <f t="shared" si="1"/>
        <v>44652</v>
      </c>
      <c r="AQ2" s="252">
        <f t="shared" si="1"/>
        <v>44682</v>
      </c>
      <c r="AR2" s="252">
        <f t="shared" ref="AR2:AS2" si="2">+DATE(YEAR(AQ2),MONTH(AQ2)+1,DAY(AQ2))</f>
        <v>44713</v>
      </c>
      <c r="AS2" s="252">
        <f t="shared" si="2"/>
        <v>44743</v>
      </c>
      <c r="AT2" s="252">
        <f t="shared" ref="AT2" si="3">+DATE(YEAR(AS2),MONTH(AS2)+1,DAY(AS2))</f>
        <v>44774</v>
      </c>
      <c r="AU2" s="252">
        <f t="shared" ref="AU2" si="4">+DATE(YEAR(AT2),MONTH(AT2)+1,DAY(AT2))</f>
        <v>44805</v>
      </c>
      <c r="AV2" s="252">
        <f t="shared" ref="AV2" si="5">+DATE(YEAR(AU2),MONTH(AU2)+1,DAY(AU2))</f>
        <v>44835</v>
      </c>
      <c r="AW2" s="252">
        <f t="shared" ref="AW2" si="6">+DATE(YEAR(AV2),MONTH(AV2)+1,DAY(AV2))</f>
        <v>44866</v>
      </c>
      <c r="AX2" s="252">
        <f t="shared" ref="AX2:AY2" si="7">+DATE(YEAR(AW2),MONTH(AW2)+1,DAY(AW2))</f>
        <v>44896</v>
      </c>
      <c r="AY2" s="252">
        <f t="shared" si="7"/>
        <v>44927</v>
      </c>
      <c r="AZ2" s="252">
        <v>44985</v>
      </c>
      <c r="BA2" s="252">
        <v>44986</v>
      </c>
      <c r="BB2" s="252">
        <f t="shared" ref="BB2:BE2" si="8">+DATE(YEAR(BA2),MONTH(BA2)+1,DAY(BA2))</f>
        <v>45017</v>
      </c>
      <c r="BC2" s="252">
        <f t="shared" ref="BC2" si="9">+DATE(YEAR(BB2),MONTH(BB2)+1,DAY(BB2))</f>
        <v>45047</v>
      </c>
      <c r="BD2" s="252">
        <f t="shared" si="8"/>
        <v>45078</v>
      </c>
      <c r="BE2" s="252">
        <f t="shared" si="8"/>
        <v>45108</v>
      </c>
      <c r="BF2" s="252">
        <f t="shared" ref="BF2" si="10">+DATE(YEAR(BE2),MONTH(BE2)+1,DAY(BE2))</f>
        <v>45139</v>
      </c>
      <c r="BG2" s="252">
        <f t="shared" ref="BG2" si="11">+DATE(YEAR(BF2),MONTH(BF2)+1,DAY(BF2))</f>
        <v>45170</v>
      </c>
      <c r="BH2" s="252">
        <f t="shared" ref="BH2" si="12">+DATE(YEAR(BG2),MONTH(BG2)+1,DAY(BG2))</f>
        <v>45200</v>
      </c>
      <c r="BI2" s="252">
        <f t="shared" ref="BI2" si="13">+DATE(YEAR(BH2),MONTH(BH2)+1,DAY(BH2))</f>
        <v>45231</v>
      </c>
      <c r="BJ2" s="252">
        <f t="shared" ref="BJ2:BM2" si="14">+DATE(YEAR(BI2),MONTH(BI2)+1,DAY(BI2))</f>
        <v>45261</v>
      </c>
      <c r="BK2" s="252">
        <f t="shared" si="14"/>
        <v>45292</v>
      </c>
      <c r="BL2" s="252">
        <f t="shared" si="14"/>
        <v>45323</v>
      </c>
      <c r="BM2" s="252">
        <f t="shared" si="14"/>
        <v>45352</v>
      </c>
      <c r="BN2" s="252">
        <f t="shared" ref="BN2" si="15">+DATE(YEAR(BM2),MONTH(BM2)+1,DAY(BM2))</f>
        <v>45383</v>
      </c>
      <c r="BO2" s="252">
        <f t="shared" ref="BO2" si="16">+DATE(YEAR(BN2),MONTH(BN2)+1,DAY(BN2))</f>
        <v>45413</v>
      </c>
      <c r="BP2" s="252">
        <f t="shared" ref="BP2" si="17">+DATE(YEAR(BO2),MONTH(BO2)+1,DAY(BO2))</f>
        <v>45444</v>
      </c>
      <c r="BQ2" s="252">
        <f t="shared" ref="BQ2" si="18">+DATE(YEAR(BP2),MONTH(BP2)+1,DAY(BP2))</f>
        <v>45474</v>
      </c>
      <c r="BR2" s="252">
        <f t="shared" ref="BR2" si="19">+DATE(YEAR(BQ2),MONTH(BQ2)+1,DAY(BQ2))</f>
        <v>45505</v>
      </c>
      <c r="BS2" s="252">
        <f t="shared" ref="BS2" si="20">+DATE(YEAR(BR2),MONTH(BR2)+1,DAY(BR2))</f>
        <v>45536</v>
      </c>
      <c r="BT2" s="252">
        <f t="shared" ref="BT2" si="21">+DATE(YEAR(BS2),MONTH(BS2)+1,DAY(BS2))</f>
        <v>45566</v>
      </c>
      <c r="BU2" s="252">
        <f t="shared" ref="BU2" si="22">+DATE(YEAR(BT2),MONTH(BT2)+1,DAY(BT2))</f>
        <v>45597</v>
      </c>
      <c r="BV2" s="252">
        <f t="shared" ref="BV2" si="23">+DATE(YEAR(BU2),MONTH(BU2)+1,DAY(BU2))</f>
        <v>45627</v>
      </c>
      <c r="BW2" s="252">
        <f t="shared" ref="BW2" si="24">+DATE(YEAR(BV2),MONTH(BV2)+1,DAY(BV2))</f>
        <v>45658</v>
      </c>
      <c r="BX2" s="252">
        <f t="shared" ref="BX2" si="25">+DATE(YEAR(BW2),MONTH(BW2)+1,DAY(BW2))</f>
        <v>45689</v>
      </c>
      <c r="BY2" s="252">
        <f>+DATE(YEAR(BX2),MONTH(BX2)+1,DAY(BX2))</f>
        <v>45717</v>
      </c>
      <c r="BZ2" s="252">
        <f>+DATE(YEAR(BY2),MONTH(BY2)+1,DAY(BY2))</f>
        <v>45748</v>
      </c>
      <c r="CA2" s="252">
        <f t="shared" ref="CA2" si="26">+DATE(YEAR(BZ2),MONTH(BZ2)+1,DAY(BZ2))</f>
        <v>45778</v>
      </c>
      <c r="CB2" s="252">
        <f>+DATE(YEAR(CA2),MONTH(CA2)+1,DAY(CA2))</f>
        <v>45809</v>
      </c>
      <c r="CC2" s="252">
        <f>+DATE(YEAR(CB2),MONTH(CB2)+1,DAY(CB2))</f>
        <v>45839</v>
      </c>
      <c r="CD2" s="252">
        <f t="shared" ref="CD2:CE2" si="27">+DATE(YEAR(CC2),MONTH(CC2)+1,DAY(CC2))</f>
        <v>45870</v>
      </c>
      <c r="CE2" s="252">
        <f t="shared" si="27"/>
        <v>45901</v>
      </c>
      <c r="CF2" s="252">
        <f>+DATE(YEAR(CE2),MONTH(CE2)+1,DAY(CE2))</f>
        <v>45931</v>
      </c>
      <c r="CG2" s="252">
        <f t="shared" ref="CG2" si="28">+DATE(YEAR(CF2),MONTH(CF2)+1,DAY(CF2))</f>
        <v>45962</v>
      </c>
      <c r="CH2" s="252">
        <f>+DATE(YEAR(CG2),MONTH(CG2)+1,DAY(CG2))</f>
        <v>45992</v>
      </c>
      <c r="CI2" s="252">
        <f t="shared" ref="CI2" si="29">+DATE(YEAR(CH2),MONTH(CH2)+1,DAY(CH2))</f>
        <v>46023</v>
      </c>
      <c r="CJ2" s="252">
        <f t="shared" ref="CJ2" si="30">+DATE(YEAR(CI2),MONTH(CI2)+1,DAY(CI2))</f>
        <v>46054</v>
      </c>
      <c r="CK2" s="252">
        <f>+DATE(YEAR(CJ2),MONTH(CJ2)+1,DAY(CJ2))</f>
        <v>46082</v>
      </c>
      <c r="CL2" s="252">
        <f t="shared" ref="CL2" si="31">+DATE(YEAR(CK2),MONTH(CK2)+1,DAY(CK2))</f>
        <v>46113</v>
      </c>
      <c r="CM2" s="252">
        <f t="shared" ref="CM2" si="32">+DATE(YEAR(CL2),MONTH(CL2)+1,DAY(CL2))</f>
        <v>46143</v>
      </c>
      <c r="CN2" s="252">
        <f>+DATE(YEAR(CM2),MONTH(CM2)+1,DAY(CM2))</f>
        <v>46174</v>
      </c>
    </row>
    <row r="3" spans="2:92" ht="15" customHeight="1">
      <c r="B3" s="244" t="s">
        <v>229</v>
      </c>
      <c r="C3" s="245">
        <v>5123.6052278229954</v>
      </c>
      <c r="D3" s="245">
        <v>9997.4474491260335</v>
      </c>
      <c r="E3" s="245">
        <v>9396.1582328051918</v>
      </c>
      <c r="F3" s="245">
        <v>9289.7682935144585</v>
      </c>
      <c r="G3" s="245">
        <v>8686.8776744937368</v>
      </c>
      <c r="H3" s="245">
        <v>8542.1706451612918</v>
      </c>
      <c r="I3" s="245">
        <v>8340.7982851201268</v>
      </c>
      <c r="J3" s="245">
        <v>8062.5088811421019</v>
      </c>
      <c r="K3" s="245">
        <v>8013.4311479844855</v>
      </c>
      <c r="L3" s="245">
        <v>8136.6022873085858</v>
      </c>
      <c r="M3" s="245">
        <v>6629.0037302390101</v>
      </c>
      <c r="N3" s="245">
        <v>7716.8649318737407</v>
      </c>
      <c r="O3" s="245">
        <v>8290.1674960276196</v>
      </c>
      <c r="P3" s="245">
        <v>8102.6164436484814</v>
      </c>
      <c r="Q3" s="245">
        <v>9433.9826418759822</v>
      </c>
      <c r="R3" s="245">
        <v>10628.783353014571</v>
      </c>
      <c r="S3" s="245">
        <v>9949.2021937504833</v>
      </c>
      <c r="T3" s="245">
        <v>7759.3550545073331</v>
      </c>
      <c r="U3" s="245">
        <v>8920.0845928451636</v>
      </c>
      <c r="V3" s="245">
        <v>10681.183955554838</v>
      </c>
      <c r="W3" s="245">
        <v>10292.646181772952</v>
      </c>
      <c r="X3" s="245">
        <v>9049.0160348480058</v>
      </c>
      <c r="Y3" s="245">
        <v>6391.0320578937453</v>
      </c>
      <c r="Z3" s="245">
        <v>10799.505099405198</v>
      </c>
      <c r="AA3" s="245">
        <v>9498.3795222174467</v>
      </c>
      <c r="AB3" s="245">
        <v>5903.8934171648798</v>
      </c>
      <c r="AC3" s="245">
        <v>8655.4265757128796</v>
      </c>
      <c r="AD3" s="245">
        <v>8156.6121588675032</v>
      </c>
      <c r="AE3" s="245">
        <v>9353.3810363089506</v>
      </c>
      <c r="AF3" s="245">
        <v>9018.9644226591972</v>
      </c>
      <c r="AG3" s="246" t="s">
        <v>97</v>
      </c>
      <c r="AH3" s="246" t="s">
        <v>97</v>
      </c>
      <c r="AI3" s="246" t="s">
        <v>97</v>
      </c>
      <c r="AJ3" s="246" t="s">
        <v>97</v>
      </c>
      <c r="AK3" s="246" t="s">
        <v>97</v>
      </c>
      <c r="AL3" s="246" t="s">
        <v>97</v>
      </c>
      <c r="AM3" s="246" t="s">
        <v>97</v>
      </c>
      <c r="AN3" s="246" t="s">
        <v>97</v>
      </c>
      <c r="AO3" s="246" t="s">
        <v>97</v>
      </c>
      <c r="AP3" s="246" t="s">
        <v>97</v>
      </c>
      <c r="AQ3" s="246" t="s">
        <v>97</v>
      </c>
      <c r="AR3" s="246" t="s">
        <v>97</v>
      </c>
      <c r="AS3" s="246" t="s">
        <v>97</v>
      </c>
      <c r="AT3" s="246" t="s">
        <v>97</v>
      </c>
      <c r="AU3" s="246" t="s">
        <v>97</v>
      </c>
      <c r="AV3" s="246" t="s">
        <v>97</v>
      </c>
      <c r="AW3" s="246" t="s">
        <v>97</v>
      </c>
      <c r="AX3" s="246" t="s">
        <v>97</v>
      </c>
      <c r="AY3" s="246" t="s">
        <v>97</v>
      </c>
      <c r="AZ3" s="246" t="s">
        <v>97</v>
      </c>
      <c r="BA3" s="246" t="s">
        <v>97</v>
      </c>
      <c r="BB3" s="246" t="s">
        <v>97</v>
      </c>
      <c r="BC3" s="246" t="s">
        <v>97</v>
      </c>
      <c r="BD3" s="246" t="s">
        <v>97</v>
      </c>
      <c r="BE3" s="246" t="s">
        <v>97</v>
      </c>
      <c r="BF3" s="246" t="s">
        <v>97</v>
      </c>
      <c r="BG3" s="246" t="s">
        <v>97</v>
      </c>
      <c r="BH3" s="246" t="s">
        <v>97</v>
      </c>
      <c r="BI3" s="246" t="s">
        <v>97</v>
      </c>
      <c r="BJ3" s="246" t="s">
        <v>97</v>
      </c>
      <c r="BK3" s="246" t="s">
        <v>97</v>
      </c>
      <c r="BL3" s="246" t="s">
        <v>97</v>
      </c>
      <c r="BM3" s="246" t="s">
        <v>97</v>
      </c>
      <c r="BN3" s="246" t="s">
        <v>97</v>
      </c>
      <c r="BO3" s="246" t="s">
        <v>97</v>
      </c>
      <c r="BP3" s="246" t="s">
        <v>97</v>
      </c>
      <c r="BQ3" s="246" t="s">
        <v>97</v>
      </c>
      <c r="BR3" s="246" t="s">
        <v>97</v>
      </c>
      <c r="BS3" s="246" t="s">
        <v>97</v>
      </c>
      <c r="BT3" s="246" t="s">
        <v>97</v>
      </c>
      <c r="BU3" s="246" t="s">
        <v>97</v>
      </c>
      <c r="BV3" s="246" t="s">
        <v>97</v>
      </c>
      <c r="BW3" s="246" t="s">
        <v>97</v>
      </c>
      <c r="BX3" s="246" t="s">
        <v>97</v>
      </c>
      <c r="BY3" s="246" t="s">
        <v>97</v>
      </c>
      <c r="BZ3" s="246" t="s">
        <v>97</v>
      </c>
      <c r="CA3" s="246" t="s">
        <v>97</v>
      </c>
      <c r="CB3" s="246" t="s">
        <v>97</v>
      </c>
      <c r="CC3" s="246" t="s">
        <v>97</v>
      </c>
      <c r="CD3" s="246" t="s">
        <v>97</v>
      </c>
      <c r="CE3" s="246" t="s">
        <v>97</v>
      </c>
      <c r="CF3" s="246" t="s">
        <v>97</v>
      </c>
      <c r="CG3" s="246" t="s">
        <v>97</v>
      </c>
      <c r="CH3" s="246" t="s">
        <v>97</v>
      </c>
      <c r="CI3" s="246" t="s">
        <v>97</v>
      </c>
      <c r="CJ3" s="246" t="s">
        <v>97</v>
      </c>
      <c r="CK3" s="246" t="s">
        <v>97</v>
      </c>
      <c r="CL3" s="246" t="s">
        <v>97</v>
      </c>
      <c r="CM3" s="246" t="s">
        <v>97</v>
      </c>
      <c r="CN3" s="246" t="s">
        <v>97</v>
      </c>
    </row>
    <row r="4" spans="2:92" ht="15" customHeight="1">
      <c r="B4" s="244" t="s">
        <v>230</v>
      </c>
      <c r="C4" s="246" t="s">
        <v>97</v>
      </c>
      <c r="D4" s="246" t="s">
        <v>97</v>
      </c>
      <c r="E4" s="246" t="s">
        <v>97</v>
      </c>
      <c r="F4" s="246" t="s">
        <v>97</v>
      </c>
      <c r="G4" s="246" t="s">
        <v>97</v>
      </c>
      <c r="H4" s="246" t="s">
        <v>97</v>
      </c>
      <c r="I4" s="246" t="s">
        <v>97</v>
      </c>
      <c r="J4" s="246" t="s">
        <v>97</v>
      </c>
      <c r="K4" s="246" t="s">
        <v>97</v>
      </c>
      <c r="L4" s="246" t="s">
        <v>97</v>
      </c>
      <c r="M4" s="246" t="s">
        <v>97</v>
      </c>
      <c r="N4" s="246" t="s">
        <v>97</v>
      </c>
      <c r="O4" s="246" t="s">
        <v>97</v>
      </c>
      <c r="P4" s="246" t="s">
        <v>97</v>
      </c>
      <c r="Q4" s="246" t="s">
        <v>97</v>
      </c>
      <c r="R4" s="246" t="s">
        <v>97</v>
      </c>
      <c r="S4" s="246" t="s">
        <v>97</v>
      </c>
      <c r="T4" s="246" t="s">
        <v>97</v>
      </c>
      <c r="U4" s="246" t="s">
        <v>97</v>
      </c>
      <c r="V4" s="245">
        <v>6681.6551724137944</v>
      </c>
      <c r="W4" s="245">
        <v>7679.2637838399987</v>
      </c>
      <c r="X4" s="245">
        <v>7368.7935710644269</v>
      </c>
      <c r="Y4" s="245">
        <v>6918.9816174107355</v>
      </c>
      <c r="Z4" s="245">
        <v>6801.7805600674583</v>
      </c>
      <c r="AA4" s="245">
        <v>6701.1808616595199</v>
      </c>
      <c r="AB4" s="245">
        <v>5933.6370121291611</v>
      </c>
      <c r="AC4" s="245">
        <v>5748.1892700433737</v>
      </c>
      <c r="AD4" s="245">
        <v>5697.8559309906568</v>
      </c>
      <c r="AE4" s="245">
        <v>5703.2906561475929</v>
      </c>
      <c r="AF4" s="245">
        <v>4352.2271611872602</v>
      </c>
      <c r="AG4" s="246" t="s">
        <v>97</v>
      </c>
      <c r="AH4" s="246" t="s">
        <v>97</v>
      </c>
      <c r="AI4" s="246" t="s">
        <v>97</v>
      </c>
      <c r="AJ4" s="246" t="s">
        <v>97</v>
      </c>
      <c r="AK4" s="246" t="s">
        <v>97</v>
      </c>
      <c r="AL4" s="246" t="s">
        <v>97</v>
      </c>
      <c r="AM4" s="246" t="s">
        <v>97</v>
      </c>
      <c r="AN4" s="246" t="s">
        <v>97</v>
      </c>
      <c r="AO4" s="246" t="s">
        <v>97</v>
      </c>
      <c r="AP4" s="246" t="s">
        <v>97</v>
      </c>
      <c r="AQ4" s="246" t="s">
        <v>97</v>
      </c>
      <c r="AR4" s="246" t="s">
        <v>97</v>
      </c>
      <c r="AS4" s="246" t="s">
        <v>97</v>
      </c>
      <c r="AT4" s="246" t="s">
        <v>97</v>
      </c>
      <c r="AU4" s="246" t="s">
        <v>97</v>
      </c>
      <c r="AV4" s="246" t="s">
        <v>97</v>
      </c>
      <c r="AW4" s="246" t="s">
        <v>97</v>
      </c>
      <c r="AX4" s="246" t="s">
        <v>97</v>
      </c>
      <c r="AY4" s="246" t="s">
        <v>97</v>
      </c>
      <c r="AZ4" s="246" t="s">
        <v>97</v>
      </c>
      <c r="BA4" s="246" t="s">
        <v>97</v>
      </c>
      <c r="BB4" s="246" t="s">
        <v>97</v>
      </c>
      <c r="BC4" s="246" t="s">
        <v>97</v>
      </c>
      <c r="BD4" s="246" t="s">
        <v>97</v>
      </c>
      <c r="BE4" s="246" t="s">
        <v>97</v>
      </c>
      <c r="BF4" s="246" t="s">
        <v>97</v>
      </c>
      <c r="BG4" s="246" t="s">
        <v>97</v>
      </c>
      <c r="BH4" s="246" t="s">
        <v>97</v>
      </c>
      <c r="BI4" s="246" t="s">
        <v>97</v>
      </c>
      <c r="BJ4" s="246" t="s">
        <v>97</v>
      </c>
      <c r="BK4" s="246" t="s">
        <v>97</v>
      </c>
      <c r="BL4" s="246" t="s">
        <v>97</v>
      </c>
      <c r="BM4" s="246" t="s">
        <v>97</v>
      </c>
      <c r="BN4" s="246" t="s">
        <v>97</v>
      </c>
      <c r="BO4" s="246" t="s">
        <v>97</v>
      </c>
      <c r="BP4" s="246" t="s">
        <v>97</v>
      </c>
      <c r="BQ4" s="246" t="s">
        <v>97</v>
      </c>
      <c r="BR4" s="246" t="s">
        <v>97</v>
      </c>
      <c r="BS4" s="246" t="s">
        <v>97</v>
      </c>
      <c r="BT4" s="246" t="s">
        <v>97</v>
      </c>
      <c r="BU4" s="246" t="s">
        <v>97</v>
      </c>
      <c r="BV4" s="246" t="s">
        <v>97</v>
      </c>
      <c r="BW4" s="246" t="s">
        <v>97</v>
      </c>
      <c r="BX4" s="246" t="s">
        <v>97</v>
      </c>
      <c r="BY4" s="246" t="s">
        <v>97</v>
      </c>
      <c r="BZ4" s="246" t="s">
        <v>97</v>
      </c>
      <c r="CA4" s="246" t="s">
        <v>97</v>
      </c>
      <c r="CB4" s="246" t="s">
        <v>97</v>
      </c>
      <c r="CC4" s="246" t="s">
        <v>97</v>
      </c>
      <c r="CD4" s="246" t="s">
        <v>97</v>
      </c>
      <c r="CE4" s="246" t="s">
        <v>97</v>
      </c>
      <c r="CF4" s="246" t="s">
        <v>97</v>
      </c>
      <c r="CG4" s="246" t="s">
        <v>97</v>
      </c>
      <c r="CH4" s="246" t="s">
        <v>97</v>
      </c>
      <c r="CI4" s="246" t="s">
        <v>97</v>
      </c>
      <c r="CJ4" s="246" t="s">
        <v>97</v>
      </c>
      <c r="CK4" s="246" t="s">
        <v>97</v>
      </c>
      <c r="CL4" s="246" t="s">
        <v>97</v>
      </c>
      <c r="CM4" s="246" t="s">
        <v>97</v>
      </c>
      <c r="CN4" s="246" t="s">
        <v>97</v>
      </c>
    </row>
    <row r="5" spans="2:92" ht="15" customHeight="1">
      <c r="B5" s="244" t="s">
        <v>288</v>
      </c>
      <c r="C5" s="246" t="s">
        <v>97</v>
      </c>
      <c r="D5" s="246" t="s">
        <v>97</v>
      </c>
      <c r="E5" s="246" t="s">
        <v>97</v>
      </c>
      <c r="F5" s="246" t="s">
        <v>97</v>
      </c>
      <c r="G5" s="246" t="s">
        <v>97</v>
      </c>
      <c r="H5" s="246" t="s">
        <v>97</v>
      </c>
      <c r="I5" s="246" t="s">
        <v>97</v>
      </c>
      <c r="J5" s="246" t="s">
        <v>97</v>
      </c>
      <c r="K5" s="246" t="s">
        <v>97</v>
      </c>
      <c r="L5" s="246" t="s">
        <v>97</v>
      </c>
      <c r="M5" s="246" t="s">
        <v>97</v>
      </c>
      <c r="N5" s="246" t="s">
        <v>97</v>
      </c>
      <c r="O5" s="246" t="s">
        <v>97</v>
      </c>
      <c r="P5" s="246" t="s">
        <v>97</v>
      </c>
      <c r="Q5" s="246" t="s">
        <v>97</v>
      </c>
      <c r="R5" s="246" t="s">
        <v>97</v>
      </c>
      <c r="S5" s="246" t="s">
        <v>97</v>
      </c>
      <c r="T5" s="246" t="s">
        <v>97</v>
      </c>
      <c r="U5" s="246" t="s">
        <v>97</v>
      </c>
      <c r="V5" s="246" t="s">
        <v>97</v>
      </c>
      <c r="W5" s="246" t="s">
        <v>97</v>
      </c>
      <c r="X5" s="246" t="s">
        <v>97</v>
      </c>
      <c r="Y5" s="246" t="s">
        <v>97</v>
      </c>
      <c r="Z5" s="246" t="s">
        <v>97</v>
      </c>
      <c r="AA5" s="245" t="s">
        <v>97</v>
      </c>
      <c r="AB5" s="245" t="s">
        <v>97</v>
      </c>
      <c r="AC5" s="245" t="s">
        <v>97</v>
      </c>
      <c r="AD5" s="245" t="s">
        <v>97</v>
      </c>
      <c r="AE5" s="245" t="s">
        <v>97</v>
      </c>
      <c r="AF5" s="245" t="s">
        <v>97</v>
      </c>
      <c r="AG5" s="245">
        <v>11622.474824189205</v>
      </c>
      <c r="AH5" s="245">
        <v>15054.480610951792</v>
      </c>
      <c r="AI5" s="245">
        <v>13389.816718940963</v>
      </c>
      <c r="AJ5" s="245">
        <v>13807.496757515395</v>
      </c>
      <c r="AK5" s="245">
        <v>15237.865167324677</v>
      </c>
      <c r="AL5" s="245">
        <v>16994.874638481968</v>
      </c>
      <c r="AM5" s="245">
        <v>16988.454768497944</v>
      </c>
      <c r="AN5" s="245">
        <v>18019.426007044771</v>
      </c>
      <c r="AO5" s="245">
        <v>17604.492959188414</v>
      </c>
      <c r="AP5" s="245">
        <v>17053.395292730282</v>
      </c>
      <c r="AQ5" s="245">
        <v>16768.158176250152</v>
      </c>
      <c r="AR5" s="245">
        <v>16463.21486517664</v>
      </c>
      <c r="AS5" s="245">
        <v>16492.460816471328</v>
      </c>
      <c r="AT5" s="245">
        <v>16225.892952964618</v>
      </c>
      <c r="AU5" s="245">
        <v>16225.892952964618</v>
      </c>
      <c r="AV5" s="245">
        <v>15680.992995898874</v>
      </c>
      <c r="AW5" s="245">
        <v>14927.216958082716</v>
      </c>
      <c r="AX5" s="245">
        <v>13292.686174287048</v>
      </c>
      <c r="AY5" s="245">
        <v>13394</v>
      </c>
      <c r="AZ5" s="245">
        <v>14654</v>
      </c>
      <c r="BA5" s="245">
        <v>9588</v>
      </c>
      <c r="BB5" s="245">
        <v>18341.728299169041</v>
      </c>
      <c r="BC5" s="245">
        <v>17715.993926833748</v>
      </c>
      <c r="BD5" s="245">
        <v>16791.319241135108</v>
      </c>
      <c r="BE5" s="245">
        <v>15872.893827222377</v>
      </c>
      <c r="BF5" s="245">
        <v>15882.290123050689</v>
      </c>
      <c r="BG5" s="245">
        <v>16726.752340837662</v>
      </c>
      <c r="BH5" s="245">
        <v>16441.225084841808</v>
      </c>
      <c r="BI5" s="245">
        <v>16827.873414485624</v>
      </c>
      <c r="BJ5" s="245">
        <v>16395.299285505909</v>
      </c>
      <c r="BK5" s="245">
        <v>15947.381711510327</v>
      </c>
      <c r="BL5" s="245">
        <v>16005.104807934316</v>
      </c>
      <c r="BM5" s="245">
        <v>15651.88622874947</v>
      </c>
      <c r="BN5" s="245">
        <v>15960.156260454416</v>
      </c>
      <c r="BO5" s="245">
        <v>15221.462268872903</v>
      </c>
      <c r="BP5" s="245">
        <v>14203.877675369024</v>
      </c>
      <c r="BQ5" s="245">
        <v>9756.7182299521974</v>
      </c>
      <c r="BR5" s="245">
        <v>10344.390416087992</v>
      </c>
      <c r="BS5" s="245">
        <v>10740.682011885958</v>
      </c>
      <c r="BT5" s="245">
        <v>12142.651599465</v>
      </c>
      <c r="BU5" s="245">
        <v>11839.080598422024</v>
      </c>
      <c r="BV5" s="245">
        <v>11652.012932748688</v>
      </c>
      <c r="BW5" s="245">
        <v>11652.465484516128</v>
      </c>
      <c r="BX5" s="245">
        <v>10269.321120357143</v>
      </c>
      <c r="BY5" s="245">
        <v>10563.993574516127</v>
      </c>
      <c r="BZ5" s="245">
        <v>11127.871051000004</v>
      </c>
      <c r="CA5" s="245">
        <v>10687.667470967741</v>
      </c>
      <c r="CB5" s="245">
        <v>11252.520408333336</v>
      </c>
      <c r="CC5" s="245">
        <v>14129.778167419354</v>
      </c>
      <c r="CD5" s="246">
        <v>13169.918668064514</v>
      </c>
      <c r="CE5" s="246">
        <v>14324.893597036005</v>
      </c>
      <c r="CF5" s="246">
        <v>14696.474123820324</v>
      </c>
      <c r="CG5" s="246">
        <v>13982.620951849</v>
      </c>
      <c r="CH5" s="246">
        <v>15730.640318709673</v>
      </c>
      <c r="CI5" s="245">
        <v>16122.320990322578</v>
      </c>
      <c r="CJ5" s="245">
        <v>15430.746152717502</v>
      </c>
      <c r="CK5" s="245">
        <v>15925.571675806455</v>
      </c>
      <c r="CL5" s="245">
        <v>14462.541714666666</v>
      </c>
      <c r="CM5" s="245">
        <v>13837.271567741933</v>
      </c>
      <c r="CN5" s="245">
        <v>14691.027448666666</v>
      </c>
    </row>
    <row r="6" spans="2:92" ht="15" customHeight="1">
      <c r="B6" s="244" t="s">
        <v>285</v>
      </c>
      <c r="C6" s="246" t="s">
        <v>97</v>
      </c>
      <c r="D6" s="246" t="s">
        <v>97</v>
      </c>
      <c r="E6" s="245">
        <v>9734.9936866522767</v>
      </c>
      <c r="F6" s="245">
        <v>9770.7631513000488</v>
      </c>
      <c r="G6" s="245">
        <v>9833.4998118112362</v>
      </c>
      <c r="H6" s="245">
        <v>9867.7387560236148</v>
      </c>
      <c r="I6" s="245">
        <v>10044.429533238101</v>
      </c>
      <c r="J6" s="245">
        <v>10162.919380355137</v>
      </c>
      <c r="K6" s="245">
        <v>9371.3465723137451</v>
      </c>
      <c r="L6" s="245">
        <v>13576.528521522869</v>
      </c>
      <c r="M6" s="245">
        <v>13753.033199002313</v>
      </c>
      <c r="N6" s="245">
        <v>13590.04759764421</v>
      </c>
      <c r="O6" s="245">
        <v>13437.787386249131</v>
      </c>
      <c r="P6" s="245">
        <v>13402.97352892171</v>
      </c>
      <c r="Q6" s="245">
        <v>13837.11974508035</v>
      </c>
      <c r="R6" s="245">
        <v>13832.543304616547</v>
      </c>
      <c r="S6" s="245">
        <v>13294.36881629295</v>
      </c>
      <c r="T6" s="245">
        <v>13012.623726735932</v>
      </c>
      <c r="U6" s="245">
        <v>12835.454374868412</v>
      </c>
      <c r="V6" s="245">
        <v>12908.296302092309</v>
      </c>
      <c r="W6" s="245">
        <v>12769.829660934036</v>
      </c>
      <c r="X6" s="245">
        <v>12330.845518032707</v>
      </c>
      <c r="Y6" s="245">
        <v>11653.564206098858</v>
      </c>
      <c r="Z6" s="245">
        <v>11800.300484041842</v>
      </c>
      <c r="AA6" s="245">
        <v>12005.318179823795</v>
      </c>
      <c r="AB6" s="245">
        <v>16247.175073724831</v>
      </c>
      <c r="AC6" s="245">
        <v>17005.425293547516</v>
      </c>
      <c r="AD6" s="245">
        <v>15716.350349317763</v>
      </c>
      <c r="AE6" s="245">
        <v>12652.940016054325</v>
      </c>
      <c r="AF6" s="245">
        <v>16454.26790161437</v>
      </c>
      <c r="AG6" s="245">
        <v>16616.359360207935</v>
      </c>
      <c r="AH6" s="245">
        <v>16588.451095800679</v>
      </c>
      <c r="AI6" s="245">
        <v>15987.997622162518</v>
      </c>
      <c r="AJ6" s="245">
        <v>15630.408795412128</v>
      </c>
      <c r="AK6" s="245">
        <v>13843.459899625532</v>
      </c>
      <c r="AL6" s="245">
        <v>15610.468356349227</v>
      </c>
      <c r="AM6" s="245">
        <v>15884.304445494032</v>
      </c>
      <c r="AN6" s="245">
        <v>15757.755714285715</v>
      </c>
      <c r="AO6" s="245">
        <v>15574.456548560194</v>
      </c>
      <c r="AP6" s="245">
        <v>14836.559132322</v>
      </c>
      <c r="AQ6" s="245">
        <v>15378.521439788643</v>
      </c>
      <c r="AR6" s="245">
        <v>14061.342050067702</v>
      </c>
      <c r="AS6" s="245">
        <v>28508.902623208549</v>
      </c>
      <c r="AT6" s="245">
        <v>23036.638311505747</v>
      </c>
      <c r="AU6" s="245">
        <v>32472.580583000254</v>
      </c>
      <c r="AV6" s="245">
        <v>32058.759950608546</v>
      </c>
      <c r="AW6" s="245">
        <v>32621.537861375607</v>
      </c>
      <c r="AX6" s="245">
        <v>32082.287286152961</v>
      </c>
      <c r="AY6" s="245">
        <v>31562</v>
      </c>
      <c r="AZ6" s="245">
        <v>31448</v>
      </c>
      <c r="BA6" s="245">
        <v>38259</v>
      </c>
      <c r="BB6" s="245">
        <v>48513.720179452837</v>
      </c>
      <c r="BC6" s="245">
        <v>49163.95322021559</v>
      </c>
      <c r="BD6" s="245">
        <v>54853.217529020752</v>
      </c>
      <c r="BE6" s="245">
        <v>56199.16455423044</v>
      </c>
      <c r="BF6" s="245">
        <v>55731.916550276612</v>
      </c>
      <c r="BG6" s="245">
        <v>58041.640757607696</v>
      </c>
      <c r="BH6" s="245">
        <v>56971.155432474668</v>
      </c>
      <c r="BI6" s="245">
        <v>54014.961109673903</v>
      </c>
      <c r="BJ6" s="245">
        <v>55004.803052480704</v>
      </c>
      <c r="BK6" s="245">
        <v>51688.351782933816</v>
      </c>
      <c r="BL6" s="245">
        <v>40177.118625028728</v>
      </c>
      <c r="BM6" s="245">
        <v>47078.637824835525</v>
      </c>
      <c r="BN6" s="245">
        <v>49295.640561482469</v>
      </c>
      <c r="BO6" s="245">
        <v>46383.928935972377</v>
      </c>
      <c r="BP6" s="245">
        <v>46013.433600419536</v>
      </c>
      <c r="BQ6" s="245">
        <v>44468.602438893649</v>
      </c>
      <c r="BR6" s="245">
        <v>38124.875192922453</v>
      </c>
      <c r="BS6" s="245">
        <v>35220.193820205779</v>
      </c>
      <c r="BT6" s="245">
        <v>41638.224781308614</v>
      </c>
      <c r="BU6" s="245">
        <v>39957.440683661625</v>
      </c>
      <c r="BV6" s="245">
        <v>40368.54047292289</v>
      </c>
      <c r="BW6" s="245">
        <v>39449.260943064321</v>
      </c>
      <c r="BX6" s="245">
        <v>38151.09454322396</v>
      </c>
      <c r="BY6" s="245">
        <v>37208.874304793811</v>
      </c>
      <c r="BZ6" s="245">
        <v>13521.309951994108</v>
      </c>
      <c r="CA6" s="245">
        <v>22836.845158376385</v>
      </c>
      <c r="CB6" s="245">
        <v>32803.663016301936</v>
      </c>
      <c r="CC6" s="245">
        <v>31836.615927027531</v>
      </c>
      <c r="CD6" s="246">
        <v>33562.232859710675</v>
      </c>
      <c r="CE6" s="246">
        <v>33289.687131215593</v>
      </c>
      <c r="CF6" s="246">
        <v>31565.564156994249</v>
      </c>
      <c r="CG6" s="246">
        <v>31490.522855628857</v>
      </c>
      <c r="CH6" s="246">
        <v>31671.208914319406</v>
      </c>
      <c r="CI6" s="245">
        <v>29979.818726286674</v>
      </c>
      <c r="CJ6" s="245">
        <v>29090.078517039103</v>
      </c>
      <c r="CK6" s="245">
        <v>38810.982690069599</v>
      </c>
      <c r="CL6" s="245">
        <v>64348.637020708658</v>
      </c>
      <c r="CM6" s="245">
        <v>55624.211307606449</v>
      </c>
      <c r="CN6" s="245">
        <v>63569.99236053291</v>
      </c>
    </row>
    <row r="7" spans="2:92" s="349" customFormat="1" ht="15" customHeight="1">
      <c r="B7" s="350" t="s">
        <v>286</v>
      </c>
      <c r="C7" s="351" t="s">
        <v>97</v>
      </c>
      <c r="D7" s="351" t="s">
        <v>97</v>
      </c>
      <c r="E7" s="348">
        <v>9694.2851004021923</v>
      </c>
      <c r="F7" s="348">
        <v>9595.6838432000004</v>
      </c>
      <c r="G7" s="348">
        <v>9652.8844494193563</v>
      </c>
      <c r="H7" s="348">
        <v>9707.3747333333322</v>
      </c>
      <c r="I7" s="348">
        <v>9890.5920292903229</v>
      </c>
      <c r="J7" s="348">
        <v>10012.95529335484</v>
      </c>
      <c r="K7" s="348">
        <v>9279.913588399997</v>
      </c>
      <c r="L7" s="348">
        <f>L6-L8</f>
        <v>13412.190580645161</v>
      </c>
      <c r="M7" s="348">
        <v>13536.351033333332</v>
      </c>
      <c r="N7" s="348">
        <v>13361.57629032258</v>
      </c>
      <c r="O7" s="348">
        <v>13242.229225806452</v>
      </c>
      <c r="P7" s="348">
        <v>13164.453206896549</v>
      </c>
      <c r="Q7" s="348">
        <v>13553.427774193549</v>
      </c>
      <c r="R7" s="348">
        <v>13526.321792097007</v>
      </c>
      <c r="S7" s="348">
        <v>13010.933193548386</v>
      </c>
      <c r="T7" s="348">
        <v>12777.931366666664</v>
      </c>
      <c r="U7" s="348">
        <v>12646.623161290321</v>
      </c>
      <c r="V7" s="348">
        <v>12725.527838709677</v>
      </c>
      <c r="W7" s="348">
        <v>12608.577566666669</v>
      </c>
      <c r="X7" s="348">
        <v>12202.706870967742</v>
      </c>
      <c r="Y7" s="348">
        <v>11569.777340243345</v>
      </c>
      <c r="Z7" s="348">
        <v>11749.990903225806</v>
      </c>
      <c r="AA7" s="348">
        <v>11953.692709677423</v>
      </c>
      <c r="AB7" s="348">
        <v>16216.197035714289</v>
      </c>
      <c r="AC7" s="348">
        <v>16967.454516129033</v>
      </c>
      <c r="AD7" s="348">
        <v>15708.151999999996</v>
      </c>
      <c r="AE7" s="348">
        <v>12635.481935483873</v>
      </c>
      <c r="AF7" s="348">
        <v>16442.414448439176</v>
      </c>
      <c r="AG7" s="348">
        <v>16590.837741935484</v>
      </c>
      <c r="AH7" s="348">
        <v>16581.7735483871</v>
      </c>
      <c r="AI7" s="348">
        <v>15967.438745927919</v>
      </c>
      <c r="AJ7" s="348">
        <v>15630.408795412128</v>
      </c>
      <c r="AK7" s="348">
        <v>13820.302283146098</v>
      </c>
      <c r="AL7" s="348">
        <v>15607.147741935485</v>
      </c>
      <c r="AM7" s="348">
        <v>15878.894445494032</v>
      </c>
      <c r="AN7" s="348">
        <v>15695.515714285715</v>
      </c>
      <c r="AO7" s="348">
        <v>15564.006548560194</v>
      </c>
      <c r="AP7" s="348">
        <v>14821.659132322</v>
      </c>
      <c r="AQ7" s="348">
        <v>15367.691439788643</v>
      </c>
      <c r="AR7" s="348">
        <v>14049.592050067702</v>
      </c>
      <c r="AS7" s="348">
        <v>27811.072623208547</v>
      </c>
      <c r="AT7" s="348">
        <v>22374.528311505746</v>
      </c>
      <c r="AU7" s="348">
        <v>31557.340583000252</v>
      </c>
      <c r="AV7" s="348">
        <v>31061.579950608546</v>
      </c>
      <c r="AW7" s="348">
        <v>31695.997861375607</v>
      </c>
      <c r="AX7" s="348">
        <v>31166.017286152961</v>
      </c>
      <c r="AY7" s="348">
        <f t="shared" ref="AY7:BJ7" si="33">AY6-AY8</f>
        <v>30742.37</v>
      </c>
      <c r="AZ7" s="348">
        <f t="shared" si="33"/>
        <v>30541.919999999998</v>
      </c>
      <c r="BA7" s="348">
        <f t="shared" si="33"/>
        <v>37316.629999999997</v>
      </c>
      <c r="BB7" s="348">
        <f t="shared" si="33"/>
        <v>46857.77017945284</v>
      </c>
      <c r="BC7" s="348">
        <f t="shared" si="33"/>
        <v>47346.533220215591</v>
      </c>
      <c r="BD7" s="348">
        <f t="shared" si="33"/>
        <v>52715.45752902075</v>
      </c>
      <c r="BE7" s="348">
        <f t="shared" si="33"/>
        <v>53993.084554230438</v>
      </c>
      <c r="BF7" s="348">
        <f t="shared" si="33"/>
        <v>53465.486550276612</v>
      </c>
      <c r="BG7" s="348">
        <f t="shared" si="33"/>
        <v>55970.150757607698</v>
      </c>
      <c r="BH7" s="348">
        <f t="shared" si="33"/>
        <v>55027.595432474671</v>
      </c>
      <c r="BI7" s="348">
        <f t="shared" si="33"/>
        <v>52294.041109673904</v>
      </c>
      <c r="BJ7" s="348">
        <f t="shared" si="33"/>
        <v>53202.083052480702</v>
      </c>
      <c r="BK7" s="348">
        <v>50015.351782933816</v>
      </c>
      <c r="BL7" s="348">
        <v>39457.118625028728</v>
      </c>
      <c r="BM7" s="348">
        <v>45804.637824835525</v>
      </c>
      <c r="BN7" s="348">
        <v>47794.640561482469</v>
      </c>
      <c r="BO7" s="348">
        <v>45003.928935972377</v>
      </c>
      <c r="BP7" s="348">
        <v>44690.433600419536</v>
      </c>
      <c r="BQ7" s="348">
        <v>43209.602438893649</v>
      </c>
      <c r="BR7" s="348">
        <v>36741.875192922453</v>
      </c>
      <c r="BS7" s="348">
        <v>34466.193820205779</v>
      </c>
      <c r="BT7" s="348">
        <v>40719.224781308614</v>
      </c>
      <c r="BU7" s="348">
        <v>38770.440683661625</v>
      </c>
      <c r="BV7" s="348">
        <v>39194.54047292289</v>
      </c>
      <c r="BW7" s="348">
        <v>38240.260943064321</v>
      </c>
      <c r="BX7" s="348">
        <v>37074.09454322396</v>
      </c>
      <c r="BY7" s="348">
        <v>36028.874304793811</v>
      </c>
      <c r="BZ7" s="348">
        <v>13160.309951994108</v>
      </c>
      <c r="CA7" s="348">
        <v>21413.845158376385</v>
      </c>
      <c r="CB7" s="348">
        <v>32057.663016301936</v>
      </c>
      <c r="CC7" s="348">
        <v>31212.615927027531</v>
      </c>
      <c r="CD7" s="348">
        <v>32914.232859710675</v>
      </c>
      <c r="CE7" s="348">
        <v>32460.687131215593</v>
      </c>
      <c r="CF7" s="348">
        <v>30978.564156994249</v>
      </c>
      <c r="CG7" s="348">
        <v>30741.522855628857</v>
      </c>
      <c r="CH7" s="348">
        <v>31172.208914319406</v>
      </c>
      <c r="CI7" s="348">
        <v>29454.228525019029</v>
      </c>
      <c r="CJ7" s="348">
        <v>28711.460648260818</v>
      </c>
      <c r="CK7" s="348">
        <v>37348.686037775275</v>
      </c>
      <c r="CL7" s="348">
        <v>59652.789924328659</v>
      </c>
      <c r="CM7" s="348">
        <v>51645.560924987098</v>
      </c>
      <c r="CN7" s="348">
        <v>58480.965614316679</v>
      </c>
    </row>
    <row r="8" spans="2:92" s="349" customFormat="1" ht="15" customHeight="1">
      <c r="B8" s="350" t="s">
        <v>287</v>
      </c>
      <c r="C8" s="351" t="s">
        <v>97</v>
      </c>
      <c r="D8" s="351" t="s">
        <v>97</v>
      </c>
      <c r="E8" s="348">
        <v>40.708586250083535</v>
      </c>
      <c r="F8" s="348">
        <v>175.07930810004882</v>
      </c>
      <c r="G8" s="348">
        <v>180.61536239188015</v>
      </c>
      <c r="H8" s="348">
        <v>160.36402269028184</v>
      </c>
      <c r="I8" s="348">
        <v>153.83750394777846</v>
      </c>
      <c r="J8" s="348">
        <v>149.96408700029735</v>
      </c>
      <c r="K8" s="348">
        <v>91.432983913747293</v>
      </c>
      <c r="L8" s="348">
        <v>164.33794087770792</v>
      </c>
      <c r="M8" s="348">
        <v>216.68216566898008</v>
      </c>
      <c r="N8" s="348">
        <v>228.47130732162938</v>
      </c>
      <c r="O8" s="348">
        <v>195.55816044267939</v>
      </c>
      <c r="P8" s="348">
        <v>238.52032202516037</v>
      </c>
      <c r="Q8" s="348">
        <v>283.6919708868013</v>
      </c>
      <c r="R8" s="348">
        <v>306.22151251953903</v>
      </c>
      <c r="S8" s="348">
        <v>283.4356227445648</v>
      </c>
      <c r="T8" s="348">
        <v>234.69236006926786</v>
      </c>
      <c r="U8" s="348">
        <v>188.83121357809097</v>
      </c>
      <c r="V8" s="348">
        <v>182.76846338263243</v>
      </c>
      <c r="W8" s="348">
        <v>161.25209426736663</v>
      </c>
      <c r="X8" s="348">
        <v>128.13864706496449</v>
      </c>
      <c r="Y8" s="348">
        <v>83.786865855513327</v>
      </c>
      <c r="Z8" s="348">
        <v>50.309580816035478</v>
      </c>
      <c r="AA8" s="348">
        <v>51.625470146374198</v>
      </c>
      <c r="AB8" s="348">
        <v>30.978038010542843</v>
      </c>
      <c r="AC8" s="348">
        <v>37.97077741848387</v>
      </c>
      <c r="AD8" s="348">
        <v>8.1983493177666649</v>
      </c>
      <c r="AE8" s="348">
        <v>17.458080570451607</v>
      </c>
      <c r="AF8" s="348">
        <v>11.853453175193549</v>
      </c>
      <c r="AG8" s="348">
        <v>25.521618272451608</v>
      </c>
      <c r="AH8" s="348">
        <v>6.677547413580645</v>
      </c>
      <c r="AI8" s="348">
        <v>20.558876234600003</v>
      </c>
      <c r="AJ8" s="348">
        <v>0</v>
      </c>
      <c r="AK8" s="348">
        <v>23.157616479433333</v>
      </c>
      <c r="AL8" s="348">
        <v>3.3206144137419349</v>
      </c>
      <c r="AM8" s="348">
        <v>5.41</v>
      </c>
      <c r="AN8" s="348">
        <v>62.24</v>
      </c>
      <c r="AO8" s="348">
        <v>10.45</v>
      </c>
      <c r="AP8" s="348">
        <v>14.9</v>
      </c>
      <c r="AQ8" s="348">
        <v>10.83</v>
      </c>
      <c r="AR8" s="348">
        <v>11.75</v>
      </c>
      <c r="AS8" s="348">
        <v>697.83</v>
      </c>
      <c r="AT8" s="348">
        <v>662.11</v>
      </c>
      <c r="AU8" s="348">
        <v>915.24</v>
      </c>
      <c r="AV8" s="348">
        <v>997.18</v>
      </c>
      <c r="AW8" s="348">
        <v>925.54</v>
      </c>
      <c r="AX8" s="348">
        <v>916.27</v>
      </c>
      <c r="AY8" s="348">
        <v>819.63</v>
      </c>
      <c r="AZ8" s="348">
        <v>906.08</v>
      </c>
      <c r="BA8" s="348">
        <v>942.37</v>
      </c>
      <c r="BB8" s="348">
        <v>1655.95</v>
      </c>
      <c r="BC8" s="348">
        <v>1817.42</v>
      </c>
      <c r="BD8" s="348">
        <v>2137.7600000000002</v>
      </c>
      <c r="BE8" s="348">
        <v>2206.08</v>
      </c>
      <c r="BF8" s="348">
        <v>2266.4299999999998</v>
      </c>
      <c r="BG8" s="348">
        <v>2071.4899999999998</v>
      </c>
      <c r="BH8" s="348">
        <v>1943.56</v>
      </c>
      <c r="BI8" s="348">
        <v>1720.92</v>
      </c>
      <c r="BJ8" s="348">
        <v>1802.72</v>
      </c>
      <c r="BK8" s="348">
        <v>1673</v>
      </c>
      <c r="BL8" s="348">
        <v>720</v>
      </c>
      <c r="BM8" s="348">
        <v>1274</v>
      </c>
      <c r="BN8" s="348">
        <v>1501</v>
      </c>
      <c r="BO8" s="348">
        <v>1380</v>
      </c>
      <c r="BP8" s="348">
        <v>1323</v>
      </c>
      <c r="BQ8" s="348">
        <v>1259</v>
      </c>
      <c r="BR8" s="348">
        <v>1383</v>
      </c>
      <c r="BS8" s="348">
        <v>754</v>
      </c>
      <c r="BT8" s="348">
        <v>919</v>
      </c>
      <c r="BU8" s="348">
        <v>1187</v>
      </c>
      <c r="BV8" s="348">
        <v>1174</v>
      </c>
      <c r="BW8" s="348">
        <v>1209</v>
      </c>
      <c r="BX8" s="348">
        <v>1077</v>
      </c>
      <c r="BY8" s="348">
        <v>1180</v>
      </c>
      <c r="BZ8" s="348">
        <v>361</v>
      </c>
      <c r="CA8" s="348">
        <v>1423</v>
      </c>
      <c r="CB8" s="348">
        <v>746</v>
      </c>
      <c r="CC8" s="348">
        <v>624</v>
      </c>
      <c r="CD8" s="351">
        <v>648</v>
      </c>
      <c r="CE8" s="351">
        <v>829</v>
      </c>
      <c r="CF8" s="351">
        <v>587</v>
      </c>
      <c r="CG8" s="351">
        <v>749</v>
      </c>
      <c r="CH8" s="351">
        <v>499</v>
      </c>
      <c r="CI8" s="348">
        <v>525.59020126764506</v>
      </c>
      <c r="CJ8" s="348">
        <v>378.61786877828553</v>
      </c>
      <c r="CK8" s="348">
        <v>1462.2966522943225</v>
      </c>
      <c r="CL8" s="348">
        <v>4695.84709638</v>
      </c>
      <c r="CM8" s="348">
        <v>3978.6503826193543</v>
      </c>
      <c r="CN8" s="348">
        <v>5089.0267462162328</v>
      </c>
    </row>
    <row r="9" spans="2:92" ht="15" customHeight="1">
      <c r="B9" s="244" t="s">
        <v>231</v>
      </c>
      <c r="C9" s="245">
        <v>1568.0940530049902</v>
      </c>
      <c r="D9" s="245">
        <v>2842.0175846428137</v>
      </c>
      <c r="E9" s="245">
        <v>1768.4772866085384</v>
      </c>
      <c r="F9" s="245">
        <v>1914.7626518341572</v>
      </c>
      <c r="G9" s="245">
        <v>2419.8038735128316</v>
      </c>
      <c r="H9" s="245">
        <v>971.98095216878323</v>
      </c>
      <c r="I9" s="245">
        <v>1476.4493357357096</v>
      </c>
      <c r="J9" s="245">
        <v>2878.3461909592315</v>
      </c>
      <c r="K9" s="245">
        <v>2900.2318940320738</v>
      </c>
      <c r="L9" s="245">
        <v>2875.1564249040039</v>
      </c>
      <c r="M9" s="245">
        <v>2857.4292898903032</v>
      </c>
      <c r="N9" s="245">
        <v>2844.7082005723805</v>
      </c>
      <c r="O9" s="245">
        <v>2225.8562527862064</v>
      </c>
      <c r="P9" s="245">
        <v>1551.9873533702623</v>
      </c>
      <c r="Q9" s="245">
        <v>3.2515279413064522</v>
      </c>
      <c r="R9" s="245">
        <v>3.3278970680266671</v>
      </c>
      <c r="S9" s="245">
        <v>413.27111871791931</v>
      </c>
      <c r="T9" s="245">
        <v>1705.4005480051096</v>
      </c>
      <c r="U9" s="245">
        <v>1455.4789435440061</v>
      </c>
      <c r="V9" s="245">
        <v>1569.0005365083678</v>
      </c>
      <c r="W9" s="245">
        <v>2195.9902911379763</v>
      </c>
      <c r="X9" s="245">
        <v>2193.2161713490741</v>
      </c>
      <c r="Y9" s="245">
        <v>2329.8040074234564</v>
      </c>
      <c r="Z9" s="245">
        <v>2332.111511158248</v>
      </c>
      <c r="AA9" s="245">
        <v>2156.8509189126221</v>
      </c>
      <c r="AB9" s="245">
        <v>1806.3963397517716</v>
      </c>
      <c r="AC9" s="245">
        <v>2288.6749488499026</v>
      </c>
      <c r="AD9" s="245">
        <v>1981.8595880653168</v>
      </c>
      <c r="AE9" s="245">
        <v>2304.23529199309</v>
      </c>
      <c r="AF9" s="245">
        <v>2286.9142055351899</v>
      </c>
      <c r="AG9" s="245">
        <v>1988.7911660660641</v>
      </c>
      <c r="AH9" s="245">
        <v>1949.7003762056099</v>
      </c>
      <c r="AI9" s="245">
        <v>1665.7168298355123</v>
      </c>
      <c r="AJ9" s="245">
        <v>2042.089624489874</v>
      </c>
      <c r="AK9" s="245">
        <v>2153.9223159549701</v>
      </c>
      <c r="AL9" s="245">
        <v>1574.5883234419161</v>
      </c>
      <c r="AM9" s="245">
        <v>2023.9186445668545</v>
      </c>
      <c r="AN9" s="245">
        <v>1894.2350778922996</v>
      </c>
      <c r="AO9" s="245">
        <v>1819.4340483970486</v>
      </c>
      <c r="AP9" s="245">
        <v>1886.9662578101502</v>
      </c>
      <c r="AQ9" s="245">
        <v>1897.5378170689744</v>
      </c>
      <c r="AR9" s="245">
        <v>1565.0812802023299</v>
      </c>
      <c r="AS9" s="245">
        <v>1822.3230803276258</v>
      </c>
      <c r="AT9" s="245">
        <v>1608.8383935979195</v>
      </c>
      <c r="AU9" s="245">
        <v>942.85153550453867</v>
      </c>
      <c r="AV9" s="245">
        <v>1112.2161299327595</v>
      </c>
      <c r="AW9" s="245">
        <v>1087.860682731118</v>
      </c>
      <c r="AX9" s="245">
        <v>1145.5894836231857</v>
      </c>
      <c r="AY9" s="246" t="s">
        <v>97</v>
      </c>
      <c r="AZ9" s="246" t="s">
        <v>97</v>
      </c>
      <c r="BA9" s="246" t="s">
        <v>97</v>
      </c>
      <c r="BB9" s="246" t="s">
        <v>97</v>
      </c>
      <c r="BC9" s="246" t="s">
        <v>97</v>
      </c>
      <c r="BD9" s="246" t="s">
        <v>97</v>
      </c>
      <c r="BE9" s="246" t="s">
        <v>97</v>
      </c>
      <c r="BF9" s="246" t="s">
        <v>97</v>
      </c>
      <c r="BG9" s="246" t="s">
        <v>97</v>
      </c>
      <c r="BH9" s="246" t="s">
        <v>97</v>
      </c>
      <c r="BI9" s="246" t="s">
        <v>97</v>
      </c>
      <c r="BJ9" s="246" t="s">
        <v>97</v>
      </c>
      <c r="BK9" s="246" t="s">
        <v>97</v>
      </c>
      <c r="BL9" s="246" t="s">
        <v>97</v>
      </c>
      <c r="BM9" s="246" t="s">
        <v>97</v>
      </c>
      <c r="BN9" s="246" t="s">
        <v>97</v>
      </c>
      <c r="BO9" s="246" t="s">
        <v>97</v>
      </c>
      <c r="BP9" s="246" t="s">
        <v>97</v>
      </c>
      <c r="BQ9" s="246" t="s">
        <v>97</v>
      </c>
      <c r="BR9" s="246" t="s">
        <v>97</v>
      </c>
      <c r="BS9" s="246" t="s">
        <v>97</v>
      </c>
      <c r="BT9" s="246" t="s">
        <v>97</v>
      </c>
      <c r="BU9" s="246" t="s">
        <v>97</v>
      </c>
      <c r="BV9" s="246" t="s">
        <v>97</v>
      </c>
      <c r="BW9" s="246" t="s">
        <v>97</v>
      </c>
      <c r="BX9" s="246" t="s">
        <v>97</v>
      </c>
      <c r="BY9" s="246" t="s">
        <v>97</v>
      </c>
      <c r="BZ9" s="246" t="s">
        <v>97</v>
      </c>
      <c r="CA9" s="246" t="s">
        <v>97</v>
      </c>
      <c r="CB9" s="246" t="s">
        <v>97</v>
      </c>
      <c r="CC9" s="246" t="s">
        <v>97</v>
      </c>
      <c r="CD9" s="246" t="s">
        <v>97</v>
      </c>
      <c r="CE9" s="246" t="s">
        <v>97</v>
      </c>
      <c r="CF9" s="246" t="s">
        <v>97</v>
      </c>
      <c r="CG9" s="246" t="s">
        <v>97</v>
      </c>
      <c r="CH9" s="246" t="s">
        <v>97</v>
      </c>
      <c r="CI9" s="246" t="s">
        <v>97</v>
      </c>
      <c r="CJ9" s="246" t="s">
        <v>97</v>
      </c>
      <c r="CK9" s="246" t="s">
        <v>97</v>
      </c>
      <c r="CL9" s="246" t="s">
        <v>97</v>
      </c>
      <c r="CM9" s="246" t="s">
        <v>97</v>
      </c>
      <c r="CN9" s="246" t="s">
        <v>97</v>
      </c>
    </row>
    <row r="10" spans="2:92" ht="15" customHeight="1">
      <c r="B10" s="343" t="s">
        <v>232</v>
      </c>
      <c r="C10" s="246" t="s">
        <v>97</v>
      </c>
      <c r="D10" s="246" t="s">
        <v>97</v>
      </c>
      <c r="E10" s="246" t="s">
        <v>97</v>
      </c>
      <c r="F10" s="246" t="s">
        <v>97</v>
      </c>
      <c r="G10" s="246" t="s">
        <v>97</v>
      </c>
      <c r="H10" s="246" t="s">
        <v>97</v>
      </c>
      <c r="I10" s="246" t="s">
        <v>97</v>
      </c>
      <c r="J10" s="246" t="s">
        <v>97</v>
      </c>
      <c r="K10" s="246" t="s">
        <v>97</v>
      </c>
      <c r="L10" s="246" t="s">
        <v>97</v>
      </c>
      <c r="M10" s="246" t="s">
        <v>97</v>
      </c>
      <c r="N10" s="246" t="s">
        <v>97</v>
      </c>
      <c r="O10" s="246" t="s">
        <v>97</v>
      </c>
      <c r="P10" s="246" t="s">
        <v>97</v>
      </c>
      <c r="Q10" s="246" t="s">
        <v>97</v>
      </c>
      <c r="R10" s="246" t="s">
        <v>97</v>
      </c>
      <c r="S10" s="246" t="s">
        <v>97</v>
      </c>
      <c r="T10" s="246" t="s">
        <v>97</v>
      </c>
      <c r="U10" s="246" t="s">
        <v>97</v>
      </c>
      <c r="V10" s="246" t="s">
        <v>97</v>
      </c>
      <c r="W10" s="246" t="s">
        <v>97</v>
      </c>
      <c r="X10" s="246" t="s">
        <v>97</v>
      </c>
      <c r="Y10" s="246" t="s">
        <v>97</v>
      </c>
      <c r="Z10" s="246" t="s">
        <v>97</v>
      </c>
      <c r="AA10" s="246" t="s">
        <v>97</v>
      </c>
      <c r="AB10" s="246" t="s">
        <v>97</v>
      </c>
      <c r="AC10" s="246" t="s">
        <v>97</v>
      </c>
      <c r="AD10" s="246" t="s">
        <v>97</v>
      </c>
      <c r="AE10" s="246" t="s">
        <v>97</v>
      </c>
      <c r="AF10" s="246" t="s">
        <v>97</v>
      </c>
      <c r="AG10" s="246" t="s">
        <v>97</v>
      </c>
      <c r="AH10" s="246" t="s">
        <v>97</v>
      </c>
      <c r="AI10" s="246" t="s">
        <v>97</v>
      </c>
      <c r="AJ10" s="246" t="s">
        <v>97</v>
      </c>
      <c r="AK10" s="246" t="s">
        <v>97</v>
      </c>
      <c r="AL10" s="246" t="s">
        <v>97</v>
      </c>
      <c r="AM10" s="246" t="s">
        <v>97</v>
      </c>
      <c r="AN10" s="246" t="s">
        <v>97</v>
      </c>
      <c r="AO10" s="246" t="s">
        <v>97</v>
      </c>
      <c r="AP10" s="246" t="s">
        <v>97</v>
      </c>
      <c r="AQ10" s="246" t="s">
        <v>97</v>
      </c>
      <c r="AR10" s="246" t="s">
        <v>97</v>
      </c>
      <c r="AS10" s="246" t="s">
        <v>97</v>
      </c>
      <c r="AT10" s="246" t="s">
        <v>97</v>
      </c>
      <c r="AU10" s="246" t="s">
        <v>97</v>
      </c>
      <c r="AV10" s="246" t="s">
        <v>97</v>
      </c>
      <c r="AW10" s="246" t="s">
        <v>97</v>
      </c>
      <c r="AX10" s="246" t="s">
        <v>97</v>
      </c>
      <c r="AY10" s="245">
        <v>5918.9589753254431</v>
      </c>
      <c r="AZ10" s="245">
        <v>22197</v>
      </c>
      <c r="BA10" s="245">
        <v>16801</v>
      </c>
      <c r="BB10" s="245">
        <v>23476.025094821231</v>
      </c>
      <c r="BC10" s="245">
        <v>20232.675307364229</v>
      </c>
      <c r="BD10" s="245">
        <v>24324.609481540698</v>
      </c>
      <c r="BE10" s="245">
        <v>27019.166938723396</v>
      </c>
      <c r="BF10" s="245">
        <v>26397.156439348793</v>
      </c>
      <c r="BG10" s="245">
        <v>27949.716864816928</v>
      </c>
      <c r="BH10" s="245">
        <v>26591.875473081494</v>
      </c>
      <c r="BI10" s="245">
        <v>28469.93083206104</v>
      </c>
      <c r="BJ10" s="245">
        <v>30176.064361943769</v>
      </c>
      <c r="BK10" s="245">
        <v>27947.572578021976</v>
      </c>
      <c r="BL10" s="245">
        <v>26630.483547481683</v>
      </c>
      <c r="BM10" s="245">
        <v>23496.333010096037</v>
      </c>
      <c r="BN10" s="245">
        <v>27539.613413559407</v>
      </c>
      <c r="BO10" s="245">
        <v>27096.979817385509</v>
      </c>
      <c r="BP10" s="245">
        <v>27982.760852540479</v>
      </c>
      <c r="BQ10" s="245">
        <v>13441.145711813009</v>
      </c>
      <c r="BR10" s="245">
        <v>23246.409174176722</v>
      </c>
      <c r="BS10" s="245">
        <v>25514.841853104117</v>
      </c>
      <c r="BT10" s="245">
        <v>25452.028663366487</v>
      </c>
      <c r="BU10" s="245">
        <v>25099.064472277416</v>
      </c>
      <c r="BV10" s="245">
        <v>21668.617675483823</v>
      </c>
      <c r="BW10" s="245">
        <v>24579.754494514891</v>
      </c>
      <c r="BX10" s="245">
        <v>22393.737088804704</v>
      </c>
      <c r="BY10" s="245">
        <v>18849.195916566096</v>
      </c>
      <c r="BZ10" s="245">
        <v>27208.936973511485</v>
      </c>
      <c r="CA10" s="245">
        <v>26671.346492165932</v>
      </c>
      <c r="CB10" s="245">
        <v>26554.780310916107</v>
      </c>
      <c r="CC10" s="245">
        <v>29048.866555334796</v>
      </c>
      <c r="CD10" s="246">
        <v>27502.703019195709</v>
      </c>
      <c r="CE10" s="246">
        <v>23654.212034700471</v>
      </c>
      <c r="CF10" s="246">
        <v>24843.203395867498</v>
      </c>
      <c r="CG10" s="246">
        <v>24563.511310778747</v>
      </c>
      <c r="CH10" s="246">
        <v>26164.752017541618</v>
      </c>
      <c r="CI10" s="245">
        <v>27002.986434766397</v>
      </c>
      <c r="CJ10" s="245">
        <v>25987.538784651912</v>
      </c>
      <c r="CK10" s="245">
        <v>26247.658646273525</v>
      </c>
      <c r="CL10" s="245">
        <v>22603.715184072022</v>
      </c>
      <c r="CM10" s="245">
        <v>22412.62182738632</v>
      </c>
      <c r="CN10" s="245">
        <v>21316.277249796854</v>
      </c>
    </row>
    <row r="11" spans="2:92" s="349" customFormat="1" ht="15" customHeight="1">
      <c r="B11" s="352" t="s">
        <v>233</v>
      </c>
      <c r="C11" s="351" t="s">
        <v>97</v>
      </c>
      <c r="D11" s="351" t="s">
        <v>97</v>
      </c>
      <c r="E11" s="351" t="s">
        <v>97</v>
      </c>
      <c r="F11" s="351" t="s">
        <v>97</v>
      </c>
      <c r="G11" s="351" t="s">
        <v>97</v>
      </c>
      <c r="H11" s="351" t="s">
        <v>97</v>
      </c>
      <c r="I11" s="351" t="s">
        <v>97</v>
      </c>
      <c r="J11" s="351" t="s">
        <v>97</v>
      </c>
      <c r="K11" s="351" t="s">
        <v>97</v>
      </c>
      <c r="L11" s="351" t="s">
        <v>97</v>
      </c>
      <c r="M11" s="351" t="s">
        <v>97</v>
      </c>
      <c r="N11" s="351" t="s">
        <v>97</v>
      </c>
      <c r="O11" s="351" t="s">
        <v>97</v>
      </c>
      <c r="P11" s="351" t="s">
        <v>97</v>
      </c>
      <c r="Q11" s="351" t="s">
        <v>97</v>
      </c>
      <c r="R11" s="351" t="s">
        <v>97</v>
      </c>
      <c r="S11" s="351" t="s">
        <v>97</v>
      </c>
      <c r="T11" s="351" t="s">
        <v>97</v>
      </c>
      <c r="U11" s="351" t="s">
        <v>97</v>
      </c>
      <c r="V11" s="351" t="s">
        <v>97</v>
      </c>
      <c r="W11" s="351" t="s">
        <v>97</v>
      </c>
      <c r="X11" s="351" t="s">
        <v>97</v>
      </c>
      <c r="Y11" s="351" t="s">
        <v>97</v>
      </c>
      <c r="Z11" s="351" t="s">
        <v>97</v>
      </c>
      <c r="AA11" s="351" t="s">
        <v>97</v>
      </c>
      <c r="AB11" s="351" t="s">
        <v>97</v>
      </c>
      <c r="AC11" s="351" t="s">
        <v>97</v>
      </c>
      <c r="AD11" s="351" t="s">
        <v>97</v>
      </c>
      <c r="AE11" s="351" t="s">
        <v>97</v>
      </c>
      <c r="AF11" s="351" t="s">
        <v>97</v>
      </c>
      <c r="AG11" s="351" t="s">
        <v>97</v>
      </c>
      <c r="AH11" s="351" t="s">
        <v>97</v>
      </c>
      <c r="AI11" s="351" t="s">
        <v>97</v>
      </c>
      <c r="AJ11" s="351" t="s">
        <v>97</v>
      </c>
      <c r="AK11" s="351" t="s">
        <v>97</v>
      </c>
      <c r="AL11" s="351" t="s">
        <v>97</v>
      </c>
      <c r="AM11" s="351" t="s">
        <v>97</v>
      </c>
      <c r="AN11" s="351" t="s">
        <v>97</v>
      </c>
      <c r="AO11" s="351" t="s">
        <v>97</v>
      </c>
      <c r="AP11" s="351" t="s">
        <v>97</v>
      </c>
      <c r="AQ11" s="351" t="s">
        <v>97</v>
      </c>
      <c r="AR11" s="351" t="s">
        <v>97</v>
      </c>
      <c r="AS11" s="351" t="s">
        <v>97</v>
      </c>
      <c r="AT11" s="351" t="s">
        <v>97</v>
      </c>
      <c r="AU11" s="351" t="s">
        <v>97</v>
      </c>
      <c r="AV11" s="351" t="s">
        <v>97</v>
      </c>
      <c r="AW11" s="351" t="s">
        <v>97</v>
      </c>
      <c r="AX11" s="351" t="s">
        <v>97</v>
      </c>
      <c r="AY11" s="348">
        <v>5717.8270532666147</v>
      </c>
      <c r="AZ11" s="348">
        <v>21530</v>
      </c>
      <c r="BA11" s="348">
        <v>16361</v>
      </c>
      <c r="BB11" s="348">
        <v>22826.025094821231</v>
      </c>
      <c r="BC11" s="348">
        <v>19801.675307364229</v>
      </c>
      <c r="BD11" s="348">
        <v>23714.609481540698</v>
      </c>
      <c r="BE11" s="348">
        <v>26457.166938723396</v>
      </c>
      <c r="BF11" s="348">
        <v>25791.156439348793</v>
      </c>
      <c r="BG11" s="348">
        <v>27468.716864816928</v>
      </c>
      <c r="BH11" s="348">
        <v>25927.875473081494</v>
      </c>
      <c r="BI11" s="348">
        <v>27657.93083206104</v>
      </c>
      <c r="BJ11" s="348">
        <v>29288.064361943769</v>
      </c>
      <c r="BK11" s="348">
        <v>27418.572578021976</v>
      </c>
      <c r="BL11" s="348">
        <v>26180.483547481683</v>
      </c>
      <c r="BM11" s="348">
        <v>23391.333010096037</v>
      </c>
      <c r="BN11" s="348">
        <v>27212.613413559407</v>
      </c>
      <c r="BO11" s="348">
        <v>26340.979817385509</v>
      </c>
      <c r="BP11" s="348">
        <v>27018.760852540479</v>
      </c>
      <c r="BQ11" s="348">
        <v>13058.145711813009</v>
      </c>
      <c r="BR11" s="348">
        <v>23006.409174176722</v>
      </c>
      <c r="BS11" s="348">
        <v>25359.841853104117</v>
      </c>
      <c r="BT11" s="348">
        <v>25044.028663366487</v>
      </c>
      <c r="BU11" s="348">
        <v>24758.064472277416</v>
      </c>
      <c r="BV11" s="348">
        <v>21429.617675483823</v>
      </c>
      <c r="BW11" s="348">
        <v>24240.754494514891</v>
      </c>
      <c r="BX11" s="348">
        <v>22199.737088804704</v>
      </c>
      <c r="BY11" s="348">
        <v>18670.195916566096</v>
      </c>
      <c r="BZ11" s="348">
        <v>26669.936973511485</v>
      </c>
      <c r="CA11" s="348">
        <v>26158.346492165932</v>
      </c>
      <c r="CB11" s="348">
        <v>26414.780310916107</v>
      </c>
      <c r="CC11" s="348">
        <v>29047.866555334796</v>
      </c>
      <c r="CD11" s="348">
        <v>27484.703019195709</v>
      </c>
      <c r="CE11" s="348">
        <v>23524.212034700471</v>
      </c>
      <c r="CF11" s="348">
        <v>24708.203395867498</v>
      </c>
      <c r="CG11" s="348">
        <v>24501.511310778747</v>
      </c>
      <c r="CH11" s="348">
        <v>25982.752017541618</v>
      </c>
      <c r="CI11" s="348">
        <v>26805.955555178658</v>
      </c>
      <c r="CJ11" s="348">
        <v>25770.545184824517</v>
      </c>
      <c r="CK11" s="348">
        <v>26085.676169539915</v>
      </c>
      <c r="CL11" s="348">
        <v>22490.727873117408</v>
      </c>
      <c r="CM11" s="348">
        <v>22309.739713033614</v>
      </c>
      <c r="CN11" s="348">
        <v>21193.800702810116</v>
      </c>
    </row>
    <row r="12" spans="2:92" s="349" customFormat="1" ht="15" customHeight="1">
      <c r="B12" s="352" t="s">
        <v>234</v>
      </c>
      <c r="C12" s="351" t="s">
        <v>97</v>
      </c>
      <c r="D12" s="351" t="s">
        <v>97</v>
      </c>
      <c r="E12" s="351" t="s">
        <v>97</v>
      </c>
      <c r="F12" s="351" t="s">
        <v>97</v>
      </c>
      <c r="G12" s="351" t="s">
        <v>97</v>
      </c>
      <c r="H12" s="351" t="s">
        <v>97</v>
      </c>
      <c r="I12" s="351" t="s">
        <v>97</v>
      </c>
      <c r="J12" s="351" t="s">
        <v>97</v>
      </c>
      <c r="K12" s="351" t="s">
        <v>97</v>
      </c>
      <c r="L12" s="351" t="s">
        <v>97</v>
      </c>
      <c r="M12" s="351" t="s">
        <v>97</v>
      </c>
      <c r="N12" s="351" t="s">
        <v>97</v>
      </c>
      <c r="O12" s="351" t="s">
        <v>97</v>
      </c>
      <c r="P12" s="351" t="s">
        <v>97</v>
      </c>
      <c r="Q12" s="351" t="s">
        <v>97</v>
      </c>
      <c r="R12" s="351" t="s">
        <v>97</v>
      </c>
      <c r="S12" s="351" t="s">
        <v>97</v>
      </c>
      <c r="T12" s="351" t="s">
        <v>97</v>
      </c>
      <c r="U12" s="351" t="s">
        <v>97</v>
      </c>
      <c r="V12" s="351" t="s">
        <v>97</v>
      </c>
      <c r="W12" s="351" t="s">
        <v>97</v>
      </c>
      <c r="X12" s="351" t="s">
        <v>97</v>
      </c>
      <c r="Y12" s="351" t="s">
        <v>97</v>
      </c>
      <c r="Z12" s="351" t="s">
        <v>97</v>
      </c>
      <c r="AA12" s="351" t="s">
        <v>97</v>
      </c>
      <c r="AB12" s="351" t="s">
        <v>97</v>
      </c>
      <c r="AC12" s="351" t="s">
        <v>97</v>
      </c>
      <c r="AD12" s="351" t="s">
        <v>97</v>
      </c>
      <c r="AE12" s="351" t="s">
        <v>97</v>
      </c>
      <c r="AF12" s="351" t="s">
        <v>97</v>
      </c>
      <c r="AG12" s="351" t="s">
        <v>97</v>
      </c>
      <c r="AH12" s="351" t="s">
        <v>97</v>
      </c>
      <c r="AI12" s="351" t="s">
        <v>97</v>
      </c>
      <c r="AJ12" s="351" t="s">
        <v>97</v>
      </c>
      <c r="AK12" s="351" t="s">
        <v>97</v>
      </c>
      <c r="AL12" s="351" t="s">
        <v>97</v>
      </c>
      <c r="AM12" s="351" t="s">
        <v>97</v>
      </c>
      <c r="AN12" s="351" t="s">
        <v>97</v>
      </c>
      <c r="AO12" s="351" t="s">
        <v>97</v>
      </c>
      <c r="AP12" s="351" t="s">
        <v>97</v>
      </c>
      <c r="AQ12" s="351" t="s">
        <v>97</v>
      </c>
      <c r="AR12" s="351" t="s">
        <v>97</v>
      </c>
      <c r="AS12" s="351" t="s">
        <v>97</v>
      </c>
      <c r="AT12" s="351" t="s">
        <v>97</v>
      </c>
      <c r="AU12" s="351" t="s">
        <v>97</v>
      </c>
      <c r="AV12" s="351" t="s">
        <v>97</v>
      </c>
      <c r="AW12" s="351" t="s">
        <v>97</v>
      </c>
      <c r="AX12" s="351" t="s">
        <v>97</v>
      </c>
      <c r="AY12" s="348">
        <v>201.13192205882842</v>
      </c>
      <c r="AZ12" s="348">
        <v>667</v>
      </c>
      <c r="BA12" s="348">
        <v>440</v>
      </c>
      <c r="BB12" s="348">
        <v>650</v>
      </c>
      <c r="BC12" s="348">
        <v>431</v>
      </c>
      <c r="BD12" s="348">
        <v>610</v>
      </c>
      <c r="BE12" s="348">
        <v>562</v>
      </c>
      <c r="BF12" s="348">
        <v>606</v>
      </c>
      <c r="BG12" s="348">
        <v>481</v>
      </c>
      <c r="BH12" s="348">
        <v>664</v>
      </c>
      <c r="BI12" s="348">
        <v>812</v>
      </c>
      <c r="BJ12" s="348">
        <v>888</v>
      </c>
      <c r="BK12" s="348">
        <v>529</v>
      </c>
      <c r="BL12" s="348">
        <v>450</v>
      </c>
      <c r="BM12" s="348">
        <v>105</v>
      </c>
      <c r="BN12" s="348">
        <v>327</v>
      </c>
      <c r="BO12" s="348">
        <v>756</v>
      </c>
      <c r="BP12" s="348">
        <v>964</v>
      </c>
      <c r="BQ12" s="348">
        <v>383</v>
      </c>
      <c r="BR12" s="348">
        <v>240</v>
      </c>
      <c r="BS12" s="348">
        <v>155</v>
      </c>
      <c r="BT12" s="348">
        <v>408</v>
      </c>
      <c r="BU12" s="348">
        <v>341</v>
      </c>
      <c r="BV12" s="348">
        <v>239</v>
      </c>
      <c r="BW12" s="348">
        <v>339</v>
      </c>
      <c r="BX12" s="348">
        <v>194</v>
      </c>
      <c r="BY12" s="348">
        <v>179</v>
      </c>
      <c r="BZ12" s="348">
        <v>539</v>
      </c>
      <c r="CA12" s="348">
        <v>513</v>
      </c>
      <c r="CB12" s="348">
        <v>140</v>
      </c>
      <c r="CC12" s="348">
        <v>1</v>
      </c>
      <c r="CD12" s="351">
        <v>18</v>
      </c>
      <c r="CE12" s="351">
        <v>130</v>
      </c>
      <c r="CF12" s="351">
        <v>135</v>
      </c>
      <c r="CG12" s="351">
        <v>62</v>
      </c>
      <c r="CH12" s="351">
        <v>182</v>
      </c>
      <c r="CI12" s="351">
        <v>197.03087958774086</v>
      </c>
      <c r="CJ12" s="351">
        <v>216.99359982739452</v>
      </c>
      <c r="CK12" s="351">
        <v>161.98247673361166</v>
      </c>
      <c r="CL12" s="351">
        <v>112.98731095461419</v>
      </c>
      <c r="CM12" s="351">
        <v>102.88211435270695</v>
      </c>
      <c r="CN12" s="351">
        <v>122.4765469867388</v>
      </c>
    </row>
    <row r="13" spans="2:92" ht="15" customHeight="1">
      <c r="B13" s="244" t="s">
        <v>235</v>
      </c>
      <c r="C13" s="246" t="s">
        <v>97</v>
      </c>
      <c r="D13" s="246" t="s">
        <v>97</v>
      </c>
      <c r="E13" s="246" t="s">
        <v>97</v>
      </c>
      <c r="F13" s="246" t="s">
        <v>97</v>
      </c>
      <c r="G13" s="246" t="s">
        <v>97</v>
      </c>
      <c r="H13" s="246" t="s">
        <v>97</v>
      </c>
      <c r="I13" s="246" t="s">
        <v>97</v>
      </c>
      <c r="J13" s="246" t="s">
        <v>97</v>
      </c>
      <c r="K13" s="246" t="s">
        <v>97</v>
      </c>
      <c r="L13" s="246" t="s">
        <v>97</v>
      </c>
      <c r="M13" s="246" t="s">
        <v>97</v>
      </c>
      <c r="N13" s="246" t="s">
        <v>97</v>
      </c>
      <c r="O13" s="246" t="s">
        <v>97</v>
      </c>
      <c r="P13" s="246" t="s">
        <v>97</v>
      </c>
      <c r="Q13" s="246" t="s">
        <v>97</v>
      </c>
      <c r="R13" s="246" t="s">
        <v>97</v>
      </c>
      <c r="S13" s="246" t="s">
        <v>97</v>
      </c>
      <c r="T13" s="246" t="s">
        <v>97</v>
      </c>
      <c r="U13" s="246" t="s">
        <v>97</v>
      </c>
      <c r="V13" s="246" t="s">
        <v>97</v>
      </c>
      <c r="W13" s="246" t="s">
        <v>97</v>
      </c>
      <c r="X13" s="246" t="s">
        <v>97</v>
      </c>
      <c r="Y13" s="246" t="s">
        <v>97</v>
      </c>
      <c r="Z13" s="246" t="s">
        <v>97</v>
      </c>
      <c r="AA13" s="246" t="s">
        <v>97</v>
      </c>
      <c r="AB13" s="246" t="s">
        <v>97</v>
      </c>
      <c r="AC13" s="246" t="s">
        <v>97</v>
      </c>
      <c r="AD13" s="246" t="s">
        <v>97</v>
      </c>
      <c r="AE13" s="246" t="s">
        <v>97</v>
      </c>
      <c r="AF13" s="246" t="s">
        <v>97</v>
      </c>
      <c r="AG13" s="246" t="s">
        <v>97</v>
      </c>
      <c r="AH13" s="246" t="s">
        <v>97</v>
      </c>
      <c r="AI13" s="246" t="s">
        <v>97</v>
      </c>
      <c r="AJ13" s="246" t="s">
        <v>97</v>
      </c>
      <c r="AK13" s="246" t="s">
        <v>97</v>
      </c>
      <c r="AL13" s="246" t="s">
        <v>97</v>
      </c>
      <c r="AM13" s="246" t="s">
        <v>97</v>
      </c>
      <c r="AN13" s="246" t="s">
        <v>97</v>
      </c>
      <c r="AO13" s="246" t="s">
        <v>97</v>
      </c>
      <c r="AP13" s="246" t="s">
        <v>97</v>
      </c>
      <c r="AQ13" s="246" t="s">
        <v>97</v>
      </c>
      <c r="AR13" s="246" t="s">
        <v>97</v>
      </c>
      <c r="AS13" s="246" t="s">
        <v>97</v>
      </c>
      <c r="AT13" s="246" t="s">
        <v>97</v>
      </c>
      <c r="AU13" s="246" t="s">
        <v>97</v>
      </c>
      <c r="AV13" s="246" t="s">
        <v>97</v>
      </c>
      <c r="AW13" s="246" t="s">
        <v>97</v>
      </c>
      <c r="AX13" s="246" t="s">
        <v>97</v>
      </c>
      <c r="AY13" s="246" t="s">
        <v>97</v>
      </c>
      <c r="AZ13" s="246" t="s">
        <v>97</v>
      </c>
      <c r="BA13" s="246" t="s">
        <v>97</v>
      </c>
      <c r="BB13" s="246" t="s">
        <v>97</v>
      </c>
      <c r="BC13" s="246" t="s">
        <v>97</v>
      </c>
      <c r="BD13" s="246" t="s">
        <v>97</v>
      </c>
      <c r="BE13" s="246" t="s">
        <v>97</v>
      </c>
      <c r="BF13" s="246" t="s">
        <v>97</v>
      </c>
      <c r="BG13" s="246" t="s">
        <v>97</v>
      </c>
      <c r="BH13" s="246" t="s">
        <v>97</v>
      </c>
      <c r="BI13" s="246" t="s">
        <v>97</v>
      </c>
      <c r="BJ13" s="246" t="s">
        <v>97</v>
      </c>
      <c r="BK13" s="246" t="s">
        <v>97</v>
      </c>
      <c r="BL13" s="246" t="s">
        <v>97</v>
      </c>
      <c r="BM13" s="246" t="s">
        <v>97</v>
      </c>
      <c r="BN13" s="246" t="s">
        <v>97</v>
      </c>
      <c r="BO13" s="246" t="s">
        <v>97</v>
      </c>
      <c r="BP13" s="246" t="s">
        <v>97</v>
      </c>
      <c r="BQ13" s="246" t="s">
        <v>97</v>
      </c>
      <c r="BR13" s="246" t="s">
        <v>97</v>
      </c>
      <c r="BS13" s="246" t="s">
        <v>97</v>
      </c>
      <c r="BT13" s="246" t="s">
        <v>97</v>
      </c>
      <c r="BU13" s="246" t="s">
        <v>97</v>
      </c>
      <c r="BV13" s="245">
        <v>32581.215799999998</v>
      </c>
      <c r="BW13" s="245">
        <v>38772.986193548393</v>
      </c>
      <c r="BX13" s="245">
        <v>37745.688857142864</v>
      </c>
      <c r="BY13" s="245">
        <v>38170.21896774193</v>
      </c>
      <c r="BZ13" s="245">
        <v>39274.579866666674</v>
      </c>
      <c r="CA13" s="245">
        <v>39569.884645161299</v>
      </c>
      <c r="CB13" s="245">
        <v>38787.245466666667</v>
      </c>
      <c r="CC13" s="245">
        <v>25779.049806451618</v>
      </c>
      <c r="CD13" s="246">
        <v>17660.975096774193</v>
      </c>
      <c r="CE13" s="246" t="s">
        <v>97</v>
      </c>
      <c r="CF13" s="246">
        <v>18479.137032258062</v>
      </c>
      <c r="CG13" s="246">
        <v>68782.618819631491</v>
      </c>
      <c r="CH13" s="246">
        <v>82213.819292116154</v>
      </c>
      <c r="CI13" s="245">
        <v>82455.071230400194</v>
      </c>
      <c r="CJ13" s="245">
        <v>78010.076072020456</v>
      </c>
      <c r="CK13" s="245">
        <v>80339.233731679298</v>
      </c>
      <c r="CL13" s="245">
        <v>72001.166134632891</v>
      </c>
      <c r="CM13" s="245">
        <v>72932.002565248549</v>
      </c>
      <c r="CN13" s="245">
        <v>78490.171074648984</v>
      </c>
    </row>
    <row r="14" spans="2:92" ht="15" customHeight="1">
      <c r="B14" s="247" t="s">
        <v>236</v>
      </c>
      <c r="C14" s="248">
        <f>SUM(C3)+C9</f>
        <v>6691.6992808279856</v>
      </c>
      <c r="D14" s="248">
        <f>SUM(D3)+D9</f>
        <v>12839.465033768847</v>
      </c>
      <c r="E14" s="248">
        <f t="shared" ref="E14:Y14" si="34">SUM(E3:E4)+E6+E9</f>
        <v>20899.629206066005</v>
      </c>
      <c r="F14" s="248">
        <f t="shared" si="34"/>
        <v>20975.294096648664</v>
      </c>
      <c r="G14" s="248">
        <f t="shared" si="34"/>
        <v>20940.181359817805</v>
      </c>
      <c r="H14" s="248">
        <f t="shared" si="34"/>
        <v>19381.89035335369</v>
      </c>
      <c r="I14" s="248">
        <f t="shared" si="34"/>
        <v>19861.677154093937</v>
      </c>
      <c r="J14" s="248">
        <f t="shared" si="34"/>
        <v>21103.77445245647</v>
      </c>
      <c r="K14" s="248">
        <f t="shared" si="34"/>
        <v>20285.009614330305</v>
      </c>
      <c r="L14" s="248">
        <f t="shared" si="34"/>
        <v>24588.287233735457</v>
      </c>
      <c r="M14" s="248">
        <f t="shared" si="34"/>
        <v>23239.466219131627</v>
      </c>
      <c r="N14" s="248">
        <f t="shared" si="34"/>
        <v>24151.620730090333</v>
      </c>
      <c r="O14" s="248">
        <f t="shared" si="34"/>
        <v>23953.811135062955</v>
      </c>
      <c r="P14" s="248">
        <f t="shared" si="34"/>
        <v>23057.577325940452</v>
      </c>
      <c r="Q14" s="248">
        <f t="shared" si="34"/>
        <v>23274.353914897638</v>
      </c>
      <c r="R14" s="248">
        <f t="shared" si="34"/>
        <v>24464.654554699144</v>
      </c>
      <c r="S14" s="248">
        <f t="shared" si="34"/>
        <v>23656.842128761353</v>
      </c>
      <c r="T14" s="248">
        <f t="shared" si="34"/>
        <v>22477.379329248375</v>
      </c>
      <c r="U14" s="248">
        <f t="shared" si="34"/>
        <v>23211.017911257582</v>
      </c>
      <c r="V14" s="248">
        <f t="shared" si="34"/>
        <v>31840.135966569309</v>
      </c>
      <c r="W14" s="248">
        <f t="shared" si="34"/>
        <v>32937.729917684963</v>
      </c>
      <c r="X14" s="248">
        <f t="shared" si="34"/>
        <v>30941.871295294215</v>
      </c>
      <c r="Y14" s="248">
        <f t="shared" si="34"/>
        <v>27293.381888826796</v>
      </c>
      <c r="Z14" s="248">
        <f>SUM(Z3:Z4)+Z6+Z9</f>
        <v>31733.697654672746</v>
      </c>
      <c r="AA14" s="248">
        <f t="shared" ref="AA14:AX14" si="35">SUM(AA3:AA13)</f>
        <v>42367.04766243718</v>
      </c>
      <c r="AB14" s="248">
        <f t="shared" si="35"/>
        <v>46138.276916495481</v>
      </c>
      <c r="AC14" s="248">
        <f t="shared" si="35"/>
        <v>50703.141381701193</v>
      </c>
      <c r="AD14" s="248">
        <f t="shared" si="35"/>
        <v>47269.028376559007</v>
      </c>
      <c r="AE14" s="248">
        <f t="shared" si="35"/>
        <v>42666.787016558286</v>
      </c>
      <c r="AF14" s="248">
        <f t="shared" si="35"/>
        <v>48566.641592610387</v>
      </c>
      <c r="AG14" s="248">
        <f t="shared" si="35"/>
        <v>46843.984710671139</v>
      </c>
      <c r="AH14" s="248">
        <f t="shared" si="35"/>
        <v>50181.083178758767</v>
      </c>
      <c r="AI14" s="248">
        <f t="shared" si="35"/>
        <v>47031.528793101512</v>
      </c>
      <c r="AJ14" s="248">
        <f t="shared" si="35"/>
        <v>47110.403972829525</v>
      </c>
      <c r="AK14" s="248">
        <f t="shared" si="35"/>
        <v>45078.707282530711</v>
      </c>
      <c r="AL14" s="248">
        <f t="shared" si="35"/>
        <v>49790.399674622342</v>
      </c>
      <c r="AM14" s="248">
        <f t="shared" si="35"/>
        <v>50780.982304052864</v>
      </c>
      <c r="AN14" s="248">
        <f t="shared" si="35"/>
        <v>51429.1725135085</v>
      </c>
      <c r="AO14" s="248">
        <f t="shared" si="35"/>
        <v>50572.840104705851</v>
      </c>
      <c r="AP14" s="248">
        <f t="shared" si="35"/>
        <v>48613.47981518443</v>
      </c>
      <c r="AQ14" s="248">
        <f t="shared" si="35"/>
        <v>49422.738872896414</v>
      </c>
      <c r="AR14" s="248">
        <f t="shared" si="35"/>
        <v>46150.980245514373</v>
      </c>
      <c r="AS14" s="248">
        <f t="shared" si="35"/>
        <v>75332.589143216042</v>
      </c>
      <c r="AT14" s="248">
        <f t="shared" si="35"/>
        <v>63908.007969574035</v>
      </c>
      <c r="AU14" s="248">
        <f t="shared" si="35"/>
        <v>82113.905654469665</v>
      </c>
      <c r="AV14" s="248">
        <f t="shared" si="35"/>
        <v>80910.729027048714</v>
      </c>
      <c r="AW14" s="248">
        <f t="shared" si="35"/>
        <v>81258.153363565041</v>
      </c>
      <c r="AX14" s="248">
        <f t="shared" si="35"/>
        <v>78602.850230216165</v>
      </c>
      <c r="AY14" s="248">
        <f t="shared" ref="AY14:BU14" si="36">AY5+AY6+AY10</f>
        <v>50874.95897532544</v>
      </c>
      <c r="AZ14" s="248">
        <f t="shared" si="36"/>
        <v>68299</v>
      </c>
      <c r="BA14" s="248">
        <f t="shared" si="36"/>
        <v>64648</v>
      </c>
      <c r="BB14" s="248">
        <f t="shared" si="36"/>
        <v>90331.473573443116</v>
      </c>
      <c r="BC14" s="248">
        <f t="shared" si="36"/>
        <v>87112.622454413562</v>
      </c>
      <c r="BD14" s="248">
        <f t="shared" si="36"/>
        <v>95969.146251696555</v>
      </c>
      <c r="BE14" s="248">
        <f t="shared" si="36"/>
        <v>99091.225320176221</v>
      </c>
      <c r="BF14" s="248">
        <f t="shared" si="36"/>
        <v>98011.363112676088</v>
      </c>
      <c r="BG14" s="248">
        <f t="shared" si="36"/>
        <v>102718.10996326229</v>
      </c>
      <c r="BH14" s="248">
        <f t="shared" si="36"/>
        <v>100004.25599039797</v>
      </c>
      <c r="BI14" s="248">
        <f t="shared" si="36"/>
        <v>99312.765356220567</v>
      </c>
      <c r="BJ14" s="248">
        <f t="shared" si="36"/>
        <v>101576.16669993039</v>
      </c>
      <c r="BK14" s="248">
        <f t="shared" si="36"/>
        <v>95583.306072466119</v>
      </c>
      <c r="BL14" s="248">
        <f t="shared" si="36"/>
        <v>82812.706980444724</v>
      </c>
      <c r="BM14" s="248">
        <f t="shared" si="36"/>
        <v>86226.857063681033</v>
      </c>
      <c r="BN14" s="248">
        <f t="shared" si="36"/>
        <v>92795.410235496296</v>
      </c>
      <c r="BO14" s="248">
        <f t="shared" si="36"/>
        <v>88702.371022230785</v>
      </c>
      <c r="BP14" s="248">
        <f t="shared" si="36"/>
        <v>88200.072128329048</v>
      </c>
      <c r="BQ14" s="248">
        <f t="shared" si="36"/>
        <v>67666.466380658851</v>
      </c>
      <c r="BR14" s="248">
        <f t="shared" si="36"/>
        <v>71715.674783187162</v>
      </c>
      <c r="BS14" s="248">
        <f t="shared" si="36"/>
        <v>71475.71768519585</v>
      </c>
      <c r="BT14" s="248">
        <f t="shared" si="36"/>
        <v>79232.90504414009</v>
      </c>
      <c r="BU14" s="248">
        <f t="shared" si="36"/>
        <v>76895.585754361062</v>
      </c>
      <c r="BV14" s="248">
        <f t="shared" ref="BV14:CD14" si="37">BV5+BV6+BV10+BV13</f>
        <v>106270.3868811554</v>
      </c>
      <c r="BW14" s="248">
        <f t="shared" si="37"/>
        <v>114454.46711564373</v>
      </c>
      <c r="BX14" s="248">
        <f t="shared" si="37"/>
        <v>108559.84160952867</v>
      </c>
      <c r="BY14" s="248">
        <f t="shared" si="37"/>
        <v>104792.28276361796</v>
      </c>
      <c r="BZ14" s="248">
        <f t="shared" si="37"/>
        <v>91132.697843172267</v>
      </c>
      <c r="CA14" s="248">
        <f t="shared" si="37"/>
        <v>99765.743766671367</v>
      </c>
      <c r="CB14" s="248">
        <f t="shared" si="37"/>
        <v>109398.20920221804</v>
      </c>
      <c r="CC14" s="248">
        <f t="shared" si="37"/>
        <v>100794.31045623329</v>
      </c>
      <c r="CD14" s="248">
        <f t="shared" si="37"/>
        <v>91895.829643745092</v>
      </c>
      <c r="CE14" s="248">
        <f>CE5+CE6+CE10</f>
        <v>71268.792762952071</v>
      </c>
      <c r="CF14" s="248">
        <f>CF5+CF6+CF10+CF13</f>
        <v>89584.37870894013</v>
      </c>
      <c r="CG14" s="248">
        <f>CG5+CG6+CG10+CG13</f>
        <v>138819.27393788809</v>
      </c>
      <c r="CH14" s="248">
        <f>CH5+CH6+CH10+CH13</f>
        <v>155780.42054268683</v>
      </c>
      <c r="CI14" s="248">
        <f>CI5+CI6+CI10+CI13</f>
        <v>155560.19738177583</v>
      </c>
      <c r="CJ14" s="248">
        <f t="shared" ref="CJ14:CK14" si="38">CJ5+CJ6+CJ10+CJ13</f>
        <v>148518.43952642899</v>
      </c>
      <c r="CK14" s="248">
        <f t="shared" si="38"/>
        <v>161323.44674382888</v>
      </c>
      <c r="CL14" s="248">
        <f>CL5+CL6+CL10+CL13</f>
        <v>173416.06005408021</v>
      </c>
      <c r="CM14" s="248">
        <f t="shared" ref="CM14" si="39">CM5+CM6+CM10+CM13</f>
        <v>164806.10726798326</v>
      </c>
      <c r="CN14" s="248">
        <f>CN5+CN6+CN10+CN13</f>
        <v>178067.46813364542</v>
      </c>
    </row>
    <row r="15" spans="2:92" ht="15" customHeight="1">
      <c r="B15" s="244"/>
      <c r="C15" s="249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</row>
    <row r="16" spans="2:92" s="243" customFormat="1" ht="15" customHeight="1">
      <c r="B16" s="251" t="s">
        <v>237</v>
      </c>
      <c r="C16" s="252">
        <v>43466</v>
      </c>
      <c r="D16" s="252">
        <f t="shared" ref="D16:AS16" si="40">+DATE(YEAR(C16),MONTH(C16)+1,DAY(C16))</f>
        <v>43497</v>
      </c>
      <c r="E16" s="252">
        <f t="shared" si="40"/>
        <v>43525</v>
      </c>
      <c r="F16" s="252">
        <f t="shared" si="40"/>
        <v>43556</v>
      </c>
      <c r="G16" s="252">
        <f t="shared" si="40"/>
        <v>43586</v>
      </c>
      <c r="H16" s="252">
        <f t="shared" si="40"/>
        <v>43617</v>
      </c>
      <c r="I16" s="252">
        <f t="shared" si="40"/>
        <v>43647</v>
      </c>
      <c r="J16" s="252">
        <f t="shared" si="40"/>
        <v>43678</v>
      </c>
      <c r="K16" s="252">
        <f t="shared" si="40"/>
        <v>43709</v>
      </c>
      <c r="L16" s="252">
        <f t="shared" si="40"/>
        <v>43739</v>
      </c>
      <c r="M16" s="252">
        <f t="shared" si="40"/>
        <v>43770</v>
      </c>
      <c r="N16" s="252">
        <f t="shared" si="40"/>
        <v>43800</v>
      </c>
      <c r="O16" s="252">
        <f t="shared" si="40"/>
        <v>43831</v>
      </c>
      <c r="P16" s="252">
        <f t="shared" si="40"/>
        <v>43862</v>
      </c>
      <c r="Q16" s="252">
        <f t="shared" si="40"/>
        <v>43891</v>
      </c>
      <c r="R16" s="252">
        <f t="shared" si="40"/>
        <v>43922</v>
      </c>
      <c r="S16" s="252">
        <f t="shared" si="40"/>
        <v>43952</v>
      </c>
      <c r="T16" s="252">
        <f t="shared" si="40"/>
        <v>43983</v>
      </c>
      <c r="U16" s="252">
        <f t="shared" si="40"/>
        <v>44013</v>
      </c>
      <c r="V16" s="252">
        <f t="shared" si="40"/>
        <v>44044</v>
      </c>
      <c r="W16" s="252">
        <f t="shared" si="40"/>
        <v>44075</v>
      </c>
      <c r="X16" s="252">
        <f t="shared" si="40"/>
        <v>44105</v>
      </c>
      <c r="Y16" s="252">
        <f t="shared" si="40"/>
        <v>44136</v>
      </c>
      <c r="Z16" s="252">
        <f t="shared" si="40"/>
        <v>44166</v>
      </c>
      <c r="AA16" s="252">
        <f t="shared" si="40"/>
        <v>44197</v>
      </c>
      <c r="AB16" s="252">
        <f t="shared" si="40"/>
        <v>44228</v>
      </c>
      <c r="AC16" s="252">
        <f t="shared" si="40"/>
        <v>44256</v>
      </c>
      <c r="AD16" s="252">
        <f t="shared" si="40"/>
        <v>44287</v>
      </c>
      <c r="AE16" s="252">
        <f t="shared" si="40"/>
        <v>44317</v>
      </c>
      <c r="AF16" s="252">
        <f t="shared" si="40"/>
        <v>44348</v>
      </c>
      <c r="AG16" s="252">
        <f t="shared" si="40"/>
        <v>44378</v>
      </c>
      <c r="AH16" s="252">
        <f t="shared" si="40"/>
        <v>44409</v>
      </c>
      <c r="AI16" s="252">
        <f t="shared" si="40"/>
        <v>44440</v>
      </c>
      <c r="AJ16" s="252">
        <f t="shared" si="40"/>
        <v>44470</v>
      </c>
      <c r="AK16" s="252">
        <f t="shared" si="40"/>
        <v>44501</v>
      </c>
      <c r="AL16" s="252">
        <f t="shared" si="40"/>
        <v>44531</v>
      </c>
      <c r="AM16" s="252">
        <f t="shared" si="40"/>
        <v>44562</v>
      </c>
      <c r="AN16" s="252">
        <f t="shared" si="40"/>
        <v>44593</v>
      </c>
      <c r="AO16" s="252">
        <f t="shared" si="40"/>
        <v>44621</v>
      </c>
      <c r="AP16" s="252">
        <f t="shared" si="40"/>
        <v>44652</v>
      </c>
      <c r="AQ16" s="252">
        <f t="shared" si="40"/>
        <v>44682</v>
      </c>
      <c r="AR16" s="252">
        <f t="shared" si="40"/>
        <v>44713</v>
      </c>
      <c r="AS16" s="252">
        <f t="shared" si="40"/>
        <v>44743</v>
      </c>
      <c r="AT16" s="252">
        <f t="shared" ref="AT16" si="41">+DATE(YEAR(AS16),MONTH(AS16)+1,DAY(AS16))</f>
        <v>44774</v>
      </c>
      <c r="AU16" s="252">
        <f t="shared" ref="AU16" si="42">+DATE(YEAR(AT16),MONTH(AT16)+1,DAY(AT16))</f>
        <v>44805</v>
      </c>
      <c r="AV16" s="252">
        <f t="shared" ref="AV16" si="43">+DATE(YEAR(AU16),MONTH(AU16)+1,DAY(AU16))</f>
        <v>44835</v>
      </c>
      <c r="AW16" s="252">
        <f t="shared" ref="AW16" si="44">+DATE(YEAR(AV16),MONTH(AV16)+1,DAY(AV16))</f>
        <v>44866</v>
      </c>
      <c r="AX16" s="252">
        <f t="shared" ref="AX16" si="45">+DATE(YEAR(AW16),MONTH(AW16)+1,DAY(AW16))</f>
        <v>44896</v>
      </c>
      <c r="AY16" s="252">
        <f t="shared" ref="AY16" si="46">+DATE(YEAR(AX16),MONTH(AX16)+1,DAY(AX16))</f>
        <v>44927</v>
      </c>
      <c r="AZ16" s="252">
        <v>44985</v>
      </c>
      <c r="BA16" s="252">
        <v>44986</v>
      </c>
      <c r="BB16" s="252">
        <f t="shared" ref="BB16:BE16" si="47">+DATE(YEAR(BA16),MONTH(BA16)+1,DAY(BA16))</f>
        <v>45017</v>
      </c>
      <c r="BC16" s="252">
        <f t="shared" ref="BC16" si="48">+DATE(YEAR(BB16),MONTH(BB16)+1,DAY(BB16))</f>
        <v>45047</v>
      </c>
      <c r="BD16" s="252">
        <f t="shared" si="47"/>
        <v>45078</v>
      </c>
      <c r="BE16" s="252">
        <f t="shared" si="47"/>
        <v>45108</v>
      </c>
      <c r="BF16" s="252">
        <f t="shared" ref="BF16" si="49">+DATE(YEAR(BE16),MONTH(BE16)+1,DAY(BE16))</f>
        <v>45139</v>
      </c>
      <c r="BG16" s="252">
        <f t="shared" ref="BG16" si="50">+DATE(YEAR(BF16),MONTH(BF16)+1,DAY(BF16))</f>
        <v>45170</v>
      </c>
      <c r="BH16" s="252">
        <f t="shared" ref="BH16" si="51">+DATE(YEAR(BG16),MONTH(BG16)+1,DAY(BG16))</f>
        <v>45200</v>
      </c>
      <c r="BI16" s="252">
        <f t="shared" ref="BI16" si="52">+DATE(YEAR(BH16),MONTH(BH16)+1,DAY(BH16))</f>
        <v>45231</v>
      </c>
      <c r="BJ16" s="252">
        <f t="shared" ref="BJ16:BM16" si="53">+DATE(YEAR(BI16),MONTH(BI16)+1,DAY(BI16))</f>
        <v>45261</v>
      </c>
      <c r="BK16" s="252">
        <f t="shared" si="53"/>
        <v>45292</v>
      </c>
      <c r="BL16" s="252">
        <f t="shared" si="53"/>
        <v>45323</v>
      </c>
      <c r="BM16" s="252">
        <f t="shared" si="53"/>
        <v>45352</v>
      </c>
      <c r="BN16" s="252">
        <f t="shared" ref="BN16" si="54">+DATE(YEAR(BM16),MONTH(BM16)+1,DAY(BM16))</f>
        <v>45383</v>
      </c>
      <c r="BO16" s="252">
        <f t="shared" ref="BO16" si="55">+DATE(YEAR(BN16),MONTH(BN16)+1,DAY(BN16))</f>
        <v>45413</v>
      </c>
      <c r="BP16" s="252">
        <f t="shared" ref="BP16" si="56">+DATE(YEAR(BO16),MONTH(BO16)+1,DAY(BO16))</f>
        <v>45444</v>
      </c>
      <c r="BQ16" s="252">
        <f t="shared" ref="BQ16" si="57">+DATE(YEAR(BP16),MONTH(BP16)+1,DAY(BP16))</f>
        <v>45474</v>
      </c>
      <c r="BR16" s="252">
        <f t="shared" ref="BR16" si="58">+DATE(YEAR(BQ16),MONTH(BQ16)+1,DAY(BQ16))</f>
        <v>45505</v>
      </c>
      <c r="BS16" s="252">
        <f t="shared" ref="BS16" si="59">+DATE(YEAR(BR16),MONTH(BR16)+1,DAY(BR16))</f>
        <v>45536</v>
      </c>
      <c r="BT16" s="252">
        <f t="shared" ref="BT16" si="60">+DATE(YEAR(BS16),MONTH(BS16)+1,DAY(BS16))</f>
        <v>45566</v>
      </c>
      <c r="BU16" s="252">
        <f t="shared" ref="BU16" si="61">+DATE(YEAR(BT16),MONTH(BT16)+1,DAY(BT16))</f>
        <v>45597</v>
      </c>
      <c r="BV16" s="252">
        <f t="shared" ref="BV16" si="62">+DATE(YEAR(BU16),MONTH(BU16)+1,DAY(BU16))</f>
        <v>45627</v>
      </c>
      <c r="BW16" s="252">
        <f t="shared" ref="BW16" si="63">+DATE(YEAR(BV16),MONTH(BV16)+1,DAY(BV16))</f>
        <v>45658</v>
      </c>
      <c r="BX16" s="252">
        <f t="shared" ref="BX16" si="64">+DATE(YEAR(BW16),MONTH(BW16)+1,DAY(BW16))</f>
        <v>45689</v>
      </c>
      <c r="BY16" s="252">
        <f t="shared" ref="BY16" si="65">+DATE(YEAR(BX16),MONTH(BX16)+1,DAY(BX16))</f>
        <v>45717</v>
      </c>
      <c r="BZ16" s="252">
        <f t="shared" ref="BZ16" si="66">+DATE(YEAR(BY16),MONTH(BY16)+1,DAY(BY16))</f>
        <v>45748</v>
      </c>
      <c r="CA16" s="252">
        <f t="shared" ref="CA16" si="67">+DATE(YEAR(BZ16),MONTH(BZ16)+1,DAY(BZ16))</f>
        <v>45778</v>
      </c>
      <c r="CB16" s="252">
        <f t="shared" ref="CB16:CC16" si="68">+DATE(YEAR(CA16),MONTH(CA16)+1,DAY(CA16))</f>
        <v>45809</v>
      </c>
      <c r="CC16" s="252">
        <f t="shared" si="68"/>
        <v>45839</v>
      </c>
      <c r="CD16" s="252">
        <f t="shared" ref="CD16" si="69">+DATE(YEAR(CC16),MONTH(CC16)+1,DAY(CC16))</f>
        <v>45870</v>
      </c>
      <c r="CE16" s="252">
        <f t="shared" ref="CE16" si="70">+DATE(YEAR(CD16),MONTH(CD16)+1,DAY(CD16))</f>
        <v>45901</v>
      </c>
      <c r="CF16" s="252">
        <f t="shared" ref="CF16" si="71">+DATE(YEAR(CE16),MONTH(CE16)+1,DAY(CE16))</f>
        <v>45931</v>
      </c>
      <c r="CG16" s="252">
        <f t="shared" ref="CG16" si="72">+DATE(YEAR(CF16),MONTH(CF16)+1,DAY(CF16))</f>
        <v>45962</v>
      </c>
      <c r="CH16" s="252">
        <f t="shared" ref="CH16" si="73">+DATE(YEAR(CG16),MONTH(CG16)+1,DAY(CG16))</f>
        <v>45992</v>
      </c>
      <c r="CI16" s="252">
        <f t="shared" ref="CI16" si="74">+DATE(YEAR(CH16),MONTH(CH16)+1,DAY(CH16))</f>
        <v>46023</v>
      </c>
      <c r="CJ16" s="252">
        <f t="shared" ref="CJ16" si="75">+DATE(YEAR(CI16),MONTH(CI16)+1,DAY(CI16))</f>
        <v>46054</v>
      </c>
      <c r="CK16" s="252">
        <f t="shared" ref="CK16" si="76">+DATE(YEAR(CJ16),MONTH(CJ16)+1,DAY(CJ16))</f>
        <v>46082</v>
      </c>
      <c r="CL16" s="252">
        <f t="shared" ref="CL16" si="77">+DATE(YEAR(CK16),MONTH(CK16)+1,DAY(CK16))</f>
        <v>46113</v>
      </c>
      <c r="CM16" s="252">
        <f t="shared" ref="CM16" si="78">+DATE(YEAR(CL16),MONTH(CL16)+1,DAY(CL16))</f>
        <v>46143</v>
      </c>
      <c r="CN16" s="252">
        <f t="shared" ref="CN16" si="79">+DATE(YEAR(CM16),MONTH(CM16)+1,DAY(CM16))</f>
        <v>46174</v>
      </c>
    </row>
    <row r="17" spans="2:92" ht="15" customHeight="1">
      <c r="B17" s="244" t="s">
        <v>229</v>
      </c>
      <c r="C17" s="246" t="s">
        <v>97</v>
      </c>
      <c r="D17" s="245">
        <v>544614</v>
      </c>
      <c r="E17" s="246" t="s">
        <v>97</v>
      </c>
      <c r="F17" s="245">
        <v>530443</v>
      </c>
      <c r="G17" s="246" t="s">
        <v>97</v>
      </c>
      <c r="H17" s="245">
        <v>494907</v>
      </c>
      <c r="I17" s="246" t="s">
        <v>97</v>
      </c>
      <c r="J17" s="246" t="s">
        <v>97</v>
      </c>
      <c r="K17" s="245">
        <v>508034</v>
      </c>
      <c r="L17" s="246" t="s">
        <v>97</v>
      </c>
      <c r="M17" s="245">
        <v>478806</v>
      </c>
      <c r="N17" s="245">
        <v>451464</v>
      </c>
      <c r="O17" s="246" t="s">
        <v>97</v>
      </c>
      <c r="P17" s="246" t="s">
        <v>97</v>
      </c>
      <c r="Q17" s="245">
        <v>470171</v>
      </c>
      <c r="R17" s="246" t="s">
        <v>97</v>
      </c>
      <c r="S17" s="246" t="s">
        <v>97</v>
      </c>
      <c r="T17" s="245">
        <v>446852</v>
      </c>
      <c r="U17" s="245">
        <v>497664</v>
      </c>
      <c r="V17" s="246" t="s">
        <v>97</v>
      </c>
      <c r="W17" s="245">
        <v>504231</v>
      </c>
      <c r="X17" s="246" t="s">
        <v>97</v>
      </c>
      <c r="Y17" s="245">
        <v>510030</v>
      </c>
      <c r="Z17" s="245">
        <v>477725</v>
      </c>
      <c r="AA17" s="246" t="s">
        <v>97</v>
      </c>
      <c r="AB17" s="245">
        <v>514794</v>
      </c>
      <c r="AC17" s="246" t="s">
        <v>97</v>
      </c>
      <c r="AD17" s="245">
        <v>601345</v>
      </c>
      <c r="AE17" s="246" t="s">
        <v>97</v>
      </c>
      <c r="AF17" s="245">
        <v>393610</v>
      </c>
      <c r="AG17" s="245">
        <v>754168</v>
      </c>
      <c r="AH17" s="246" t="s">
        <v>97</v>
      </c>
      <c r="AI17" s="246" t="s">
        <v>97</v>
      </c>
      <c r="AJ17" s="246" t="s">
        <v>97</v>
      </c>
      <c r="AK17" s="246" t="s">
        <v>97</v>
      </c>
      <c r="AL17" s="246" t="s">
        <v>97</v>
      </c>
      <c r="AM17" s="246" t="s">
        <v>97</v>
      </c>
      <c r="AN17" s="246" t="s">
        <v>97</v>
      </c>
      <c r="AO17" s="246" t="s">
        <v>97</v>
      </c>
      <c r="AP17" s="246" t="s">
        <v>97</v>
      </c>
      <c r="AQ17" s="246" t="s">
        <v>97</v>
      </c>
      <c r="AR17" s="246" t="s">
        <v>97</v>
      </c>
      <c r="AS17" s="246" t="s">
        <v>97</v>
      </c>
      <c r="AT17" s="246" t="s">
        <v>97</v>
      </c>
      <c r="AU17" s="246" t="s">
        <v>97</v>
      </c>
      <c r="AV17" s="246" t="s">
        <v>97</v>
      </c>
      <c r="AW17" s="246" t="s">
        <v>97</v>
      </c>
      <c r="AX17" s="246" t="s">
        <v>97</v>
      </c>
      <c r="AY17" s="246" t="s">
        <v>97</v>
      </c>
      <c r="AZ17" s="246" t="s">
        <v>97</v>
      </c>
      <c r="BA17" s="246" t="s">
        <v>97</v>
      </c>
      <c r="BB17" s="246" t="s">
        <v>97</v>
      </c>
      <c r="BC17" s="246" t="s">
        <v>97</v>
      </c>
      <c r="BD17" s="246" t="s">
        <v>97</v>
      </c>
      <c r="BE17" s="246" t="s">
        <v>97</v>
      </c>
      <c r="BF17" s="246" t="s">
        <v>97</v>
      </c>
      <c r="BG17" s="246" t="s">
        <v>97</v>
      </c>
      <c r="BH17" s="246" t="s">
        <v>97</v>
      </c>
      <c r="BI17" s="246" t="s">
        <v>97</v>
      </c>
      <c r="BJ17" s="246" t="s">
        <v>97</v>
      </c>
      <c r="BK17" s="246" t="s">
        <v>97</v>
      </c>
      <c r="BL17" s="246" t="s">
        <v>97</v>
      </c>
      <c r="BM17" s="246" t="s">
        <v>97</v>
      </c>
      <c r="BN17" s="246" t="s">
        <v>97</v>
      </c>
      <c r="BO17" s="246" t="s">
        <v>97</v>
      </c>
      <c r="BP17" s="246" t="s">
        <v>97</v>
      </c>
      <c r="BQ17" s="246" t="s">
        <v>97</v>
      </c>
      <c r="BR17" s="246" t="s">
        <v>97</v>
      </c>
      <c r="BS17" s="246" t="s">
        <v>97</v>
      </c>
      <c r="BT17" s="246" t="s">
        <v>97</v>
      </c>
      <c r="BU17" s="246" t="s">
        <v>97</v>
      </c>
      <c r="BV17" s="246" t="s">
        <v>97</v>
      </c>
      <c r="BW17" s="246" t="s">
        <v>97</v>
      </c>
      <c r="BX17" s="246" t="s">
        <v>97</v>
      </c>
      <c r="BY17" s="246" t="s">
        <v>97</v>
      </c>
      <c r="BZ17" s="246" t="s">
        <v>97</v>
      </c>
      <c r="CA17" s="246" t="s">
        <v>97</v>
      </c>
      <c r="CB17" s="246" t="s">
        <v>97</v>
      </c>
      <c r="CC17" s="246" t="s">
        <v>97</v>
      </c>
      <c r="CD17" s="246" t="s">
        <v>97</v>
      </c>
      <c r="CE17" s="246" t="s">
        <v>97</v>
      </c>
      <c r="CF17" s="246" t="s">
        <v>97</v>
      </c>
      <c r="CG17" s="246" t="s">
        <v>97</v>
      </c>
      <c r="CH17" s="246" t="s">
        <v>97</v>
      </c>
      <c r="CI17" s="246" t="s">
        <v>97</v>
      </c>
      <c r="CJ17" s="246" t="s">
        <v>97</v>
      </c>
      <c r="CK17" s="246" t="s">
        <v>97</v>
      </c>
      <c r="CL17" s="246" t="s">
        <v>97</v>
      </c>
      <c r="CM17" s="246" t="s">
        <v>97</v>
      </c>
      <c r="CN17" s="246" t="s">
        <v>97</v>
      </c>
    </row>
    <row r="18" spans="2:92" ht="15" customHeight="1">
      <c r="B18" s="244" t="s">
        <v>230</v>
      </c>
      <c r="C18" s="246" t="s">
        <v>97</v>
      </c>
      <c r="D18" s="246" t="s">
        <v>97</v>
      </c>
      <c r="E18" s="246" t="s">
        <v>97</v>
      </c>
      <c r="F18" s="246" t="s">
        <v>97</v>
      </c>
      <c r="G18" s="246" t="s">
        <v>97</v>
      </c>
      <c r="H18" s="246" t="s">
        <v>97</v>
      </c>
      <c r="I18" s="246" t="s">
        <v>97</v>
      </c>
      <c r="J18" s="246" t="s">
        <v>97</v>
      </c>
      <c r="K18" s="246" t="s">
        <v>97</v>
      </c>
      <c r="L18" s="246" t="s">
        <v>97</v>
      </c>
      <c r="M18" s="246" t="s">
        <v>97</v>
      </c>
      <c r="N18" s="246" t="s">
        <v>97</v>
      </c>
      <c r="O18" s="246" t="s">
        <v>97</v>
      </c>
      <c r="P18" s="246" t="s">
        <v>97</v>
      </c>
      <c r="Q18" s="246" t="s">
        <v>97</v>
      </c>
      <c r="R18" s="246" t="s">
        <v>97</v>
      </c>
      <c r="S18" s="246" t="s">
        <v>97</v>
      </c>
      <c r="T18" s="246" t="s">
        <v>97</v>
      </c>
      <c r="U18" s="246" t="s">
        <v>97</v>
      </c>
      <c r="V18" s="246" t="s">
        <v>97</v>
      </c>
      <c r="W18" s="245">
        <v>402610</v>
      </c>
      <c r="X18" s="246" t="s">
        <v>97</v>
      </c>
      <c r="Y18" s="245">
        <v>396345</v>
      </c>
      <c r="Z18" s="245">
        <v>397515</v>
      </c>
      <c r="AA18" s="246" t="s">
        <v>97</v>
      </c>
      <c r="AB18" s="245">
        <v>392072</v>
      </c>
      <c r="AC18" s="246" t="s">
        <v>97</v>
      </c>
      <c r="AD18" s="245">
        <v>312163</v>
      </c>
      <c r="AE18" s="246" t="s">
        <v>97</v>
      </c>
      <c r="AF18" s="246" t="s">
        <v>97</v>
      </c>
      <c r="AG18" s="245">
        <v>319742</v>
      </c>
      <c r="AH18" s="246" t="s">
        <v>97</v>
      </c>
      <c r="AI18" s="246" t="s">
        <v>97</v>
      </c>
      <c r="AJ18" s="246" t="s">
        <v>97</v>
      </c>
      <c r="AK18" s="246" t="s">
        <v>97</v>
      </c>
      <c r="AL18" s="246" t="s">
        <v>97</v>
      </c>
      <c r="AM18" s="246" t="s">
        <v>97</v>
      </c>
      <c r="AN18" s="246" t="s">
        <v>97</v>
      </c>
      <c r="AO18" s="246" t="s">
        <v>97</v>
      </c>
      <c r="AP18" s="246" t="s">
        <v>97</v>
      </c>
      <c r="AQ18" s="246" t="s">
        <v>97</v>
      </c>
      <c r="AR18" s="246" t="s">
        <v>97</v>
      </c>
      <c r="AS18" s="246" t="s">
        <v>97</v>
      </c>
      <c r="AT18" s="246" t="s">
        <v>97</v>
      </c>
      <c r="AU18" s="246" t="s">
        <v>97</v>
      </c>
      <c r="AV18" s="246" t="s">
        <v>97</v>
      </c>
      <c r="AW18" s="246" t="s">
        <v>97</v>
      </c>
      <c r="AX18" s="246" t="s">
        <v>97</v>
      </c>
      <c r="AY18" s="246" t="s">
        <v>97</v>
      </c>
      <c r="AZ18" s="246" t="s">
        <v>97</v>
      </c>
      <c r="BA18" s="246" t="s">
        <v>97</v>
      </c>
      <c r="BB18" s="246" t="s">
        <v>97</v>
      </c>
      <c r="BC18" s="246" t="s">
        <v>97</v>
      </c>
      <c r="BD18" s="246" t="s">
        <v>97</v>
      </c>
      <c r="BE18" s="246" t="s">
        <v>97</v>
      </c>
      <c r="BF18" s="246" t="s">
        <v>97</v>
      </c>
      <c r="BG18" s="246" t="s">
        <v>97</v>
      </c>
      <c r="BH18" s="246" t="s">
        <v>97</v>
      </c>
      <c r="BI18" s="246" t="s">
        <v>97</v>
      </c>
      <c r="BJ18" s="246" t="s">
        <v>97</v>
      </c>
      <c r="BK18" s="246" t="s">
        <v>97</v>
      </c>
      <c r="BL18" s="246" t="s">
        <v>97</v>
      </c>
      <c r="BM18" s="246" t="s">
        <v>97</v>
      </c>
      <c r="BN18" s="246" t="s">
        <v>97</v>
      </c>
      <c r="BO18" s="246" t="s">
        <v>97</v>
      </c>
      <c r="BP18" s="246" t="s">
        <v>97</v>
      </c>
      <c r="BQ18" s="246" t="s">
        <v>97</v>
      </c>
      <c r="BR18" s="246" t="s">
        <v>97</v>
      </c>
      <c r="BS18" s="246" t="s">
        <v>97</v>
      </c>
      <c r="BT18" s="246" t="s">
        <v>97</v>
      </c>
      <c r="BU18" s="246" t="s">
        <v>97</v>
      </c>
      <c r="BV18" s="246" t="s">
        <v>97</v>
      </c>
      <c r="BW18" s="246" t="s">
        <v>97</v>
      </c>
      <c r="BX18" s="246" t="s">
        <v>97</v>
      </c>
      <c r="BY18" s="246" t="s">
        <v>97</v>
      </c>
      <c r="BZ18" s="246" t="s">
        <v>97</v>
      </c>
      <c r="CA18" s="246" t="s">
        <v>97</v>
      </c>
      <c r="CB18" s="246" t="s">
        <v>97</v>
      </c>
      <c r="CC18" s="246" t="s">
        <v>97</v>
      </c>
      <c r="CD18" s="246" t="s">
        <v>97</v>
      </c>
      <c r="CE18" s="246" t="s">
        <v>97</v>
      </c>
      <c r="CF18" s="246" t="s">
        <v>97</v>
      </c>
      <c r="CG18" s="246" t="s">
        <v>97</v>
      </c>
      <c r="CH18" s="246" t="s">
        <v>97</v>
      </c>
      <c r="CI18" s="246" t="s">
        <v>97</v>
      </c>
      <c r="CJ18" s="246" t="s">
        <v>97</v>
      </c>
      <c r="CK18" s="246" t="s">
        <v>97</v>
      </c>
      <c r="CL18" s="246" t="s">
        <v>97</v>
      </c>
      <c r="CM18" s="246" t="s">
        <v>97</v>
      </c>
      <c r="CN18" s="246" t="s">
        <v>97</v>
      </c>
    </row>
    <row r="19" spans="2:92" ht="15" customHeight="1">
      <c r="B19" s="244" t="s">
        <v>288</v>
      </c>
      <c r="C19" s="246" t="s">
        <v>97</v>
      </c>
      <c r="D19" s="246" t="s">
        <v>97</v>
      </c>
      <c r="E19" s="246" t="s">
        <v>97</v>
      </c>
      <c r="F19" s="246" t="s">
        <v>97</v>
      </c>
      <c r="G19" s="246" t="s">
        <v>97</v>
      </c>
      <c r="H19" s="246" t="s">
        <v>97</v>
      </c>
      <c r="I19" s="246" t="s">
        <v>97</v>
      </c>
      <c r="J19" s="246" t="s">
        <v>97</v>
      </c>
      <c r="K19" s="246" t="s">
        <v>97</v>
      </c>
      <c r="L19" s="246" t="s">
        <v>97</v>
      </c>
      <c r="M19" s="246" t="s">
        <v>97</v>
      </c>
      <c r="N19" s="246" t="s">
        <v>97</v>
      </c>
      <c r="O19" s="246" t="s">
        <v>97</v>
      </c>
      <c r="P19" s="246" t="s">
        <v>97</v>
      </c>
      <c r="Q19" s="246" t="s">
        <v>97</v>
      </c>
      <c r="R19" s="246" t="s">
        <v>97</v>
      </c>
      <c r="S19" s="246" t="s">
        <v>97</v>
      </c>
      <c r="T19" s="246" t="s">
        <v>97</v>
      </c>
      <c r="U19" s="246" t="s">
        <v>97</v>
      </c>
      <c r="V19" s="246" t="s">
        <v>97</v>
      </c>
      <c r="W19" s="246" t="s">
        <v>97</v>
      </c>
      <c r="X19" s="246" t="s">
        <v>97</v>
      </c>
      <c r="Y19" s="246" t="s">
        <v>97</v>
      </c>
      <c r="Z19" s="246" t="s">
        <v>97</v>
      </c>
      <c r="AA19" s="246" t="s">
        <v>97</v>
      </c>
      <c r="AB19" s="246" t="s">
        <v>97</v>
      </c>
      <c r="AC19" s="246" t="s">
        <v>97</v>
      </c>
      <c r="AD19" s="246" t="s">
        <v>97</v>
      </c>
      <c r="AE19" s="246" t="s">
        <v>97</v>
      </c>
      <c r="AF19" s="246" t="s">
        <v>97</v>
      </c>
      <c r="AG19" s="246" t="s">
        <v>97</v>
      </c>
      <c r="AH19" s="246" t="s">
        <v>97</v>
      </c>
      <c r="AI19" s="245">
        <v>424563</v>
      </c>
      <c r="AJ19" s="245">
        <v>916746</v>
      </c>
      <c r="AK19" s="246" t="s">
        <v>97</v>
      </c>
      <c r="AL19" s="245">
        <v>909945</v>
      </c>
      <c r="AM19" s="246" t="s">
        <v>97</v>
      </c>
      <c r="AN19" s="245">
        <v>887831</v>
      </c>
      <c r="AO19" s="245">
        <v>260860</v>
      </c>
      <c r="AP19" s="245">
        <v>882808</v>
      </c>
      <c r="AQ19" s="245">
        <v>415199</v>
      </c>
      <c r="AR19" s="245">
        <v>546007</v>
      </c>
      <c r="AS19" s="245">
        <v>468802</v>
      </c>
      <c r="AT19" s="245">
        <v>367090</v>
      </c>
      <c r="AU19" s="245">
        <v>759098</v>
      </c>
      <c r="AV19" s="246" t="s">
        <v>97</v>
      </c>
      <c r="AW19" s="245">
        <v>476459</v>
      </c>
      <c r="AX19" s="245">
        <v>321440</v>
      </c>
      <c r="AY19" s="246" t="s">
        <v>97</v>
      </c>
      <c r="AZ19" s="246" t="s">
        <v>97</v>
      </c>
      <c r="BA19" s="245">
        <v>1547294</v>
      </c>
      <c r="BB19" s="245">
        <v>503538</v>
      </c>
      <c r="BC19" s="246">
        <v>501910</v>
      </c>
      <c r="BD19" s="245">
        <v>596610.65</v>
      </c>
      <c r="BE19" s="245">
        <v>705430</v>
      </c>
      <c r="BF19" s="245">
        <v>421501</v>
      </c>
      <c r="BG19" s="245">
        <v>339525.05</v>
      </c>
      <c r="BH19" s="245">
        <v>693192.66999999993</v>
      </c>
      <c r="BI19" s="245">
        <v>439985.08</v>
      </c>
      <c r="BJ19" s="245">
        <v>708927.84</v>
      </c>
      <c r="BK19" s="245">
        <v>325549.75</v>
      </c>
      <c r="BL19" s="245">
        <v>328608.84000000003</v>
      </c>
      <c r="BM19" s="245">
        <v>359610.96</v>
      </c>
      <c r="BN19" s="245">
        <v>594421.56000000006</v>
      </c>
      <c r="BO19" s="245">
        <v>506729</v>
      </c>
      <c r="BP19" s="245">
        <v>474318.32</v>
      </c>
      <c r="BQ19" s="245">
        <v>442207.49</v>
      </c>
      <c r="BR19" s="245">
        <v>470882.29</v>
      </c>
      <c r="BS19" s="246" t="s">
        <v>97</v>
      </c>
      <c r="BT19" s="246">
        <v>379216.5</v>
      </c>
      <c r="BU19" s="246">
        <v>290817.76</v>
      </c>
      <c r="BV19" s="246">
        <v>275396.90999999997</v>
      </c>
      <c r="BW19" s="246">
        <v>270685.65999999997</v>
      </c>
      <c r="BX19" s="246">
        <v>376737.63</v>
      </c>
      <c r="BY19" s="246">
        <v>597739.23</v>
      </c>
      <c r="BZ19" s="246">
        <v>407156.56999999995</v>
      </c>
      <c r="CA19" s="246">
        <v>199620.63</v>
      </c>
      <c r="CB19" s="246">
        <v>173694.87</v>
      </c>
      <c r="CC19" s="246">
        <v>249564.55</v>
      </c>
      <c r="CD19" s="246">
        <v>423262.38</v>
      </c>
      <c r="CE19" s="246">
        <v>668041.87</v>
      </c>
      <c r="CF19" s="246">
        <v>172598.09</v>
      </c>
      <c r="CG19" s="246">
        <v>547614.39</v>
      </c>
      <c r="CH19" s="246">
        <v>601121.16</v>
      </c>
      <c r="CI19" s="246">
        <f>'[20]Modelo com gás'!$P$5</f>
        <v>219935.94</v>
      </c>
      <c r="CJ19" s="246">
        <f>'[20]Modelo com gás'!$P$6</f>
        <v>443371.4</v>
      </c>
      <c r="CK19" s="246">
        <f>'[20]Modelo com gás'!$P$7</f>
        <v>456625.8</v>
      </c>
      <c r="CL19" s="246">
        <f>'[20]Modelo com gás'!$P$9</f>
        <v>632098.09</v>
      </c>
      <c r="CM19" s="246">
        <f>'[20]Modelo com gás'!$P$10</f>
        <v>427122.98</v>
      </c>
      <c r="CN19" s="246">
        <f>'[20]Modelo com gás'!$P$11</f>
        <v>391988.57</v>
      </c>
    </row>
    <row r="20" spans="2:92" ht="15" customHeight="1">
      <c r="B20" s="244" t="s">
        <v>289</v>
      </c>
      <c r="C20" s="246" t="s">
        <v>97</v>
      </c>
      <c r="D20" s="246" t="s">
        <v>97</v>
      </c>
      <c r="E20" s="246" t="s">
        <v>97</v>
      </c>
      <c r="F20" s="246" t="s">
        <v>97</v>
      </c>
      <c r="G20" s="245">
        <v>975332</v>
      </c>
      <c r="H20" s="246" t="s">
        <v>97</v>
      </c>
      <c r="I20" s="246" t="s">
        <v>97</v>
      </c>
      <c r="J20" s="246" t="s">
        <v>97</v>
      </c>
      <c r="K20" s="245">
        <v>995052</v>
      </c>
      <c r="L20" s="245">
        <v>380147</v>
      </c>
      <c r="M20" s="246" t="s">
        <v>97</v>
      </c>
      <c r="N20" s="245">
        <v>1017639</v>
      </c>
      <c r="O20" s="246" t="s">
        <v>97</v>
      </c>
      <c r="P20" s="246" t="s">
        <v>97</v>
      </c>
      <c r="Q20" s="245">
        <v>982159</v>
      </c>
      <c r="R20" s="246" t="s">
        <v>97</v>
      </c>
      <c r="S20" s="245">
        <v>949561</v>
      </c>
      <c r="T20" s="246" t="s">
        <v>97</v>
      </c>
      <c r="U20" s="245">
        <v>992636</v>
      </c>
      <c r="V20" s="246" t="s">
        <v>97</v>
      </c>
      <c r="W20" s="246" t="s">
        <v>97</v>
      </c>
      <c r="X20" s="245">
        <v>993619</v>
      </c>
      <c r="Y20" s="246" t="s">
        <v>97</v>
      </c>
      <c r="Z20" s="245">
        <v>949096</v>
      </c>
      <c r="AA20" s="246" t="s">
        <v>97</v>
      </c>
      <c r="AB20" s="245">
        <v>1020846</v>
      </c>
      <c r="AC20" s="246" t="s">
        <v>97</v>
      </c>
      <c r="AD20" s="245">
        <v>1029950</v>
      </c>
      <c r="AE20" s="246" t="s">
        <v>97</v>
      </c>
      <c r="AF20" s="245">
        <v>500001</v>
      </c>
      <c r="AG20" s="246" t="s">
        <v>97</v>
      </c>
      <c r="AH20" s="245">
        <v>986039</v>
      </c>
      <c r="AI20" s="246" t="s">
        <v>97</v>
      </c>
      <c r="AJ20" s="245">
        <v>1005505</v>
      </c>
      <c r="AK20" s="246" t="s">
        <v>97</v>
      </c>
      <c r="AL20" s="245">
        <v>994978</v>
      </c>
      <c r="AM20" s="246" t="s">
        <v>97</v>
      </c>
      <c r="AN20" s="245">
        <v>922946</v>
      </c>
      <c r="AO20" s="245">
        <v>726347</v>
      </c>
      <c r="AP20" s="246" t="s">
        <v>97</v>
      </c>
      <c r="AQ20" s="245">
        <v>483369</v>
      </c>
      <c r="AR20" s="245">
        <v>1019899</v>
      </c>
      <c r="AS20" s="245">
        <v>524885</v>
      </c>
      <c r="AT20" s="245">
        <v>541544</v>
      </c>
      <c r="AU20" s="245">
        <v>1185666.3500000001</v>
      </c>
      <c r="AV20" s="245">
        <v>973494.63</v>
      </c>
      <c r="AW20" s="245">
        <v>521874</v>
      </c>
      <c r="AX20" s="246" t="s">
        <v>97</v>
      </c>
      <c r="AY20" s="246">
        <v>547215</v>
      </c>
      <c r="AZ20" s="246">
        <v>497523</v>
      </c>
      <c r="BA20" s="246">
        <v>3289154</v>
      </c>
      <c r="BB20" s="246">
        <v>1668536.22</v>
      </c>
      <c r="BC20" s="246">
        <v>496914.81</v>
      </c>
      <c r="BD20" s="246">
        <v>1960541.7200000002</v>
      </c>
      <c r="BE20" s="246">
        <v>1847622</v>
      </c>
      <c r="BF20" s="246">
        <v>1430128</v>
      </c>
      <c r="BG20" s="246">
        <v>2000496.04</v>
      </c>
      <c r="BH20" s="246">
        <v>1510780.66</v>
      </c>
      <c r="BI20" s="246">
        <v>1654102.95</v>
      </c>
      <c r="BJ20" s="246">
        <v>1594956.67</v>
      </c>
      <c r="BK20" s="246">
        <v>1187775.1499999999</v>
      </c>
      <c r="BL20" s="246">
        <v>1225280.4500000002</v>
      </c>
      <c r="BM20" s="246">
        <v>1755584.7999999998</v>
      </c>
      <c r="BN20" s="246">
        <v>1635799.04</v>
      </c>
      <c r="BO20" s="246">
        <v>500063</v>
      </c>
      <c r="BP20" s="246">
        <v>1890740.6099999999</v>
      </c>
      <c r="BQ20" s="245">
        <v>952415.51</v>
      </c>
      <c r="BR20" s="246" t="s">
        <v>97</v>
      </c>
      <c r="BS20" s="245">
        <v>2790711.83</v>
      </c>
      <c r="BT20" s="245">
        <v>496553.57</v>
      </c>
      <c r="BU20" s="245">
        <v>1627279.8900000001</v>
      </c>
      <c r="BV20" s="245">
        <v>1462480.49</v>
      </c>
      <c r="BW20" s="245">
        <v>975142.21</v>
      </c>
      <c r="BX20" s="245">
        <v>1396987.7000000002</v>
      </c>
      <c r="BY20" s="245">
        <v>378148.62</v>
      </c>
      <c r="BZ20" s="245">
        <v>1276849.71</v>
      </c>
      <c r="CA20" s="246" t="s">
        <v>97</v>
      </c>
      <c r="CB20" s="245">
        <v>1081743.21</v>
      </c>
      <c r="CC20" s="245">
        <v>970622.67</v>
      </c>
      <c r="CD20" s="245">
        <v>479054.91</v>
      </c>
      <c r="CE20" s="245">
        <v>1377125.71</v>
      </c>
      <c r="CF20" s="245">
        <v>500823.28</v>
      </c>
      <c r="CG20" s="245">
        <v>1839152.1800000002</v>
      </c>
      <c r="CH20" s="245">
        <v>524479.98</v>
      </c>
      <c r="CI20" s="245">
        <f>'[20]Modelo com gás'!$N$5</f>
        <v>1425778.96</v>
      </c>
      <c r="CJ20" s="246" t="s">
        <v>97</v>
      </c>
      <c r="CK20" s="245">
        <f>'[20]Modelo com gás'!$N$7</f>
        <v>1844763.23</v>
      </c>
      <c r="CL20" s="245">
        <f>'[20]Modelo com gás'!$N$9</f>
        <v>1320804.7</v>
      </c>
      <c r="CM20" s="246">
        <f>'[20]Modelo com gás'!$N$10</f>
        <v>1896102.43</v>
      </c>
      <c r="CN20" s="245">
        <f>'[20]Modelo com gás'!$N$11</f>
        <v>1844912.19</v>
      </c>
    </row>
    <row r="21" spans="2:92" ht="15" customHeight="1">
      <c r="B21" s="244" t="s">
        <v>238</v>
      </c>
      <c r="C21" s="246" t="s">
        <v>97</v>
      </c>
      <c r="D21" s="246" t="s">
        <v>97</v>
      </c>
      <c r="E21" s="246" t="s">
        <v>97</v>
      </c>
      <c r="F21" s="246" t="s">
        <v>97</v>
      </c>
      <c r="G21" s="246" t="s">
        <v>97</v>
      </c>
      <c r="H21" s="246" t="s">
        <v>97</v>
      </c>
      <c r="I21" s="246" t="s">
        <v>97</v>
      </c>
      <c r="J21" s="246" t="s">
        <v>97</v>
      </c>
      <c r="K21" s="246" t="s">
        <v>97</v>
      </c>
      <c r="L21" s="246" t="s">
        <v>97</v>
      </c>
      <c r="M21" s="246" t="s">
        <v>97</v>
      </c>
      <c r="N21" s="246" t="s">
        <v>97</v>
      </c>
      <c r="O21" s="246" t="s">
        <v>97</v>
      </c>
      <c r="P21" s="246" t="s">
        <v>97</v>
      </c>
      <c r="Q21" s="246" t="s">
        <v>97</v>
      </c>
      <c r="R21" s="246" t="s">
        <v>97</v>
      </c>
      <c r="S21" s="246" t="s">
        <v>97</v>
      </c>
      <c r="T21" s="246" t="s">
        <v>97</v>
      </c>
      <c r="U21" s="246" t="s">
        <v>97</v>
      </c>
      <c r="V21" s="246" t="s">
        <v>97</v>
      </c>
      <c r="W21" s="246" t="s">
        <v>97</v>
      </c>
      <c r="X21" s="246" t="s">
        <v>97</v>
      </c>
      <c r="Y21" s="246" t="s">
        <v>97</v>
      </c>
      <c r="Z21" s="246" t="s">
        <v>97</v>
      </c>
      <c r="AA21" s="246" t="s">
        <v>97</v>
      </c>
      <c r="AB21" s="246" t="s">
        <v>97</v>
      </c>
      <c r="AC21" s="246" t="s">
        <v>97</v>
      </c>
      <c r="AD21" s="246" t="s">
        <v>97</v>
      </c>
      <c r="AE21" s="246" t="s">
        <v>97</v>
      </c>
      <c r="AF21" s="246" t="s">
        <v>97</v>
      </c>
      <c r="AG21" s="246" t="s">
        <v>97</v>
      </c>
      <c r="AH21" s="246" t="s">
        <v>97</v>
      </c>
      <c r="AI21" s="246" t="s">
        <v>97</v>
      </c>
      <c r="AJ21" s="246" t="s">
        <v>97</v>
      </c>
      <c r="AK21" s="246" t="s">
        <v>97</v>
      </c>
      <c r="AL21" s="246" t="s">
        <v>97</v>
      </c>
      <c r="AM21" s="246" t="s">
        <v>97</v>
      </c>
      <c r="AN21" s="246" t="s">
        <v>97</v>
      </c>
      <c r="AO21" s="246" t="s">
        <v>97</v>
      </c>
      <c r="AP21" s="246" t="s">
        <v>97</v>
      </c>
      <c r="AQ21" s="246" t="s">
        <v>97</v>
      </c>
      <c r="AR21" s="246" t="s">
        <v>97</v>
      </c>
      <c r="AS21" s="246" t="s">
        <v>97</v>
      </c>
      <c r="AT21" s="246" t="s">
        <v>97</v>
      </c>
      <c r="AU21" s="246" t="s">
        <v>97</v>
      </c>
      <c r="AV21" s="246" t="s">
        <v>97</v>
      </c>
      <c r="AW21" s="246" t="s">
        <v>97</v>
      </c>
      <c r="AX21" s="246" t="s">
        <v>97</v>
      </c>
      <c r="AY21" s="246" t="s">
        <v>97</v>
      </c>
      <c r="AZ21" s="246">
        <v>497138</v>
      </c>
      <c r="BA21" s="246">
        <v>912174</v>
      </c>
      <c r="BB21" s="246">
        <v>466775</v>
      </c>
      <c r="BC21" s="246" t="s">
        <v>97</v>
      </c>
      <c r="BD21" s="246">
        <v>961003.58</v>
      </c>
      <c r="BE21" s="246">
        <v>879378</v>
      </c>
      <c r="BF21" s="246">
        <v>936892</v>
      </c>
      <c r="BG21" s="246">
        <v>1211991</v>
      </c>
      <c r="BH21" s="246">
        <v>891063.58</v>
      </c>
      <c r="BI21" s="246" t="s">
        <v>97</v>
      </c>
      <c r="BJ21" s="246">
        <v>936647.18</v>
      </c>
      <c r="BK21" s="246">
        <v>895856.6</v>
      </c>
      <c r="BL21" s="246">
        <v>929685.01</v>
      </c>
      <c r="BM21" s="246">
        <v>583365.88</v>
      </c>
      <c r="BN21" s="246">
        <v>583097.53</v>
      </c>
      <c r="BO21" s="246">
        <v>1381476</v>
      </c>
      <c r="BP21" s="246">
        <v>983511.99</v>
      </c>
      <c r="BQ21" s="245">
        <v>449311.48</v>
      </c>
      <c r="BR21" s="245">
        <v>483957.95</v>
      </c>
      <c r="BS21" s="245">
        <v>930734</v>
      </c>
      <c r="BT21" s="246" t="s">
        <v>97</v>
      </c>
      <c r="BU21" s="245">
        <v>974809.38</v>
      </c>
      <c r="BV21" s="245">
        <v>901151.89</v>
      </c>
      <c r="BW21" s="245">
        <v>966893.5199999999</v>
      </c>
      <c r="BX21" s="245">
        <v>901196.57</v>
      </c>
      <c r="BY21" s="245">
        <v>766004.51</v>
      </c>
      <c r="BZ21" s="246" t="s">
        <v>97</v>
      </c>
      <c r="CA21" s="245">
        <v>1395729.35</v>
      </c>
      <c r="CB21" s="246" t="s">
        <v>97</v>
      </c>
      <c r="CC21" s="246">
        <v>1138708.79</v>
      </c>
      <c r="CD21" s="246">
        <v>1422569.3800000001</v>
      </c>
      <c r="CE21" s="246">
        <v>682738.76</v>
      </c>
      <c r="CF21" s="246">
        <v>448606.46</v>
      </c>
      <c r="CG21" s="246">
        <v>717259.63</v>
      </c>
      <c r="CH21" s="246">
        <v>477205.31</v>
      </c>
      <c r="CI21" s="245">
        <f>'[20]Modelo com gás'!$O$5</f>
        <v>448880.32</v>
      </c>
      <c r="CJ21" s="245">
        <f>'[20]Modelo com gás'!$O$6</f>
        <v>1408928.03</v>
      </c>
      <c r="CK21" s="245">
        <f>'[20]Modelo com gás'!$O$7</f>
        <v>1368611.26</v>
      </c>
      <c r="CL21" s="245">
        <f>'[20]Modelo com gás'!$O$9</f>
        <v>971874.37</v>
      </c>
      <c r="CM21" s="245">
        <f>'[20]Modelo com gás'!$O$10</f>
        <v>473695.86</v>
      </c>
      <c r="CN21" s="245">
        <f>'[20]Modelo com gás'!$O$11</f>
        <v>915656.1100000001</v>
      </c>
    </row>
    <row r="22" spans="2:92" ht="15" customHeight="1">
      <c r="B22" s="244" t="s">
        <v>235</v>
      </c>
      <c r="C22" s="246" t="s">
        <v>97</v>
      </c>
      <c r="D22" s="246" t="s">
        <v>97</v>
      </c>
      <c r="E22" s="246" t="s">
        <v>97</v>
      </c>
      <c r="F22" s="246" t="s">
        <v>97</v>
      </c>
      <c r="G22" s="246" t="s">
        <v>97</v>
      </c>
      <c r="H22" s="246" t="s">
        <v>97</v>
      </c>
      <c r="I22" s="246" t="s">
        <v>97</v>
      </c>
      <c r="J22" s="246" t="s">
        <v>97</v>
      </c>
      <c r="K22" s="246" t="s">
        <v>97</v>
      </c>
      <c r="L22" s="246" t="s">
        <v>97</v>
      </c>
      <c r="M22" s="246" t="s">
        <v>97</v>
      </c>
      <c r="N22" s="246" t="s">
        <v>97</v>
      </c>
      <c r="O22" s="246" t="s">
        <v>97</v>
      </c>
      <c r="P22" s="246" t="s">
        <v>97</v>
      </c>
      <c r="Q22" s="246" t="s">
        <v>97</v>
      </c>
      <c r="R22" s="246" t="s">
        <v>97</v>
      </c>
      <c r="S22" s="246" t="s">
        <v>97</v>
      </c>
      <c r="T22" s="246" t="s">
        <v>97</v>
      </c>
      <c r="U22" s="246" t="s">
        <v>97</v>
      </c>
      <c r="V22" s="246" t="s">
        <v>97</v>
      </c>
      <c r="W22" s="246" t="s">
        <v>97</v>
      </c>
      <c r="X22" s="246" t="s">
        <v>97</v>
      </c>
      <c r="Y22" s="246" t="s">
        <v>97</v>
      </c>
      <c r="Z22" s="246" t="s">
        <v>97</v>
      </c>
      <c r="AA22" s="246" t="s">
        <v>97</v>
      </c>
      <c r="AB22" s="246" t="s">
        <v>97</v>
      </c>
      <c r="AC22" s="246" t="s">
        <v>97</v>
      </c>
      <c r="AD22" s="246" t="s">
        <v>97</v>
      </c>
      <c r="AE22" s="246" t="s">
        <v>97</v>
      </c>
      <c r="AF22" s="246" t="s">
        <v>97</v>
      </c>
      <c r="AG22" s="246" t="s">
        <v>97</v>
      </c>
      <c r="AH22" s="246" t="s">
        <v>97</v>
      </c>
      <c r="AI22" s="246" t="s">
        <v>97</v>
      </c>
      <c r="AJ22" s="246" t="s">
        <v>97</v>
      </c>
      <c r="AK22" s="246" t="s">
        <v>97</v>
      </c>
      <c r="AL22" s="246" t="s">
        <v>97</v>
      </c>
      <c r="AM22" s="246" t="s">
        <v>97</v>
      </c>
      <c r="AN22" s="246" t="s">
        <v>97</v>
      </c>
      <c r="AO22" s="246" t="s">
        <v>97</v>
      </c>
      <c r="AP22" s="246" t="s">
        <v>97</v>
      </c>
      <c r="AQ22" s="246" t="s">
        <v>97</v>
      </c>
      <c r="AR22" s="246" t="s">
        <v>97</v>
      </c>
      <c r="AS22" s="246" t="s">
        <v>97</v>
      </c>
      <c r="AT22" s="246" t="s">
        <v>97</v>
      </c>
      <c r="AU22" s="246" t="s">
        <v>97</v>
      </c>
      <c r="AV22" s="246" t="s">
        <v>97</v>
      </c>
      <c r="AW22" s="246" t="s">
        <v>97</v>
      </c>
      <c r="AX22" s="246" t="s">
        <v>97</v>
      </c>
      <c r="AY22" s="246" t="s">
        <v>97</v>
      </c>
      <c r="AZ22" s="246" t="s">
        <v>97</v>
      </c>
      <c r="BA22" s="246" t="s">
        <v>97</v>
      </c>
      <c r="BB22" s="246" t="s">
        <v>97</v>
      </c>
      <c r="BC22" s="246" t="s">
        <v>97</v>
      </c>
      <c r="BD22" s="246" t="s">
        <v>97</v>
      </c>
      <c r="BE22" s="246" t="s">
        <v>97</v>
      </c>
      <c r="BF22" s="246" t="s">
        <v>97</v>
      </c>
      <c r="BG22" s="246" t="s">
        <v>97</v>
      </c>
      <c r="BH22" s="246" t="s">
        <v>97</v>
      </c>
      <c r="BI22" s="246" t="s">
        <v>97</v>
      </c>
      <c r="BJ22" s="246" t="s">
        <v>97</v>
      </c>
      <c r="BK22" s="246" t="s">
        <v>97</v>
      </c>
      <c r="BL22" s="246" t="s">
        <v>97</v>
      </c>
      <c r="BM22" s="246" t="s">
        <v>97</v>
      </c>
      <c r="BN22" s="246" t="s">
        <v>97</v>
      </c>
      <c r="BO22" s="246" t="s">
        <v>97</v>
      </c>
      <c r="BP22" s="246" t="s">
        <v>97</v>
      </c>
      <c r="BQ22" s="246" t="s">
        <v>97</v>
      </c>
      <c r="BR22" s="246" t="s">
        <v>97</v>
      </c>
      <c r="BS22" s="246" t="s">
        <v>97</v>
      </c>
      <c r="BT22" s="246" t="s">
        <v>97</v>
      </c>
      <c r="BU22" s="246" t="s">
        <v>97</v>
      </c>
      <c r="BV22" s="245">
        <v>709671</v>
      </c>
      <c r="BW22" s="246">
        <v>1395674.76</v>
      </c>
      <c r="BX22" s="246">
        <v>727154</v>
      </c>
      <c r="BY22" s="246">
        <v>1440822</v>
      </c>
      <c r="BZ22" s="246">
        <v>1425579.59</v>
      </c>
      <c r="CA22" s="246">
        <v>727677.97</v>
      </c>
      <c r="CB22" s="246">
        <v>1482162.3399999999</v>
      </c>
      <c r="CC22" s="246">
        <v>704990.4</v>
      </c>
      <c r="CD22" s="246">
        <v>724744.3</v>
      </c>
      <c r="CE22" s="246" t="s">
        <v>97</v>
      </c>
      <c r="CF22" s="246" t="s">
        <v>97</v>
      </c>
      <c r="CG22" s="246">
        <v>2061901.28</v>
      </c>
      <c r="CH22" s="246">
        <v>2723325</v>
      </c>
      <c r="CI22" s="246">
        <f>'[20]Modelo com gás'!$Q$5</f>
        <v>2239121.94</v>
      </c>
      <c r="CJ22" s="246">
        <f>'[20]Modelo com gás'!$Q$6</f>
        <v>2434074.85</v>
      </c>
      <c r="CK22" s="246">
        <f>'[20]Modelo com gás'!$Q$7</f>
        <v>2559282.1399999997</v>
      </c>
      <c r="CL22" s="246">
        <f>'[20]Modelo com gás'!$Q$9</f>
        <v>1866949.82</v>
      </c>
      <c r="CM22" s="246">
        <f>'[20]Modelo com gás'!$Q$10</f>
        <v>2233086.5500000003</v>
      </c>
      <c r="CN22" s="246">
        <f>'[20]Modelo com gás'!$Q$11</f>
        <v>2277529.08</v>
      </c>
    </row>
    <row r="23" spans="2:92" ht="15" customHeight="1">
      <c r="B23" s="247" t="s">
        <v>236</v>
      </c>
      <c r="C23" s="248">
        <f t="shared" ref="C23:BN23" si="80">SUM(C17:C22)</f>
        <v>0</v>
      </c>
      <c r="D23" s="248">
        <f t="shared" si="80"/>
        <v>544614</v>
      </c>
      <c r="E23" s="248">
        <f t="shared" si="80"/>
        <v>0</v>
      </c>
      <c r="F23" s="248">
        <f t="shared" si="80"/>
        <v>530443</v>
      </c>
      <c r="G23" s="248">
        <f t="shared" si="80"/>
        <v>975332</v>
      </c>
      <c r="H23" s="248">
        <f t="shared" si="80"/>
        <v>494907</v>
      </c>
      <c r="I23" s="248">
        <f t="shared" si="80"/>
        <v>0</v>
      </c>
      <c r="J23" s="248">
        <f t="shared" si="80"/>
        <v>0</v>
      </c>
      <c r="K23" s="248">
        <f t="shared" si="80"/>
        <v>1503086</v>
      </c>
      <c r="L23" s="248">
        <f t="shared" si="80"/>
        <v>380147</v>
      </c>
      <c r="M23" s="248">
        <f t="shared" si="80"/>
        <v>478806</v>
      </c>
      <c r="N23" s="248">
        <f t="shared" si="80"/>
        <v>1469103</v>
      </c>
      <c r="O23" s="248">
        <f t="shared" si="80"/>
        <v>0</v>
      </c>
      <c r="P23" s="248">
        <f t="shared" si="80"/>
        <v>0</v>
      </c>
      <c r="Q23" s="248">
        <f t="shared" si="80"/>
        <v>1452330</v>
      </c>
      <c r="R23" s="248">
        <f t="shared" si="80"/>
        <v>0</v>
      </c>
      <c r="S23" s="248">
        <f t="shared" si="80"/>
        <v>949561</v>
      </c>
      <c r="T23" s="248">
        <f t="shared" si="80"/>
        <v>446852</v>
      </c>
      <c r="U23" s="248">
        <f t="shared" si="80"/>
        <v>1490300</v>
      </c>
      <c r="V23" s="248">
        <f t="shared" si="80"/>
        <v>0</v>
      </c>
      <c r="W23" s="248">
        <f t="shared" si="80"/>
        <v>906841</v>
      </c>
      <c r="X23" s="248">
        <f t="shared" si="80"/>
        <v>993619</v>
      </c>
      <c r="Y23" s="248">
        <f t="shared" si="80"/>
        <v>906375</v>
      </c>
      <c r="Z23" s="248">
        <f t="shared" si="80"/>
        <v>1824336</v>
      </c>
      <c r="AA23" s="248">
        <f t="shared" si="80"/>
        <v>0</v>
      </c>
      <c r="AB23" s="248">
        <f t="shared" si="80"/>
        <v>1927712</v>
      </c>
      <c r="AC23" s="248">
        <f t="shared" si="80"/>
        <v>0</v>
      </c>
      <c r="AD23" s="248">
        <f t="shared" si="80"/>
        <v>1943458</v>
      </c>
      <c r="AE23" s="248">
        <f t="shared" si="80"/>
        <v>0</v>
      </c>
      <c r="AF23" s="248">
        <f t="shared" si="80"/>
        <v>893611</v>
      </c>
      <c r="AG23" s="248">
        <f t="shared" si="80"/>
        <v>1073910</v>
      </c>
      <c r="AH23" s="248">
        <f t="shared" si="80"/>
        <v>986039</v>
      </c>
      <c r="AI23" s="248">
        <f t="shared" si="80"/>
        <v>424563</v>
      </c>
      <c r="AJ23" s="248">
        <f t="shared" si="80"/>
        <v>1922251</v>
      </c>
      <c r="AK23" s="248">
        <f t="shared" si="80"/>
        <v>0</v>
      </c>
      <c r="AL23" s="248">
        <f t="shared" si="80"/>
        <v>1904923</v>
      </c>
      <c r="AM23" s="248">
        <f t="shared" si="80"/>
        <v>0</v>
      </c>
      <c r="AN23" s="248">
        <f t="shared" si="80"/>
        <v>1810777</v>
      </c>
      <c r="AO23" s="248">
        <f t="shared" si="80"/>
        <v>987207</v>
      </c>
      <c r="AP23" s="248">
        <f t="shared" si="80"/>
        <v>882808</v>
      </c>
      <c r="AQ23" s="248">
        <f t="shared" si="80"/>
        <v>898568</v>
      </c>
      <c r="AR23" s="248">
        <f t="shared" si="80"/>
        <v>1565906</v>
      </c>
      <c r="AS23" s="248">
        <f t="shared" si="80"/>
        <v>993687</v>
      </c>
      <c r="AT23" s="248">
        <f t="shared" si="80"/>
        <v>908634</v>
      </c>
      <c r="AU23" s="248">
        <f t="shared" si="80"/>
        <v>1944764.35</v>
      </c>
      <c r="AV23" s="248">
        <f t="shared" si="80"/>
        <v>973494.63</v>
      </c>
      <c r="AW23" s="248">
        <f t="shared" si="80"/>
        <v>998333</v>
      </c>
      <c r="AX23" s="248">
        <f t="shared" si="80"/>
        <v>321440</v>
      </c>
      <c r="AY23" s="248">
        <f t="shared" si="80"/>
        <v>547215</v>
      </c>
      <c r="AZ23" s="248">
        <f>SUM(AZ17:AZ22)</f>
        <v>994661</v>
      </c>
      <c r="BA23" s="248">
        <f t="shared" si="80"/>
        <v>5748622</v>
      </c>
      <c r="BB23" s="248">
        <f t="shared" si="80"/>
        <v>2638849.2199999997</v>
      </c>
      <c r="BC23" s="248">
        <f t="shared" si="80"/>
        <v>998824.81</v>
      </c>
      <c r="BD23" s="248">
        <f t="shared" si="80"/>
        <v>3518155.95</v>
      </c>
      <c r="BE23" s="248">
        <f t="shared" si="80"/>
        <v>3432430</v>
      </c>
      <c r="BF23" s="248">
        <f t="shared" si="80"/>
        <v>2788521</v>
      </c>
      <c r="BG23" s="248">
        <f t="shared" si="80"/>
        <v>3552012.09</v>
      </c>
      <c r="BH23" s="248">
        <f t="shared" si="80"/>
        <v>3095036.91</v>
      </c>
      <c r="BI23" s="248">
        <f t="shared" si="80"/>
        <v>2094088.03</v>
      </c>
      <c r="BJ23" s="248">
        <f t="shared" si="80"/>
        <v>3240531.69</v>
      </c>
      <c r="BK23" s="248">
        <f t="shared" si="80"/>
        <v>2409181.5</v>
      </c>
      <c r="BL23" s="248">
        <f t="shared" si="80"/>
        <v>2483574.3000000003</v>
      </c>
      <c r="BM23" s="248">
        <f t="shared" si="80"/>
        <v>2698561.6399999997</v>
      </c>
      <c r="BN23" s="248">
        <f t="shared" si="80"/>
        <v>2813318.13</v>
      </c>
      <c r="BO23" s="248">
        <f t="shared" ref="BO23:BU23" si="81">SUM(BO17:BO22)</f>
        <v>2388268</v>
      </c>
      <c r="BP23" s="248">
        <f t="shared" si="81"/>
        <v>3348570.92</v>
      </c>
      <c r="BQ23" s="248">
        <f t="shared" si="81"/>
        <v>1843934.48</v>
      </c>
      <c r="BR23" s="248">
        <f t="shared" si="81"/>
        <v>954840.24</v>
      </c>
      <c r="BS23" s="248">
        <f t="shared" si="81"/>
        <v>3721445.83</v>
      </c>
      <c r="BT23" s="248">
        <f t="shared" si="81"/>
        <v>875770.07000000007</v>
      </c>
      <c r="BU23" s="248">
        <f t="shared" si="81"/>
        <v>2892907.0300000003</v>
      </c>
      <c r="BV23" s="248">
        <f>SUM(BV17:BV22)</f>
        <v>3348700.29</v>
      </c>
      <c r="BW23" s="248">
        <f t="shared" ref="BW23:BX23" si="82">SUM(BW17:BW22)</f>
        <v>3608396.1499999994</v>
      </c>
      <c r="BX23" s="248">
        <f t="shared" si="82"/>
        <v>3402075.9</v>
      </c>
      <c r="BY23" s="248">
        <f>SUM(BY17:BY22)</f>
        <v>3182714.36</v>
      </c>
      <c r="BZ23" s="248">
        <f t="shared" ref="BZ23:CA23" si="83">SUM(BZ17:BZ22)</f>
        <v>3109585.87</v>
      </c>
      <c r="CA23" s="248">
        <f t="shared" si="83"/>
        <v>2323027.9500000002</v>
      </c>
      <c r="CB23" s="248">
        <f>SUM(CB17:CB22)</f>
        <v>2737600.42</v>
      </c>
      <c r="CC23" s="248">
        <f>SUM(CC17:CC22)</f>
        <v>3063886.4099999997</v>
      </c>
      <c r="CD23" s="248">
        <f t="shared" ref="CD23:CE23" si="84">SUM(CD17:CD22)</f>
        <v>3049630.9699999997</v>
      </c>
      <c r="CE23" s="248">
        <f t="shared" si="84"/>
        <v>2727906.34</v>
      </c>
      <c r="CF23" s="248">
        <f>SUM(CF17:CF22)</f>
        <v>1122027.83</v>
      </c>
      <c r="CG23" s="248">
        <f t="shared" ref="CG23:CJ23" si="85">SUM(CG17:CG22)</f>
        <v>5165927.4800000004</v>
      </c>
      <c r="CH23" s="248">
        <f t="shared" si="85"/>
        <v>4326131.45</v>
      </c>
      <c r="CI23" s="248">
        <f t="shared" si="85"/>
        <v>4333717.16</v>
      </c>
      <c r="CJ23" s="248">
        <f t="shared" si="85"/>
        <v>4286374.28</v>
      </c>
      <c r="CK23" s="248">
        <f>SUM(CK17:CK22)</f>
        <v>6229282.4299999997</v>
      </c>
      <c r="CL23" s="248">
        <f t="shared" ref="CL23:CM23" si="86">SUM(CL17:CL22)</f>
        <v>4791726.9800000004</v>
      </c>
      <c r="CM23" s="248">
        <f t="shared" si="86"/>
        <v>5030007.82</v>
      </c>
      <c r="CN23" s="248">
        <f>SUM(CN17:CN22)</f>
        <v>5430085.9500000002</v>
      </c>
    </row>
    <row r="24" spans="2:92" ht="15" customHeight="1">
      <c r="C24" s="250"/>
    </row>
    <row r="25" spans="2:92" ht="15" customHeight="1">
      <c r="C25" s="250"/>
    </row>
    <row r="26" spans="2:92" ht="15" customHeight="1">
      <c r="C26" s="250"/>
    </row>
    <row r="27" spans="2:92" ht="15" customHeight="1">
      <c r="C27" s="250"/>
    </row>
    <row r="28" spans="2:92" ht="15" customHeight="1">
      <c r="C28" s="250"/>
    </row>
    <row r="29" spans="2:92" ht="15" customHeight="1">
      <c r="C29" s="250"/>
    </row>
    <row r="30" spans="2:92" ht="15" customHeight="1">
      <c r="C30" s="250"/>
    </row>
    <row r="31" spans="2:92" ht="15" customHeight="1">
      <c r="C31" s="250"/>
    </row>
    <row r="32" spans="2:92" ht="15" customHeight="1">
      <c r="C32" s="250"/>
    </row>
    <row r="33" spans="3:3" ht="15" customHeight="1">
      <c r="C33" s="250"/>
    </row>
    <row r="34" spans="3:3" ht="15" customHeight="1">
      <c r="C34" s="250"/>
    </row>
    <row r="35" spans="3:3" ht="15" customHeight="1">
      <c r="C35" s="250"/>
    </row>
    <row r="36" spans="3:3" ht="15" customHeight="1">
      <c r="C36" s="250"/>
    </row>
    <row r="37" spans="3:3" ht="15" customHeight="1">
      <c r="C37" s="250"/>
    </row>
    <row r="38" spans="3:3" ht="15" customHeight="1">
      <c r="C38" s="250"/>
    </row>
    <row r="39" spans="3:3" ht="15" customHeight="1">
      <c r="C39" s="250"/>
    </row>
    <row r="40" spans="3:3" ht="15" customHeight="1">
      <c r="C40" s="250"/>
    </row>
    <row r="41" spans="3:3" ht="15" customHeight="1">
      <c r="C41" s="250"/>
    </row>
    <row r="42" spans="3:3" ht="15" customHeight="1">
      <c r="C42" s="250"/>
    </row>
    <row r="43" spans="3:3" ht="15" customHeight="1">
      <c r="C43" s="250"/>
    </row>
    <row r="44" spans="3:3" ht="15" customHeight="1">
      <c r="C44" s="250"/>
    </row>
    <row r="45" spans="3:3" ht="15" customHeight="1">
      <c r="C45" s="250"/>
    </row>
    <row r="46" spans="3:3" ht="15" customHeight="1">
      <c r="C46" s="250"/>
    </row>
    <row r="47" spans="3:3" ht="15" customHeight="1">
      <c r="C47" s="250"/>
    </row>
    <row r="48" spans="3:3" ht="15" customHeight="1">
      <c r="C48" s="250"/>
    </row>
    <row r="49" spans="3:3" ht="15" customHeight="1">
      <c r="C49" s="250"/>
    </row>
    <row r="50" spans="3:3" ht="15" customHeight="1">
      <c r="C50" s="250"/>
    </row>
    <row r="51" spans="3:3" ht="15" customHeight="1">
      <c r="C51" s="250"/>
    </row>
    <row r="52" spans="3:3" ht="15" customHeight="1">
      <c r="C52" s="250"/>
    </row>
    <row r="90" spans="2:11" ht="15" customHeight="1">
      <c r="B90" s="366"/>
      <c r="C90" s="366"/>
      <c r="D90" s="366"/>
      <c r="E90" s="366"/>
      <c r="F90" s="366"/>
      <c r="G90" s="366"/>
      <c r="H90" s="366"/>
      <c r="I90" s="366"/>
      <c r="J90" s="366"/>
      <c r="K90" s="366"/>
    </row>
    <row r="98" spans="2:11" ht="15" customHeight="1">
      <c r="B98" s="366"/>
      <c r="C98" s="366"/>
      <c r="D98" s="366"/>
      <c r="E98" s="366"/>
      <c r="F98" s="366"/>
      <c r="G98" s="366"/>
      <c r="H98" s="366"/>
      <c r="I98" s="366"/>
      <c r="J98" s="366"/>
      <c r="K98" s="366"/>
    </row>
  </sheetData>
  <mergeCells count="2">
    <mergeCell ref="B90:K90"/>
    <mergeCell ref="B98:K9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4400-EF95-4CD6-8F00-95EFB55756E8}">
  <dimension ref="A1:N124"/>
  <sheetViews>
    <sheetView showGridLines="0" zoomScale="58" zoomScaleNormal="58" workbookViewId="0">
      <selection activeCell="N4" sqref="N4"/>
    </sheetView>
  </sheetViews>
  <sheetFormatPr defaultColWidth="9.33203125" defaultRowHeight="14.4"/>
  <cols>
    <col min="1" max="1" width="1.5546875" style="72" customWidth="1"/>
    <col min="2" max="2" width="34.5546875" style="79" bestFit="1" customWidth="1"/>
    <col min="3" max="3" width="16.5546875" style="79" bestFit="1" customWidth="1"/>
    <col min="4" max="4" width="19.6640625" style="79" bestFit="1" customWidth="1"/>
    <col min="5" max="5" width="16.5546875" style="79" bestFit="1" customWidth="1"/>
    <col min="6" max="6" width="19.6640625" style="79" bestFit="1" customWidth="1"/>
    <col min="7" max="7" width="16.5546875" style="79" bestFit="1" customWidth="1"/>
    <col min="8" max="8" width="19.6640625" style="72" bestFit="1" customWidth="1"/>
    <col min="9" max="9" width="16.5546875" style="72" bestFit="1" customWidth="1"/>
    <col min="10" max="10" width="19.6640625" style="72" bestFit="1" customWidth="1"/>
    <col min="11" max="11" width="16.5546875" style="72" bestFit="1" customWidth="1"/>
    <col min="12" max="12" width="19.6640625" style="72" bestFit="1" customWidth="1"/>
    <col min="13" max="14" width="19.33203125" style="72" customWidth="1"/>
    <col min="15" max="15" width="19.6640625" style="72" bestFit="1" customWidth="1"/>
    <col min="16" max="17" width="19.6640625" style="72" customWidth="1"/>
    <col min="18" max="16384" width="9.33203125" style="72"/>
  </cols>
  <sheetData>
    <row r="1" spans="1:14">
      <c r="H1" s="79"/>
    </row>
    <row r="2" spans="1:14">
      <c r="G2" s="88" t="s">
        <v>239</v>
      </c>
      <c r="H2" s="88"/>
    </row>
    <row r="3" spans="1:14" ht="15.6">
      <c r="G3" s="112"/>
      <c r="H3" s="112"/>
    </row>
    <row r="4" spans="1:14" customFormat="1" ht="18">
      <c r="A4" s="370"/>
      <c r="B4" s="370"/>
      <c r="C4" s="370"/>
      <c r="D4" s="370"/>
      <c r="E4" s="370"/>
      <c r="F4" s="370"/>
      <c r="G4" s="370"/>
      <c r="H4" s="370"/>
      <c r="I4" s="370"/>
    </row>
    <row r="5" spans="1:14">
      <c r="H5" s="79"/>
    </row>
    <row r="6" spans="1:14" ht="18">
      <c r="B6" s="367" t="s">
        <v>240</v>
      </c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</row>
    <row r="7" spans="1:14" ht="15.6">
      <c r="B7" s="368" t="s">
        <v>241</v>
      </c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</row>
    <row r="8" spans="1:14" ht="15.6">
      <c r="B8" s="151" t="s">
        <v>242</v>
      </c>
      <c r="C8" s="294"/>
      <c r="D8" s="294"/>
      <c r="E8" s="294"/>
      <c r="F8" s="294"/>
      <c r="G8" s="294"/>
      <c r="H8" s="294"/>
      <c r="I8" s="196">
        <v>44197</v>
      </c>
      <c r="J8" s="196">
        <v>44562</v>
      </c>
      <c r="K8" s="196">
        <v>44927</v>
      </c>
      <c r="L8" s="196">
        <v>45292</v>
      </c>
      <c r="M8" s="196">
        <v>45658</v>
      </c>
      <c r="N8" s="196">
        <v>46023</v>
      </c>
    </row>
    <row r="9" spans="1:14" ht="15.6">
      <c r="B9" s="197" t="s">
        <v>243</v>
      </c>
      <c r="C9" s="295"/>
      <c r="D9" s="295"/>
      <c r="E9" s="295"/>
      <c r="F9" s="295"/>
      <c r="G9" s="295"/>
      <c r="H9" s="295"/>
      <c r="I9" s="198">
        <f>SUM(I20,I32)</f>
        <v>32613</v>
      </c>
      <c r="J9" s="198">
        <f t="shared" ref="J9:K9" si="0">SUM(J20,J32)</f>
        <v>38468</v>
      </c>
      <c r="K9" s="198">
        <f t="shared" si="0"/>
        <v>33648</v>
      </c>
      <c r="L9" s="198">
        <f t="shared" ref="L9" si="1">SUM(L20,L32)</f>
        <v>33076</v>
      </c>
      <c r="M9" s="198">
        <f t="shared" ref="M9" si="2">SUM(M20,M32)</f>
        <v>29682</v>
      </c>
      <c r="N9" s="198">
        <f>SUM(N20,N32)</f>
        <v>30181</v>
      </c>
    </row>
    <row r="10" spans="1:14" ht="15.6">
      <c r="B10" s="197" t="s">
        <v>244</v>
      </c>
      <c r="C10" s="295"/>
      <c r="D10" s="295"/>
      <c r="E10" s="295"/>
      <c r="F10" s="295"/>
      <c r="G10" s="295"/>
      <c r="H10" s="295"/>
      <c r="I10" s="198">
        <f>SUM(I21,I33)</f>
        <v>30304</v>
      </c>
      <c r="J10" s="198">
        <f t="shared" ref="J10:K10" si="3">SUM(J21,J33)</f>
        <v>7934</v>
      </c>
      <c r="K10" s="198">
        <f t="shared" si="3"/>
        <v>8452</v>
      </c>
      <c r="L10" s="198">
        <f t="shared" ref="L10" si="4">SUM(L21,L33)</f>
        <v>6297</v>
      </c>
      <c r="M10" s="198">
        <f t="shared" ref="M10" si="5">SUM(M21,M33)</f>
        <v>4439</v>
      </c>
      <c r="N10" s="198">
        <f>SUM(N21,N33)</f>
        <v>5415</v>
      </c>
    </row>
    <row r="11" spans="1:14" ht="15.6">
      <c r="B11" s="199" t="s">
        <v>245</v>
      </c>
      <c r="C11" s="296"/>
      <c r="D11" s="296"/>
      <c r="E11" s="296"/>
      <c r="F11" s="296"/>
      <c r="G11" s="296"/>
      <c r="H11" s="296"/>
      <c r="I11" s="200">
        <f t="shared" ref="I11:K15" si="6">SUM(I22,I34)</f>
        <v>62917</v>
      </c>
      <c r="J11" s="200">
        <f t="shared" si="6"/>
        <v>46402</v>
      </c>
      <c r="K11" s="200">
        <f>SUM(K22,K34)</f>
        <v>42100</v>
      </c>
      <c r="L11" s="200">
        <f>SUM(L22,L34)</f>
        <v>39373</v>
      </c>
      <c r="M11" s="200">
        <f>SUM(M22,M34)</f>
        <v>34121</v>
      </c>
      <c r="N11" s="200">
        <f>SUM(N22,N34)</f>
        <v>35596</v>
      </c>
    </row>
    <row r="12" spans="1:14" ht="15.6">
      <c r="B12" s="197" t="s">
        <v>246</v>
      </c>
      <c r="C12" s="295"/>
      <c r="D12" s="295"/>
      <c r="E12" s="295"/>
      <c r="F12" s="295"/>
      <c r="G12" s="295"/>
      <c r="H12" s="295"/>
      <c r="I12" s="198">
        <f t="shared" si="6"/>
        <v>47662</v>
      </c>
      <c r="J12" s="198">
        <f t="shared" si="6"/>
        <v>32439</v>
      </c>
      <c r="K12" s="198">
        <f t="shared" si="6"/>
        <v>28480</v>
      </c>
      <c r="L12" s="198">
        <f t="shared" ref="L12" si="7">SUM(L23,L35)</f>
        <v>25226</v>
      </c>
      <c r="M12" s="198">
        <f>SUM(M23,M35)</f>
        <v>27761</v>
      </c>
      <c r="N12" s="198">
        <f>SUM(N23,N35)</f>
        <v>24061</v>
      </c>
    </row>
    <row r="13" spans="1:14" ht="15.6">
      <c r="B13" s="199" t="s">
        <v>247</v>
      </c>
      <c r="C13" s="296"/>
      <c r="D13" s="296"/>
      <c r="E13" s="296"/>
      <c r="F13" s="296"/>
      <c r="G13" s="296"/>
      <c r="H13" s="296"/>
      <c r="I13" s="200">
        <f t="shared" si="6"/>
        <v>110579</v>
      </c>
      <c r="J13" s="200">
        <f t="shared" si="6"/>
        <v>78841</v>
      </c>
      <c r="K13" s="200">
        <f t="shared" si="6"/>
        <v>70580</v>
      </c>
      <c r="L13" s="200">
        <f t="shared" ref="L13:M13" si="8">SUM(L24,L36)</f>
        <v>64599</v>
      </c>
      <c r="M13" s="200">
        <f t="shared" si="8"/>
        <v>61882</v>
      </c>
      <c r="N13" s="200">
        <f t="shared" ref="N13" si="9">SUM(N24,N36)</f>
        <v>59657</v>
      </c>
    </row>
    <row r="14" spans="1:14" ht="15.6">
      <c r="B14" s="197" t="s">
        <v>248</v>
      </c>
      <c r="C14" s="295"/>
      <c r="D14" s="295"/>
      <c r="E14" s="295"/>
      <c r="F14" s="295"/>
      <c r="G14" s="295"/>
      <c r="H14" s="295"/>
      <c r="I14" s="198">
        <f t="shared" si="6"/>
        <v>68045</v>
      </c>
      <c r="J14" s="198">
        <f t="shared" si="6"/>
        <v>48930</v>
      </c>
      <c r="K14" s="198">
        <f t="shared" si="6"/>
        <v>47689</v>
      </c>
      <c r="L14" s="198">
        <f t="shared" ref="L14:M14" si="10">SUM(L25,L37)</f>
        <v>43763</v>
      </c>
      <c r="M14" s="198">
        <f t="shared" si="10"/>
        <v>41154</v>
      </c>
      <c r="N14" s="198">
        <f t="shared" ref="N14" si="11">SUM(N25,N37)</f>
        <v>43727</v>
      </c>
    </row>
    <row r="15" spans="1:14" ht="15.6">
      <c r="B15" s="199" t="s">
        <v>249</v>
      </c>
      <c r="C15" s="296"/>
      <c r="D15" s="296"/>
      <c r="E15" s="296"/>
      <c r="F15" s="296"/>
      <c r="G15" s="296"/>
      <c r="H15" s="296"/>
      <c r="I15" s="200">
        <f t="shared" si="6"/>
        <v>178624</v>
      </c>
      <c r="J15" s="200">
        <f t="shared" si="6"/>
        <v>127771</v>
      </c>
      <c r="K15" s="200">
        <f t="shared" si="6"/>
        <v>118269</v>
      </c>
      <c r="L15" s="200">
        <f t="shared" ref="L15:M15" si="12">SUM(L26,L38)</f>
        <v>108362</v>
      </c>
      <c r="M15" s="200">
        <f t="shared" si="12"/>
        <v>103036</v>
      </c>
      <c r="N15" s="200">
        <f t="shared" ref="N15" si="13">SUM(N26,N38)</f>
        <v>103384</v>
      </c>
    </row>
    <row r="16" spans="1:14">
      <c r="H16" s="79"/>
    </row>
    <row r="17" spans="2:14" ht="18">
      <c r="B17" s="369" t="s">
        <v>250</v>
      </c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</row>
    <row r="18" spans="2:14" ht="15" customHeight="1">
      <c r="B18" s="368" t="s">
        <v>241</v>
      </c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2:14" ht="18" customHeight="1">
      <c r="B19" s="151" t="s">
        <v>242</v>
      </c>
      <c r="C19" s="196">
        <v>42004</v>
      </c>
      <c r="D19" s="196">
        <v>42369</v>
      </c>
      <c r="E19" s="196">
        <v>42735</v>
      </c>
      <c r="F19" s="196">
        <v>43100</v>
      </c>
      <c r="G19" s="196">
        <v>43465</v>
      </c>
      <c r="H19" s="196">
        <v>43951</v>
      </c>
      <c r="I19" s="196">
        <v>44197</v>
      </c>
      <c r="J19" s="196">
        <v>44562</v>
      </c>
      <c r="K19" s="196">
        <v>44927</v>
      </c>
      <c r="L19" s="196">
        <v>45292</v>
      </c>
      <c r="M19" s="196">
        <v>45658</v>
      </c>
      <c r="N19" s="196">
        <v>46023</v>
      </c>
    </row>
    <row r="20" spans="2:14" ht="18" customHeight="1">
      <c r="B20" s="197" t="s">
        <v>243</v>
      </c>
      <c r="C20" s="198">
        <v>5720</v>
      </c>
      <c r="D20" s="198">
        <v>8315</v>
      </c>
      <c r="E20" s="198">
        <v>9071</v>
      </c>
      <c r="F20" s="198">
        <v>6993</v>
      </c>
      <c r="G20" s="198">
        <v>14147</v>
      </c>
      <c r="H20" s="198">
        <v>8997</v>
      </c>
      <c r="I20" s="198">
        <v>13217</v>
      </c>
      <c r="J20" s="198">
        <v>13430</v>
      </c>
      <c r="K20" s="198">
        <v>14760</v>
      </c>
      <c r="L20" s="198">
        <v>13161</v>
      </c>
      <c r="M20" s="198">
        <v>11374</v>
      </c>
      <c r="N20" s="198">
        <v>13774</v>
      </c>
    </row>
    <row r="21" spans="2:14" ht="18" customHeight="1">
      <c r="B21" s="197" t="s">
        <v>244</v>
      </c>
      <c r="C21" s="198">
        <v>8314</v>
      </c>
      <c r="D21" s="198">
        <v>4315</v>
      </c>
      <c r="E21" s="198">
        <v>3949</v>
      </c>
      <c r="F21" s="198">
        <v>3798</v>
      </c>
      <c r="G21" s="198">
        <v>0</v>
      </c>
      <c r="H21" s="198">
        <v>11907</v>
      </c>
      <c r="I21" s="198">
        <v>20257</v>
      </c>
      <c r="J21" s="198">
        <v>6884</v>
      </c>
      <c r="K21" s="198">
        <v>7636</v>
      </c>
      <c r="L21" s="198">
        <v>5362</v>
      </c>
      <c r="M21" s="198">
        <v>4439</v>
      </c>
      <c r="N21" s="198">
        <v>4938</v>
      </c>
    </row>
    <row r="22" spans="2:14" ht="18" customHeight="1">
      <c r="B22" s="199" t="s">
        <v>245</v>
      </c>
      <c r="C22" s="200">
        <f t="shared" ref="C22:H22" si="14">C21+C20</f>
        <v>14034</v>
      </c>
      <c r="D22" s="200">
        <f t="shared" si="14"/>
        <v>12630</v>
      </c>
      <c r="E22" s="200">
        <f t="shared" si="14"/>
        <v>13020</v>
      </c>
      <c r="F22" s="200">
        <f t="shared" si="14"/>
        <v>10791</v>
      </c>
      <c r="G22" s="200">
        <f t="shared" si="14"/>
        <v>14147</v>
      </c>
      <c r="H22" s="200">
        <f t="shared" si="14"/>
        <v>20904</v>
      </c>
      <c r="I22" s="200">
        <f t="shared" ref="I22" si="15">I21+I20</f>
        <v>33474</v>
      </c>
      <c r="J22" s="200">
        <f>J21+J20</f>
        <v>20314</v>
      </c>
      <c r="K22" s="200">
        <f>K21+K20</f>
        <v>22396</v>
      </c>
      <c r="L22" s="200">
        <f>L21+L20</f>
        <v>18523</v>
      </c>
      <c r="M22" s="200">
        <f>M21+M20</f>
        <v>15813</v>
      </c>
      <c r="N22" s="200">
        <f>N21+N20</f>
        <v>18712</v>
      </c>
    </row>
    <row r="23" spans="2:14" ht="18" customHeight="1">
      <c r="B23" s="197" t="s">
        <v>246</v>
      </c>
      <c r="C23" s="198">
        <v>8348</v>
      </c>
      <c r="D23" s="198">
        <v>6805</v>
      </c>
      <c r="E23" s="198">
        <v>2339</v>
      </c>
      <c r="F23" s="198">
        <v>2105</v>
      </c>
      <c r="G23" s="198">
        <v>6401</v>
      </c>
      <c r="H23" s="198">
        <v>27788</v>
      </c>
      <c r="I23" s="198">
        <v>24334</v>
      </c>
      <c r="J23" s="198">
        <v>12636</v>
      </c>
      <c r="K23" s="198">
        <v>13888</v>
      </c>
      <c r="L23" s="198">
        <v>10423</v>
      </c>
      <c r="M23" s="198">
        <v>13105</v>
      </c>
      <c r="N23" s="198">
        <v>17065</v>
      </c>
    </row>
    <row r="24" spans="2:14" ht="18" customHeight="1">
      <c r="B24" s="199" t="s">
        <v>247</v>
      </c>
      <c r="C24" s="200">
        <f t="shared" ref="C24:H24" si="16">C23+C22</f>
        <v>22382</v>
      </c>
      <c r="D24" s="200">
        <f t="shared" si="16"/>
        <v>19435</v>
      </c>
      <c r="E24" s="200">
        <f t="shared" si="16"/>
        <v>15359</v>
      </c>
      <c r="F24" s="200">
        <f t="shared" si="16"/>
        <v>12896</v>
      </c>
      <c r="G24" s="200">
        <f t="shared" si="16"/>
        <v>20548</v>
      </c>
      <c r="H24" s="200">
        <f t="shared" si="16"/>
        <v>48692</v>
      </c>
      <c r="I24" s="200">
        <f t="shared" ref="I24" si="17">I23+I22</f>
        <v>57808</v>
      </c>
      <c r="J24" s="200">
        <f>J23+J22</f>
        <v>32950</v>
      </c>
      <c r="K24" s="200">
        <f>K23+K22</f>
        <v>36284</v>
      </c>
      <c r="L24" s="200">
        <f>L23+L22</f>
        <v>28946</v>
      </c>
      <c r="M24" s="200">
        <f>M23+M22</f>
        <v>28918</v>
      </c>
      <c r="N24" s="200">
        <f>N23+N22</f>
        <v>35777</v>
      </c>
    </row>
    <row r="25" spans="2:14" ht="18" customHeight="1">
      <c r="B25" s="197" t="s">
        <v>248</v>
      </c>
      <c r="C25" s="198">
        <v>11457</v>
      </c>
      <c r="D25" s="198">
        <v>5529</v>
      </c>
      <c r="E25" s="198">
        <v>5838</v>
      </c>
      <c r="F25" s="198">
        <v>4156</v>
      </c>
      <c r="G25" s="198">
        <v>9598</v>
      </c>
      <c r="H25" s="198">
        <v>30209</v>
      </c>
      <c r="I25" s="198">
        <v>32658</v>
      </c>
      <c r="J25" s="198">
        <v>16780</v>
      </c>
      <c r="K25" s="198">
        <v>20320</v>
      </c>
      <c r="L25" s="198">
        <v>17233</v>
      </c>
      <c r="M25" s="198">
        <v>16800</v>
      </c>
      <c r="N25" s="198">
        <v>24995</v>
      </c>
    </row>
    <row r="26" spans="2:14" ht="18" customHeight="1">
      <c r="B26" s="199" t="s">
        <v>249</v>
      </c>
      <c r="C26" s="200">
        <f t="shared" ref="C26:H26" si="18">C25+C24</f>
        <v>33839</v>
      </c>
      <c r="D26" s="200">
        <f t="shared" si="18"/>
        <v>24964</v>
      </c>
      <c r="E26" s="200">
        <f t="shared" si="18"/>
        <v>21197</v>
      </c>
      <c r="F26" s="200">
        <f t="shared" si="18"/>
        <v>17052</v>
      </c>
      <c r="G26" s="200">
        <f t="shared" si="18"/>
        <v>30146</v>
      </c>
      <c r="H26" s="200">
        <f t="shared" si="18"/>
        <v>78901</v>
      </c>
      <c r="I26" s="200">
        <f t="shared" ref="I26" si="19">I25+I24</f>
        <v>90466</v>
      </c>
      <c r="J26" s="200">
        <f>J25+J24</f>
        <v>49730</v>
      </c>
      <c r="K26" s="200">
        <f>K25+K24</f>
        <v>56604</v>
      </c>
      <c r="L26" s="200">
        <f>L25+L24</f>
        <v>46179</v>
      </c>
      <c r="M26" s="200">
        <f>M25+M24</f>
        <v>45718</v>
      </c>
      <c r="N26" s="200">
        <f>N25+N24</f>
        <v>60772</v>
      </c>
    </row>
    <row r="27" spans="2:14">
      <c r="B27" s="90"/>
      <c r="C27" s="91"/>
      <c r="D27" s="91"/>
      <c r="E27" s="91"/>
      <c r="F27" s="91"/>
      <c r="G27" s="91"/>
      <c r="H27" s="91"/>
      <c r="I27" s="73"/>
      <c r="J27" s="73"/>
      <c r="K27" s="73"/>
      <c r="L27" s="73"/>
      <c r="M27" s="73"/>
      <c r="N27" s="73"/>
    </row>
    <row r="28" spans="2:14">
      <c r="B28" s="89"/>
      <c r="C28" s="82"/>
      <c r="D28" s="82"/>
      <c r="E28" s="82"/>
      <c r="F28" s="82"/>
      <c r="I28" s="73"/>
      <c r="J28" s="73"/>
      <c r="K28" s="73"/>
      <c r="L28" s="73"/>
      <c r="M28" s="73"/>
      <c r="N28" s="73"/>
    </row>
    <row r="29" spans="2:14" ht="18">
      <c r="B29" s="369" t="s">
        <v>251</v>
      </c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</row>
    <row r="30" spans="2:14" ht="18" customHeight="1">
      <c r="B30" s="368" t="s">
        <v>241</v>
      </c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</row>
    <row r="31" spans="2:14" ht="18" customHeight="1">
      <c r="B31" s="151" t="s">
        <v>242</v>
      </c>
      <c r="C31" s="196"/>
      <c r="D31" s="196"/>
      <c r="E31" s="196"/>
      <c r="F31" s="196"/>
      <c r="G31" s="196"/>
      <c r="H31" s="196">
        <v>43951</v>
      </c>
      <c r="I31" s="196">
        <v>44197</v>
      </c>
      <c r="J31" s="196">
        <v>44562</v>
      </c>
      <c r="K31" s="196">
        <v>44927</v>
      </c>
      <c r="L31" s="196">
        <v>45292</v>
      </c>
      <c r="M31" s="196">
        <v>45658</v>
      </c>
      <c r="N31" s="196">
        <v>46023</v>
      </c>
    </row>
    <row r="32" spans="2:14" ht="18" customHeight="1">
      <c r="B32" s="197" t="s">
        <v>243</v>
      </c>
      <c r="C32" s="198"/>
      <c r="D32" s="198"/>
      <c r="E32" s="198"/>
      <c r="F32" s="198"/>
      <c r="G32" s="198"/>
      <c r="H32" s="198">
        <v>16985</v>
      </c>
      <c r="I32" s="198">
        <v>19396</v>
      </c>
      <c r="J32" s="198">
        <v>25038</v>
      </c>
      <c r="K32" s="198">
        <v>18888</v>
      </c>
      <c r="L32" s="198">
        <v>19915</v>
      </c>
      <c r="M32" s="198">
        <v>18308</v>
      </c>
      <c r="N32" s="198">
        <v>16407</v>
      </c>
    </row>
    <row r="33" spans="2:14" ht="18" customHeight="1">
      <c r="B33" s="197" t="s">
        <v>244</v>
      </c>
      <c r="C33" s="198"/>
      <c r="D33" s="198"/>
      <c r="E33" s="198"/>
      <c r="F33" s="198"/>
      <c r="G33" s="198"/>
      <c r="H33" s="198">
        <v>12763</v>
      </c>
      <c r="I33" s="198">
        <v>10047</v>
      </c>
      <c r="J33" s="198">
        <v>1050</v>
      </c>
      <c r="K33" s="198">
        <v>816</v>
      </c>
      <c r="L33" s="198">
        <v>935</v>
      </c>
      <c r="M33" s="198">
        <v>0</v>
      </c>
      <c r="N33" s="198">
        <v>477</v>
      </c>
    </row>
    <row r="34" spans="2:14" ht="18" customHeight="1">
      <c r="B34" s="199" t="s">
        <v>245</v>
      </c>
      <c r="C34" s="200"/>
      <c r="D34" s="200"/>
      <c r="E34" s="200"/>
      <c r="F34" s="200"/>
      <c r="G34" s="200"/>
      <c r="H34" s="200">
        <f>H32+H33</f>
        <v>29748</v>
      </c>
      <c r="I34" s="200">
        <f t="shared" ref="I34" si="20">I32+I33</f>
        <v>29443</v>
      </c>
      <c r="J34" s="200">
        <f>J32+J33</f>
        <v>26088</v>
      </c>
      <c r="K34" s="200">
        <f>K32+K33</f>
        <v>19704</v>
      </c>
      <c r="L34" s="200">
        <f>L32+L33</f>
        <v>20850</v>
      </c>
      <c r="M34" s="200">
        <f>M32+M33</f>
        <v>18308</v>
      </c>
      <c r="N34" s="200">
        <f>N32+N33</f>
        <v>16884</v>
      </c>
    </row>
    <row r="35" spans="2:14" ht="18" customHeight="1">
      <c r="B35" s="197" t="s">
        <v>246</v>
      </c>
      <c r="C35" s="198"/>
      <c r="D35" s="198"/>
      <c r="E35" s="198"/>
      <c r="F35" s="198"/>
      <c r="G35" s="198"/>
      <c r="H35" s="198">
        <v>16954</v>
      </c>
      <c r="I35" s="198">
        <v>23328</v>
      </c>
      <c r="J35" s="198">
        <v>19803</v>
      </c>
      <c r="K35" s="198">
        <v>14592</v>
      </c>
      <c r="L35" s="198">
        <v>14803</v>
      </c>
      <c r="M35" s="198">
        <v>14656</v>
      </c>
      <c r="N35" s="198">
        <v>6996</v>
      </c>
    </row>
    <row r="36" spans="2:14" ht="18" customHeight="1">
      <c r="B36" s="199" t="s">
        <v>247</v>
      </c>
      <c r="C36" s="200"/>
      <c r="D36" s="200"/>
      <c r="E36" s="200"/>
      <c r="F36" s="200"/>
      <c r="G36" s="200"/>
      <c r="H36" s="200">
        <f>H34+H35</f>
        <v>46702</v>
      </c>
      <c r="I36" s="200">
        <f t="shared" ref="I36:N36" si="21">I34+I35</f>
        <v>52771</v>
      </c>
      <c r="J36" s="200">
        <f t="shared" si="21"/>
        <v>45891</v>
      </c>
      <c r="K36" s="200">
        <f t="shared" si="21"/>
        <v>34296</v>
      </c>
      <c r="L36" s="200">
        <f t="shared" ref="L36" si="22">L34+L35</f>
        <v>35653</v>
      </c>
      <c r="M36" s="200">
        <f t="shared" si="21"/>
        <v>32964</v>
      </c>
      <c r="N36" s="200">
        <f t="shared" si="21"/>
        <v>23880</v>
      </c>
    </row>
    <row r="37" spans="2:14" ht="18" customHeight="1">
      <c r="B37" s="197" t="s">
        <v>248</v>
      </c>
      <c r="C37" s="198"/>
      <c r="D37" s="198"/>
      <c r="E37" s="198"/>
      <c r="F37" s="198"/>
      <c r="G37" s="198"/>
      <c r="H37" s="198">
        <v>19483</v>
      </c>
      <c r="I37" s="198">
        <v>35387</v>
      </c>
      <c r="J37" s="198">
        <v>32150</v>
      </c>
      <c r="K37" s="198">
        <v>27369</v>
      </c>
      <c r="L37" s="198">
        <v>26530</v>
      </c>
      <c r="M37" s="198">
        <v>24354</v>
      </c>
      <c r="N37" s="198">
        <v>18732</v>
      </c>
    </row>
    <row r="38" spans="2:14" ht="18" customHeight="1">
      <c r="B38" s="199" t="s">
        <v>249</v>
      </c>
      <c r="C38" s="200"/>
      <c r="D38" s="200"/>
      <c r="E38" s="200"/>
      <c r="F38" s="200"/>
      <c r="G38" s="200"/>
      <c r="H38" s="200">
        <f>H36+H37</f>
        <v>66185</v>
      </c>
      <c r="I38" s="200">
        <f t="shared" ref="I38:N38" si="23">I36+I37</f>
        <v>88158</v>
      </c>
      <c r="J38" s="200">
        <f t="shared" si="23"/>
        <v>78041</v>
      </c>
      <c r="K38" s="200">
        <f t="shared" si="23"/>
        <v>61665</v>
      </c>
      <c r="L38" s="200">
        <f t="shared" ref="L38" si="24">L36+L37</f>
        <v>62183</v>
      </c>
      <c r="M38" s="200">
        <f t="shared" si="23"/>
        <v>57318</v>
      </c>
      <c r="N38" s="200">
        <f t="shared" si="23"/>
        <v>42612</v>
      </c>
    </row>
    <row r="39" spans="2:14">
      <c r="C39" s="82"/>
      <c r="D39" s="82"/>
      <c r="E39" s="82"/>
      <c r="F39" s="82"/>
      <c r="I39" s="73"/>
      <c r="J39" s="73"/>
      <c r="K39" s="73"/>
      <c r="L39" s="73"/>
      <c r="M39" s="73"/>
      <c r="N39" s="73"/>
    </row>
    <row r="40" spans="2:14" ht="18">
      <c r="B40" s="367" t="s">
        <v>252</v>
      </c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</row>
    <row r="41" spans="2:14" ht="15.6">
      <c r="B41" s="368" t="s">
        <v>241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</row>
    <row r="42" spans="2:14" ht="15" customHeight="1">
      <c r="B42" s="151" t="s">
        <v>242</v>
      </c>
      <c r="C42" s="196"/>
      <c r="D42" s="196"/>
      <c r="E42" s="196"/>
      <c r="F42" s="196"/>
      <c r="G42" s="196"/>
      <c r="H42" s="196"/>
      <c r="I42" s="196"/>
      <c r="J42" s="196">
        <v>44562</v>
      </c>
      <c r="K42" s="196">
        <v>44927</v>
      </c>
      <c r="L42" s="196">
        <v>45292</v>
      </c>
      <c r="M42" s="196">
        <v>45658</v>
      </c>
      <c r="N42" s="196">
        <v>46023</v>
      </c>
    </row>
    <row r="43" spans="2:14" ht="18" customHeight="1">
      <c r="B43" s="197" t="s">
        <v>243</v>
      </c>
      <c r="C43" s="198"/>
      <c r="D43" s="198"/>
      <c r="E43" s="198"/>
      <c r="F43" s="198"/>
      <c r="G43" s="198"/>
      <c r="H43" s="198"/>
      <c r="I43" s="198"/>
      <c r="J43" s="198">
        <f>SUM(J54,J65)</f>
        <v>30552</v>
      </c>
      <c r="K43" s="198">
        <f>SUM(K54,K65)</f>
        <v>74235</v>
      </c>
      <c r="L43" s="198">
        <f>SUM(L54,L65)</f>
        <v>104145</v>
      </c>
      <c r="M43" s="198">
        <f>SUM(M54,M65)</f>
        <v>94750</v>
      </c>
      <c r="N43" s="198">
        <f>SUM(N54,N65)</f>
        <v>88215</v>
      </c>
    </row>
    <row r="44" spans="2:14" ht="18" customHeight="1">
      <c r="B44" s="197" t="s">
        <v>244</v>
      </c>
      <c r="C44" s="198"/>
      <c r="D44" s="198"/>
      <c r="E44" s="198"/>
      <c r="F44" s="198"/>
      <c r="G44" s="198"/>
      <c r="H44" s="198"/>
      <c r="I44" s="198"/>
      <c r="J44" s="198">
        <f>SUM(J55,J66)</f>
        <v>110943</v>
      </c>
      <c r="K44" s="198">
        <f t="shared" ref="K44:K49" si="25">SUM(K55,K66)</f>
        <v>126881</v>
      </c>
      <c r="L44" s="198">
        <f t="shared" ref="L44:M44" si="26">SUM(L55,L66)</f>
        <v>101067</v>
      </c>
      <c r="M44" s="198">
        <f t="shared" si="26"/>
        <v>146733</v>
      </c>
      <c r="N44" s="198">
        <f t="shared" ref="N44" si="27">SUM(N55,N66)</f>
        <v>144287</v>
      </c>
    </row>
    <row r="45" spans="2:14" ht="18" customHeight="1">
      <c r="B45" s="199" t="s">
        <v>245</v>
      </c>
      <c r="C45" s="200"/>
      <c r="D45" s="200"/>
      <c r="E45" s="200"/>
      <c r="F45" s="200"/>
      <c r="G45" s="200"/>
      <c r="H45" s="200"/>
      <c r="I45" s="200"/>
      <c r="J45" s="200">
        <f t="shared" ref="J45:J49" si="28">SUM(J56,J67)</f>
        <v>141495</v>
      </c>
      <c r="K45" s="200">
        <f t="shared" si="25"/>
        <v>201116</v>
      </c>
      <c r="L45" s="200">
        <f t="shared" ref="L45:M45" si="29">SUM(L56,L67)</f>
        <v>205212</v>
      </c>
      <c r="M45" s="200">
        <f t="shared" si="29"/>
        <v>241483</v>
      </c>
      <c r="N45" s="200">
        <f t="shared" ref="N45" si="30">SUM(N56,N67)</f>
        <v>232502</v>
      </c>
    </row>
    <row r="46" spans="2:14" ht="18" customHeight="1">
      <c r="B46" s="197" t="s">
        <v>246</v>
      </c>
      <c r="C46" s="198"/>
      <c r="D46" s="198"/>
      <c r="E46" s="198"/>
      <c r="F46" s="198"/>
      <c r="G46" s="198"/>
      <c r="H46" s="198"/>
      <c r="I46" s="198"/>
      <c r="J46" s="198">
        <f t="shared" si="28"/>
        <v>67788</v>
      </c>
      <c r="K46" s="198">
        <f t="shared" si="25"/>
        <v>74173</v>
      </c>
      <c r="L46" s="198">
        <f t="shared" ref="L46:M46" si="31">SUM(L57,L68)</f>
        <v>64375</v>
      </c>
      <c r="M46" s="198">
        <f t="shared" si="31"/>
        <v>67561</v>
      </c>
      <c r="N46" s="198">
        <f t="shared" ref="N46" si="32">SUM(N57,N68)</f>
        <v>67841</v>
      </c>
    </row>
    <row r="47" spans="2:14" ht="18" customHeight="1">
      <c r="B47" s="199" t="s">
        <v>247</v>
      </c>
      <c r="C47" s="200"/>
      <c r="D47" s="200"/>
      <c r="E47" s="200"/>
      <c r="F47" s="200"/>
      <c r="G47" s="200"/>
      <c r="H47" s="200"/>
      <c r="I47" s="200"/>
      <c r="J47" s="200">
        <f t="shared" si="28"/>
        <v>209283</v>
      </c>
      <c r="K47" s="200">
        <f t="shared" si="25"/>
        <v>275289</v>
      </c>
      <c r="L47" s="200">
        <f t="shared" ref="L47:M47" si="33">SUM(L58,L69)</f>
        <v>269587</v>
      </c>
      <c r="M47" s="200">
        <f t="shared" si="33"/>
        <v>309044</v>
      </c>
      <c r="N47" s="200">
        <f t="shared" ref="N47" si="34">SUM(N58,N69)</f>
        <v>300343</v>
      </c>
    </row>
    <row r="48" spans="2:14" ht="18" customHeight="1">
      <c r="B48" s="197" t="s">
        <v>248</v>
      </c>
      <c r="C48" s="198"/>
      <c r="D48" s="198"/>
      <c r="E48" s="198"/>
      <c r="F48" s="198"/>
      <c r="G48" s="198"/>
      <c r="H48" s="198"/>
      <c r="I48" s="198"/>
      <c r="J48" s="198">
        <f t="shared" si="28"/>
        <v>87674</v>
      </c>
      <c r="K48" s="198">
        <f t="shared" si="25"/>
        <v>96244</v>
      </c>
      <c r="L48" s="198">
        <f t="shared" ref="L48:M48" si="35">SUM(L59,L70)</f>
        <v>69143</v>
      </c>
      <c r="M48" s="198">
        <f t="shared" si="35"/>
        <v>86147</v>
      </c>
      <c r="N48" s="198">
        <f t="shared" ref="N48" si="36">SUM(N59,N70)</f>
        <v>218379</v>
      </c>
    </row>
    <row r="49" spans="1:14" ht="18" customHeight="1">
      <c r="B49" s="199" t="s">
        <v>249</v>
      </c>
      <c r="C49" s="200"/>
      <c r="D49" s="200"/>
      <c r="E49" s="200"/>
      <c r="F49" s="200"/>
      <c r="G49" s="200"/>
      <c r="H49" s="200"/>
      <c r="I49" s="200"/>
      <c r="J49" s="200">
        <f t="shared" si="28"/>
        <v>296957</v>
      </c>
      <c r="K49" s="200">
        <f t="shared" si="25"/>
        <v>371533</v>
      </c>
      <c r="L49" s="200">
        <f t="shared" ref="L49:M49" si="37">SUM(L60,L71)</f>
        <v>338730</v>
      </c>
      <c r="M49" s="200">
        <f t="shared" si="37"/>
        <v>395191</v>
      </c>
      <c r="N49" s="200">
        <f t="shared" ref="N49" si="38">SUM(N60,N71)</f>
        <v>518722</v>
      </c>
    </row>
    <row r="50" spans="1:14" ht="18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1:14" ht="18" customHeight="1">
      <c r="A51" s="73"/>
      <c r="B51" s="369" t="s">
        <v>253</v>
      </c>
      <c r="C51" s="369"/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</row>
    <row r="52" spans="1:14" ht="18" customHeight="1">
      <c r="A52" s="73"/>
      <c r="B52" s="368" t="s">
        <v>241</v>
      </c>
      <c r="C52" s="368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</row>
    <row r="53" spans="1:14" ht="18" customHeight="1">
      <c r="A53" s="73"/>
      <c r="B53" s="151" t="s">
        <v>242</v>
      </c>
      <c r="C53" s="196"/>
      <c r="D53" s="196"/>
      <c r="E53" s="196"/>
      <c r="F53" s="196"/>
      <c r="G53" s="196"/>
      <c r="H53" s="196">
        <v>43951</v>
      </c>
      <c r="I53" s="196">
        <v>44197</v>
      </c>
      <c r="J53" s="196">
        <v>44562</v>
      </c>
      <c r="K53" s="196">
        <v>44927</v>
      </c>
      <c r="L53" s="196">
        <v>45292</v>
      </c>
      <c r="M53" s="196">
        <v>45658</v>
      </c>
      <c r="N53" s="196">
        <v>46023</v>
      </c>
    </row>
    <row r="54" spans="1:14" ht="18" customHeight="1">
      <c r="A54" s="73"/>
      <c r="B54" s="197" t="s">
        <v>243</v>
      </c>
      <c r="C54" s="198"/>
      <c r="D54" s="198"/>
      <c r="E54" s="198"/>
      <c r="F54" s="198"/>
      <c r="G54" s="198"/>
      <c r="H54" s="198">
        <v>36293</v>
      </c>
      <c r="I54" s="198">
        <v>31707</v>
      </c>
      <c r="J54" s="198">
        <v>30552</v>
      </c>
      <c r="K54" s="198">
        <v>74235</v>
      </c>
      <c r="L54" s="198">
        <v>104145</v>
      </c>
      <c r="M54" s="198">
        <v>94750</v>
      </c>
      <c r="N54" s="198">
        <v>88215</v>
      </c>
    </row>
    <row r="55" spans="1:14" ht="18" customHeight="1">
      <c r="A55" s="73"/>
      <c r="B55" s="197" t="s">
        <v>244</v>
      </c>
      <c r="C55" s="198"/>
      <c r="D55" s="198"/>
      <c r="E55" s="198"/>
      <c r="F55" s="198"/>
      <c r="G55" s="198"/>
      <c r="H55" s="198">
        <v>23933</v>
      </c>
      <c r="I55" s="198">
        <v>23965</v>
      </c>
      <c r="J55" s="198">
        <v>29898</v>
      </c>
      <c r="K55" s="198">
        <v>45838</v>
      </c>
      <c r="L55" s="198">
        <v>21229</v>
      </c>
      <c r="M55" s="198">
        <v>24033</v>
      </c>
      <c r="N55" s="198">
        <v>22548</v>
      </c>
    </row>
    <row r="56" spans="1:14" ht="18" customHeight="1">
      <c r="A56" s="73"/>
      <c r="B56" s="199" t="s">
        <v>245</v>
      </c>
      <c r="C56" s="200"/>
      <c r="D56" s="200"/>
      <c r="E56" s="200"/>
      <c r="F56" s="200"/>
      <c r="G56" s="200"/>
      <c r="H56" s="200">
        <f>H54+H55</f>
        <v>60226</v>
      </c>
      <c r="I56" s="200">
        <f t="shared" ref="I56:N56" si="39">I54+I55</f>
        <v>55672</v>
      </c>
      <c r="J56" s="200">
        <f t="shared" si="39"/>
        <v>60450</v>
      </c>
      <c r="K56" s="200">
        <f t="shared" si="39"/>
        <v>120073</v>
      </c>
      <c r="L56" s="200">
        <f t="shared" ref="L56" si="40">L54+L55</f>
        <v>125374</v>
      </c>
      <c r="M56" s="200">
        <f t="shared" si="39"/>
        <v>118783</v>
      </c>
      <c r="N56" s="200">
        <f t="shared" si="39"/>
        <v>110763</v>
      </c>
    </row>
    <row r="57" spans="1:14" ht="18" customHeight="1">
      <c r="A57" s="73"/>
      <c r="B57" s="197" t="s">
        <v>246</v>
      </c>
      <c r="C57" s="198"/>
      <c r="D57" s="198"/>
      <c r="E57" s="198"/>
      <c r="F57" s="198"/>
      <c r="G57" s="198"/>
      <c r="H57" s="198">
        <v>32091</v>
      </c>
      <c r="I57" s="198">
        <v>39010</v>
      </c>
      <c r="J57" s="198">
        <v>41252</v>
      </c>
      <c r="K57" s="198">
        <v>47201</v>
      </c>
      <c r="L57" s="198">
        <v>37346</v>
      </c>
      <c r="M57" s="198">
        <v>24922</v>
      </c>
      <c r="N57" s="198">
        <v>24799</v>
      </c>
    </row>
    <row r="58" spans="1:14" ht="18" customHeight="1">
      <c r="A58" s="73"/>
      <c r="B58" s="199" t="s">
        <v>247</v>
      </c>
      <c r="C58" s="200"/>
      <c r="D58" s="200"/>
      <c r="E58" s="200"/>
      <c r="F58" s="200"/>
      <c r="G58" s="200"/>
      <c r="H58" s="200">
        <f>H56+H57</f>
        <v>92317</v>
      </c>
      <c r="I58" s="200">
        <f t="shared" ref="I58:K58" si="41">I56+I57</f>
        <v>94682</v>
      </c>
      <c r="J58" s="200">
        <f t="shared" si="41"/>
        <v>101702</v>
      </c>
      <c r="K58" s="200">
        <f t="shared" si="41"/>
        <v>167274</v>
      </c>
      <c r="L58" s="200">
        <f t="shared" ref="L58" si="42">L56+L57</f>
        <v>162720</v>
      </c>
      <c r="M58" s="200">
        <f>M56+M57</f>
        <v>143705</v>
      </c>
      <c r="N58" s="200">
        <f>N56+N57</f>
        <v>135562</v>
      </c>
    </row>
    <row r="59" spans="1:14" ht="18" customHeight="1">
      <c r="A59" s="73"/>
      <c r="B59" s="197" t="s">
        <v>248</v>
      </c>
      <c r="C59" s="198"/>
      <c r="D59" s="198"/>
      <c r="E59" s="198"/>
      <c r="F59" s="198"/>
      <c r="G59" s="198"/>
      <c r="H59" s="198">
        <v>35844</v>
      </c>
      <c r="I59" s="198">
        <v>45649</v>
      </c>
      <c r="J59" s="198">
        <v>46093</v>
      </c>
      <c r="K59" s="198">
        <v>54810</v>
      </c>
      <c r="L59" s="198">
        <v>32408</v>
      </c>
      <c r="M59" s="198">
        <v>28218</v>
      </c>
      <c r="N59" s="198">
        <v>162643</v>
      </c>
    </row>
    <row r="60" spans="1:14" ht="18" customHeight="1">
      <c r="A60" s="73"/>
      <c r="B60" s="199" t="s">
        <v>249</v>
      </c>
      <c r="C60" s="200"/>
      <c r="D60" s="200"/>
      <c r="E60" s="200"/>
      <c r="F60" s="200"/>
      <c r="G60" s="200"/>
      <c r="H60" s="200">
        <f>H58+H59</f>
        <v>128161</v>
      </c>
      <c r="I60" s="200">
        <f t="shared" ref="I60:J60" si="43">I58+I59</f>
        <v>140331</v>
      </c>
      <c r="J60" s="200">
        <f t="shared" si="43"/>
        <v>147795</v>
      </c>
      <c r="K60" s="200">
        <f>K58+K59</f>
        <v>222084</v>
      </c>
      <c r="L60" s="200">
        <f>L58+L59</f>
        <v>195128</v>
      </c>
      <c r="M60" s="200">
        <f>M58+M59</f>
        <v>171923</v>
      </c>
      <c r="N60" s="200">
        <f>N58+N59</f>
        <v>298205</v>
      </c>
    </row>
    <row r="61" spans="1:14" ht="18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ht="18" customHeight="1">
      <c r="A62" s="73"/>
      <c r="B62" s="369" t="s">
        <v>254</v>
      </c>
      <c r="C62" s="369"/>
      <c r="D62" s="369"/>
      <c r="E62" s="369"/>
      <c r="F62" s="369"/>
      <c r="G62" s="369"/>
      <c r="H62" s="369"/>
      <c r="I62" s="369"/>
      <c r="J62" s="369"/>
      <c r="K62" s="369"/>
      <c r="L62" s="369"/>
      <c r="M62" s="369"/>
      <c r="N62" s="369"/>
    </row>
    <row r="63" spans="1:14" ht="18" customHeight="1">
      <c r="A63" s="73"/>
      <c r="B63" s="368" t="s">
        <v>241</v>
      </c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</row>
    <row r="64" spans="1:14" ht="18" customHeight="1">
      <c r="A64" s="73"/>
      <c r="B64" s="151" t="s">
        <v>242</v>
      </c>
      <c r="C64" s="196"/>
      <c r="D64" s="196"/>
      <c r="E64" s="196"/>
      <c r="F64" s="196"/>
      <c r="G64" s="196"/>
      <c r="H64" s="196"/>
      <c r="I64" s="196"/>
      <c r="J64" s="196">
        <v>44562</v>
      </c>
      <c r="K64" s="196">
        <v>44927</v>
      </c>
      <c r="L64" s="196">
        <v>45292</v>
      </c>
      <c r="M64" s="196">
        <v>45658</v>
      </c>
      <c r="N64" s="196">
        <v>46023</v>
      </c>
    </row>
    <row r="65" spans="1:14" ht="18" customHeight="1">
      <c r="A65" s="73"/>
      <c r="B65" s="197" t="s">
        <v>243</v>
      </c>
      <c r="C65" s="198"/>
      <c r="D65" s="198"/>
      <c r="E65" s="198"/>
      <c r="F65" s="198"/>
      <c r="G65" s="198"/>
      <c r="H65" s="198"/>
      <c r="I65" s="198"/>
      <c r="J65" s="198">
        <v>0</v>
      </c>
      <c r="K65" s="198">
        <v>0</v>
      </c>
      <c r="L65" s="198">
        <v>0</v>
      </c>
      <c r="M65" s="198">
        <v>0</v>
      </c>
      <c r="N65" s="198">
        <v>0</v>
      </c>
    </row>
    <row r="66" spans="1:14" ht="18" customHeight="1">
      <c r="A66" s="73"/>
      <c r="B66" s="197" t="s">
        <v>244</v>
      </c>
      <c r="C66" s="198"/>
      <c r="D66" s="198"/>
      <c r="E66" s="198"/>
      <c r="F66" s="198"/>
      <c r="G66" s="198"/>
      <c r="H66" s="198"/>
      <c r="I66" s="198"/>
      <c r="J66" s="198">
        <v>81045</v>
      </c>
      <c r="K66" s="198">
        <v>81043</v>
      </c>
      <c r="L66" s="198">
        <v>79838</v>
      </c>
      <c r="M66" s="198">
        <v>122700</v>
      </c>
      <c r="N66" s="198">
        <v>121739</v>
      </c>
    </row>
    <row r="67" spans="1:14" ht="18" customHeight="1">
      <c r="A67" s="73"/>
      <c r="B67" s="199" t="s">
        <v>245</v>
      </c>
      <c r="C67" s="200"/>
      <c r="D67" s="200"/>
      <c r="E67" s="200"/>
      <c r="F67" s="200"/>
      <c r="G67" s="200"/>
      <c r="H67" s="200"/>
      <c r="I67" s="200"/>
      <c r="J67" s="200">
        <f t="shared" ref="J67:N67" si="44">J65+J66</f>
        <v>81045</v>
      </c>
      <c r="K67" s="200">
        <f t="shared" si="44"/>
        <v>81043</v>
      </c>
      <c r="L67" s="200">
        <f t="shared" ref="L67" si="45">L65+L66</f>
        <v>79838</v>
      </c>
      <c r="M67" s="200">
        <f t="shared" si="44"/>
        <v>122700</v>
      </c>
      <c r="N67" s="200">
        <f t="shared" si="44"/>
        <v>121739</v>
      </c>
    </row>
    <row r="68" spans="1:14" ht="18" customHeight="1">
      <c r="A68" s="73"/>
      <c r="B68" s="197" t="s">
        <v>246</v>
      </c>
      <c r="C68" s="198"/>
      <c r="D68" s="198"/>
      <c r="E68" s="198"/>
      <c r="F68" s="198"/>
      <c r="G68" s="198"/>
      <c r="H68" s="198"/>
      <c r="I68" s="198"/>
      <c r="J68" s="198">
        <v>26536</v>
      </c>
      <c r="K68" s="198">
        <v>26972</v>
      </c>
      <c r="L68" s="198">
        <v>27029</v>
      </c>
      <c r="M68" s="198">
        <v>42639</v>
      </c>
      <c r="N68" s="198">
        <v>43042</v>
      </c>
    </row>
    <row r="69" spans="1:14" ht="18" customHeight="1">
      <c r="A69" s="73"/>
      <c r="B69" s="199" t="s">
        <v>247</v>
      </c>
      <c r="C69" s="200"/>
      <c r="D69" s="200"/>
      <c r="E69" s="200"/>
      <c r="F69" s="200"/>
      <c r="G69" s="200"/>
      <c r="H69" s="200"/>
      <c r="I69" s="200"/>
      <c r="J69" s="200">
        <f t="shared" ref="J69:N69" si="46">J67+J68</f>
        <v>107581</v>
      </c>
      <c r="K69" s="200">
        <f t="shared" si="46"/>
        <v>108015</v>
      </c>
      <c r="L69" s="200">
        <f t="shared" ref="L69" si="47">L67+L68</f>
        <v>106867</v>
      </c>
      <c r="M69" s="200">
        <f t="shared" si="46"/>
        <v>165339</v>
      </c>
      <c r="N69" s="200">
        <f t="shared" si="46"/>
        <v>164781</v>
      </c>
    </row>
    <row r="70" spans="1:14" ht="18" customHeight="1">
      <c r="A70" s="73"/>
      <c r="B70" s="197" t="s">
        <v>248</v>
      </c>
      <c r="C70" s="198"/>
      <c r="D70" s="198"/>
      <c r="E70" s="198"/>
      <c r="F70" s="198"/>
      <c r="G70" s="198"/>
      <c r="H70" s="198"/>
      <c r="I70" s="198"/>
      <c r="J70" s="198">
        <v>41581</v>
      </c>
      <c r="K70" s="198">
        <v>41434</v>
      </c>
      <c r="L70" s="198">
        <v>36735</v>
      </c>
      <c r="M70" s="198">
        <v>57929</v>
      </c>
      <c r="N70" s="198">
        <v>55736</v>
      </c>
    </row>
    <row r="71" spans="1:14" ht="18" customHeight="1">
      <c r="A71" s="73"/>
      <c r="B71" s="199" t="s">
        <v>249</v>
      </c>
      <c r="C71" s="200"/>
      <c r="D71" s="200"/>
      <c r="E71" s="200"/>
      <c r="F71" s="200"/>
      <c r="G71" s="200"/>
      <c r="H71" s="200"/>
      <c r="I71" s="200"/>
      <c r="J71" s="200">
        <f>J69+J70</f>
        <v>149162</v>
      </c>
      <c r="K71" s="200">
        <f t="shared" ref="K71:N71" si="48">K69+K70</f>
        <v>149449</v>
      </c>
      <c r="L71" s="200">
        <f t="shared" ref="L71" si="49">L69+L70</f>
        <v>143602</v>
      </c>
      <c r="M71" s="200">
        <f t="shared" si="48"/>
        <v>223268</v>
      </c>
      <c r="N71" s="200">
        <f t="shared" si="48"/>
        <v>220517</v>
      </c>
    </row>
    <row r="72" spans="1:14" ht="18" customHeight="1">
      <c r="B72" s="72"/>
      <c r="C72" s="72"/>
      <c r="D72" s="72"/>
      <c r="E72" s="72"/>
      <c r="F72" s="72"/>
      <c r="G72" s="72"/>
      <c r="L72" s="73"/>
      <c r="M72" s="73"/>
      <c r="N72" s="73"/>
    </row>
    <row r="73" spans="1:14" ht="18">
      <c r="B73" s="367" t="s">
        <v>255</v>
      </c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</row>
    <row r="74" spans="1:14" ht="15" customHeight="1">
      <c r="B74" s="368" t="s">
        <v>241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</row>
    <row r="75" spans="1:14" ht="18" customHeight="1">
      <c r="B75" s="151" t="s">
        <v>242</v>
      </c>
      <c r="C75" s="196"/>
      <c r="D75" s="196"/>
      <c r="E75" s="196"/>
      <c r="F75" s="196"/>
      <c r="G75" s="196"/>
      <c r="H75" s="196"/>
      <c r="I75" s="196"/>
      <c r="J75" s="196">
        <v>44562</v>
      </c>
      <c r="K75" s="196">
        <v>44927</v>
      </c>
      <c r="L75" s="196">
        <v>45292</v>
      </c>
      <c r="M75" s="196">
        <v>45658</v>
      </c>
      <c r="N75" s="196">
        <v>46023</v>
      </c>
    </row>
    <row r="76" spans="1:14" ht="18" customHeight="1">
      <c r="B76" s="197" t="s">
        <v>243</v>
      </c>
      <c r="C76" s="198"/>
      <c r="D76" s="198"/>
      <c r="E76" s="198"/>
      <c r="F76" s="198"/>
      <c r="G76" s="198"/>
      <c r="H76" s="198"/>
      <c r="I76" s="198"/>
      <c r="J76" s="198">
        <v>69470</v>
      </c>
      <c r="K76" s="198">
        <v>91418</v>
      </c>
      <c r="L76" s="198">
        <v>96882</v>
      </c>
      <c r="M76" s="198">
        <v>102834</v>
      </c>
      <c r="N76" s="198">
        <v>96469</v>
      </c>
    </row>
    <row r="77" spans="1:14" ht="18" customHeight="1">
      <c r="B77" s="197" t="s">
        <v>244</v>
      </c>
      <c r="C77" s="198"/>
      <c r="D77" s="198"/>
      <c r="E77" s="198"/>
      <c r="F77" s="198"/>
      <c r="G77" s="198"/>
      <c r="H77" s="198"/>
      <c r="I77" s="198"/>
      <c r="J77" s="198">
        <v>174052</v>
      </c>
      <c r="K77" s="198">
        <v>212644</v>
      </c>
      <c r="L77" s="198">
        <v>195628</v>
      </c>
      <c r="M77" s="198">
        <v>186406</v>
      </c>
      <c r="N77" s="198">
        <v>176978</v>
      </c>
    </row>
    <row r="78" spans="1:14" ht="18" customHeight="1">
      <c r="B78" s="199" t="s">
        <v>245</v>
      </c>
      <c r="C78" s="200"/>
      <c r="D78" s="200"/>
      <c r="E78" s="200"/>
      <c r="F78" s="200"/>
      <c r="G78" s="200"/>
      <c r="H78" s="200"/>
      <c r="I78" s="200"/>
      <c r="J78" s="200">
        <f t="shared" ref="J78:N78" si="50">J76+J77</f>
        <v>243522</v>
      </c>
      <c r="K78" s="200">
        <f t="shared" si="50"/>
        <v>304062</v>
      </c>
      <c r="L78" s="200">
        <f t="shared" ref="L78" si="51">L76+L77</f>
        <v>292510</v>
      </c>
      <c r="M78" s="200">
        <f t="shared" si="50"/>
        <v>289240</v>
      </c>
      <c r="N78" s="200">
        <f t="shared" si="50"/>
        <v>273447</v>
      </c>
    </row>
    <row r="79" spans="1:14" ht="18" customHeight="1">
      <c r="B79" s="197" t="s">
        <v>246</v>
      </c>
      <c r="C79" s="198"/>
      <c r="D79" s="198"/>
      <c r="E79" s="198"/>
      <c r="F79" s="198"/>
      <c r="G79" s="198"/>
      <c r="H79" s="198"/>
      <c r="I79" s="198"/>
      <c r="J79" s="198">
        <v>111314</v>
      </c>
      <c r="K79" s="198">
        <v>97515</v>
      </c>
      <c r="L79" s="198">
        <v>101912</v>
      </c>
      <c r="M79" s="198">
        <v>88678</v>
      </c>
      <c r="N79" s="198">
        <v>76027</v>
      </c>
    </row>
    <row r="80" spans="1:14" ht="18" customHeight="1">
      <c r="B80" s="199" t="s">
        <v>247</v>
      </c>
      <c r="C80" s="200"/>
      <c r="D80" s="200"/>
      <c r="E80" s="200"/>
      <c r="F80" s="200"/>
      <c r="G80" s="200"/>
      <c r="H80" s="200"/>
      <c r="I80" s="200"/>
      <c r="J80" s="200">
        <f t="shared" ref="J80:N80" si="52">J78+J79</f>
        <v>354836</v>
      </c>
      <c r="K80" s="200">
        <f t="shared" si="52"/>
        <v>401577</v>
      </c>
      <c r="L80" s="200">
        <f t="shared" ref="L80" si="53">L78+L79</f>
        <v>394422</v>
      </c>
      <c r="M80" s="200">
        <f t="shared" si="52"/>
        <v>377918</v>
      </c>
      <c r="N80" s="200">
        <f t="shared" si="52"/>
        <v>349474</v>
      </c>
    </row>
    <row r="81" spans="2:14" ht="18" customHeight="1">
      <c r="B81" s="197" t="s">
        <v>248</v>
      </c>
      <c r="C81" s="198"/>
      <c r="D81" s="198"/>
      <c r="E81" s="198"/>
      <c r="F81" s="198"/>
      <c r="G81" s="198"/>
      <c r="H81" s="198"/>
      <c r="I81" s="198"/>
      <c r="J81" s="198">
        <v>104038</v>
      </c>
      <c r="K81" s="198">
        <v>80376</v>
      </c>
      <c r="L81" s="198">
        <v>81205</v>
      </c>
      <c r="M81" s="198">
        <v>63401</v>
      </c>
      <c r="N81" s="198">
        <v>50958</v>
      </c>
    </row>
    <row r="82" spans="2:14" ht="18" customHeight="1">
      <c r="B82" s="199" t="s">
        <v>249</v>
      </c>
      <c r="C82" s="200"/>
      <c r="D82" s="200"/>
      <c r="E82" s="200"/>
      <c r="F82" s="200"/>
      <c r="G82" s="200"/>
      <c r="H82" s="200"/>
      <c r="I82" s="200"/>
      <c r="J82" s="200">
        <f t="shared" ref="J82:N82" si="54">J80+J81</f>
        <v>458874</v>
      </c>
      <c r="K82" s="200">
        <f t="shared" si="54"/>
        <v>481953</v>
      </c>
      <c r="L82" s="200">
        <f t="shared" ref="L82" si="55">L80+L81</f>
        <v>475627</v>
      </c>
      <c r="M82" s="200">
        <f t="shared" si="54"/>
        <v>441319</v>
      </c>
      <c r="N82" s="200">
        <f t="shared" si="54"/>
        <v>400432</v>
      </c>
    </row>
    <row r="83" spans="2:14">
      <c r="B83" s="81"/>
      <c r="C83" s="82"/>
      <c r="D83" s="82"/>
      <c r="E83" s="82"/>
      <c r="F83" s="82"/>
      <c r="I83" s="73"/>
      <c r="J83" s="73"/>
      <c r="K83" s="73"/>
      <c r="L83" s="73"/>
      <c r="M83" s="73"/>
      <c r="N83" s="73"/>
    </row>
    <row r="84" spans="2:14" ht="18">
      <c r="B84" s="367" t="s">
        <v>256</v>
      </c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67"/>
    </row>
    <row r="85" spans="2:14" ht="15" customHeight="1">
      <c r="B85" s="368" t="s">
        <v>241</v>
      </c>
      <c r="C85" s="368"/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68"/>
    </row>
    <row r="86" spans="2:14" ht="18" customHeight="1">
      <c r="B86" s="151" t="s">
        <v>242</v>
      </c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>
        <v>45658</v>
      </c>
      <c r="N86" s="196">
        <v>46023</v>
      </c>
    </row>
    <row r="87" spans="2:14" ht="18" customHeight="1">
      <c r="B87" s="197" t="s">
        <v>243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>
        <f>54847-12205</f>
        <v>42642</v>
      </c>
      <c r="N87" s="198">
        <v>135123</v>
      </c>
    </row>
    <row r="88" spans="2:14" ht="18" customHeight="1">
      <c r="B88" s="197" t="s">
        <v>244</v>
      </c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>
        <v>52006</v>
      </c>
      <c r="N88" s="198">
        <v>80643</v>
      </c>
    </row>
    <row r="89" spans="2:14" ht="18" customHeight="1">
      <c r="B89" s="199" t="s">
        <v>245</v>
      </c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>
        <f t="shared" ref="M89:N89" si="56">M87+M88</f>
        <v>94648</v>
      </c>
      <c r="N89" s="200">
        <f t="shared" si="56"/>
        <v>215766</v>
      </c>
    </row>
    <row r="90" spans="2:14" ht="18" customHeight="1">
      <c r="B90" s="197" t="s">
        <v>246</v>
      </c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>
        <v>52802</v>
      </c>
      <c r="N90" s="198">
        <v>97153</v>
      </c>
    </row>
    <row r="91" spans="2:14" ht="18" customHeight="1">
      <c r="B91" s="199" t="s">
        <v>247</v>
      </c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>
        <f t="shared" ref="M91:N91" si="57">M89+M90</f>
        <v>147450</v>
      </c>
      <c r="N91" s="200">
        <f t="shared" si="57"/>
        <v>312919</v>
      </c>
    </row>
    <row r="92" spans="2:14" ht="18" customHeight="1">
      <c r="B92" s="197" t="s">
        <v>248</v>
      </c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>
        <v>43436</v>
      </c>
      <c r="N92" s="198">
        <v>124608</v>
      </c>
    </row>
    <row r="93" spans="2:14" ht="18" customHeight="1">
      <c r="B93" s="199" t="s">
        <v>249</v>
      </c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>
        <f t="shared" ref="M93:N93" si="58">M91+M92</f>
        <v>190886</v>
      </c>
      <c r="N93" s="200">
        <f t="shared" si="58"/>
        <v>437527</v>
      </c>
    </row>
    <row r="94" spans="2:14">
      <c r="B94" s="81"/>
      <c r="C94" s="82"/>
      <c r="D94" s="82"/>
      <c r="E94" s="82"/>
      <c r="F94" s="82"/>
      <c r="I94" s="73"/>
      <c r="J94" s="73"/>
      <c r="K94" s="73"/>
      <c r="L94" s="73"/>
      <c r="M94" s="73"/>
      <c r="N94" s="73"/>
    </row>
    <row r="95" spans="2:14" ht="18">
      <c r="B95" s="367" t="s">
        <v>257</v>
      </c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</row>
    <row r="96" spans="2:14" ht="15.6">
      <c r="B96" s="368" t="s">
        <v>241</v>
      </c>
      <c r="C96" s="368"/>
      <c r="D96" s="368"/>
      <c r="E96" s="368"/>
      <c r="F96" s="368"/>
      <c r="G96" s="368"/>
      <c r="H96" s="368"/>
      <c r="I96" s="368"/>
      <c r="J96" s="368"/>
      <c r="K96" s="368"/>
      <c r="L96" s="368"/>
      <c r="M96" s="368"/>
      <c r="N96" s="368"/>
    </row>
    <row r="97" spans="2:14" ht="15.6">
      <c r="B97" s="151" t="s">
        <v>242</v>
      </c>
      <c r="C97" s="196"/>
      <c r="D97" s="196"/>
      <c r="E97" s="196"/>
      <c r="F97" s="196"/>
      <c r="G97" s="196"/>
      <c r="H97" s="196"/>
      <c r="I97" s="196">
        <v>44197</v>
      </c>
      <c r="J97" s="196">
        <v>44562</v>
      </c>
      <c r="K97" s="196">
        <v>44927</v>
      </c>
      <c r="L97" s="196">
        <v>45292</v>
      </c>
      <c r="M97" s="196">
        <v>45658</v>
      </c>
      <c r="N97" s="196">
        <v>46023</v>
      </c>
    </row>
    <row r="98" spans="2:14" ht="15.6">
      <c r="B98" s="199" t="s">
        <v>258</v>
      </c>
      <c r="C98" s="200"/>
      <c r="D98" s="200"/>
      <c r="E98" s="200"/>
      <c r="F98" s="200"/>
      <c r="G98" s="200"/>
      <c r="H98" s="200"/>
      <c r="I98" s="200">
        <v>80757</v>
      </c>
      <c r="J98" s="200" t="s">
        <v>97</v>
      </c>
      <c r="K98" s="200" t="s">
        <v>97</v>
      </c>
      <c r="L98" s="200" t="s">
        <v>97</v>
      </c>
      <c r="M98" s="200">
        <v>2728</v>
      </c>
      <c r="N98" s="200" t="s">
        <v>97</v>
      </c>
    </row>
    <row r="99" spans="2:14" ht="15.6">
      <c r="B99" s="201" t="s">
        <v>259</v>
      </c>
      <c r="C99" s="202"/>
      <c r="D99" s="202"/>
      <c r="E99" s="202"/>
      <c r="F99" s="202"/>
      <c r="G99" s="202"/>
      <c r="H99" s="202"/>
      <c r="I99" s="202">
        <v>107864</v>
      </c>
      <c r="J99" s="202" t="s">
        <v>97</v>
      </c>
      <c r="K99" s="202" t="s">
        <v>97</v>
      </c>
      <c r="L99" s="202" t="s">
        <v>97</v>
      </c>
      <c r="M99" s="202">
        <v>2346</v>
      </c>
      <c r="N99" s="202" t="s">
        <v>97</v>
      </c>
    </row>
    <row r="100" spans="2:14" ht="15.6">
      <c r="B100" s="199" t="s">
        <v>260</v>
      </c>
      <c r="C100" s="200"/>
      <c r="D100" s="200"/>
      <c r="E100" s="200"/>
      <c r="F100" s="200"/>
      <c r="G100" s="200"/>
      <c r="H100" s="200"/>
      <c r="I100" s="200">
        <v>151676</v>
      </c>
      <c r="J100" s="200" t="s">
        <v>97</v>
      </c>
      <c r="K100" s="200" t="s">
        <v>97</v>
      </c>
      <c r="L100" s="200" t="s">
        <v>97</v>
      </c>
      <c r="M100" s="200" t="s">
        <v>97</v>
      </c>
      <c r="N100" s="200" t="s">
        <v>97</v>
      </c>
    </row>
    <row r="101" spans="2:14">
      <c r="B101" s="72"/>
      <c r="C101" s="83"/>
      <c r="D101" s="83"/>
      <c r="E101" s="83"/>
      <c r="F101" s="83"/>
      <c r="I101" s="73"/>
      <c r="J101" s="73"/>
      <c r="K101" s="73"/>
      <c r="L101" s="73"/>
    </row>
    <row r="102" spans="2:14" ht="18">
      <c r="B102" s="80"/>
      <c r="H102" s="79"/>
      <c r="I102" s="73"/>
      <c r="J102" s="73"/>
      <c r="K102" s="73"/>
      <c r="L102" s="73"/>
      <c r="M102" s="73"/>
      <c r="N102" s="73"/>
    </row>
    <row r="103" spans="2:14" ht="18">
      <c r="B103" s="367" t="s">
        <v>261</v>
      </c>
      <c r="C103" s="367"/>
      <c r="D103" s="367"/>
      <c r="E103" s="367"/>
      <c r="F103" s="367"/>
      <c r="G103" s="367"/>
      <c r="H103" s="367"/>
      <c r="I103" s="367"/>
      <c r="J103" s="367"/>
      <c r="K103" s="367"/>
      <c r="L103" s="367"/>
      <c r="M103" s="367"/>
      <c r="N103" s="367"/>
    </row>
    <row r="104" spans="2:14" ht="15.6">
      <c r="B104" s="368" t="s">
        <v>241</v>
      </c>
      <c r="C104" s="368"/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68"/>
    </row>
    <row r="105" spans="2:14" ht="15.6">
      <c r="B105" s="151" t="s">
        <v>242</v>
      </c>
      <c r="C105" s="196"/>
      <c r="D105" s="196"/>
      <c r="E105" s="196"/>
      <c r="F105" s="196"/>
      <c r="G105" s="196"/>
      <c r="H105" s="196"/>
      <c r="I105" s="196">
        <v>44197</v>
      </c>
      <c r="J105" s="196">
        <v>44562</v>
      </c>
      <c r="K105" s="196">
        <v>44927</v>
      </c>
      <c r="L105" s="196">
        <v>45292</v>
      </c>
      <c r="M105" s="196">
        <v>45658</v>
      </c>
      <c r="N105" s="196">
        <v>46023</v>
      </c>
    </row>
    <row r="106" spans="2:14" ht="15.6">
      <c r="B106" s="199" t="s">
        <v>258</v>
      </c>
      <c r="C106" s="200"/>
      <c r="D106" s="200"/>
      <c r="E106" s="200"/>
      <c r="F106" s="200"/>
      <c r="G106" s="200"/>
      <c r="H106" s="200"/>
      <c r="I106" s="200">
        <v>6646</v>
      </c>
      <c r="J106" s="200" t="s">
        <v>97</v>
      </c>
      <c r="K106" s="200" t="s">
        <v>97</v>
      </c>
      <c r="L106" s="200">
        <v>21857</v>
      </c>
      <c r="M106" s="200" t="s">
        <v>97</v>
      </c>
      <c r="N106" s="200">
        <v>49675</v>
      </c>
    </row>
    <row r="107" spans="2:14" ht="15.6">
      <c r="B107" s="201" t="s">
        <v>259</v>
      </c>
      <c r="C107" s="202"/>
      <c r="D107" s="202"/>
      <c r="E107" s="202"/>
      <c r="F107" s="202"/>
      <c r="G107" s="202"/>
      <c r="H107" s="202"/>
      <c r="I107" s="202">
        <v>10443</v>
      </c>
      <c r="J107" s="202" t="s">
        <v>97</v>
      </c>
      <c r="K107" s="202" t="s">
        <v>97</v>
      </c>
      <c r="L107" s="202">
        <v>32408</v>
      </c>
      <c r="M107" s="202" t="s">
        <v>97</v>
      </c>
      <c r="N107" s="202">
        <v>61594</v>
      </c>
    </row>
    <row r="108" spans="2:14" ht="15.6">
      <c r="B108" s="199" t="s">
        <v>260</v>
      </c>
      <c r="C108" s="200"/>
      <c r="D108" s="200"/>
      <c r="E108" s="200"/>
      <c r="F108" s="200"/>
      <c r="G108" s="200"/>
      <c r="H108" s="200"/>
      <c r="I108" s="200">
        <v>11007</v>
      </c>
      <c r="J108" s="200" t="s">
        <v>97</v>
      </c>
      <c r="K108" s="200" t="s">
        <v>97</v>
      </c>
      <c r="L108" s="200">
        <v>46220</v>
      </c>
      <c r="M108" s="200" t="s">
        <v>97</v>
      </c>
      <c r="N108" s="200">
        <v>80007</v>
      </c>
    </row>
    <row r="109" spans="2:14">
      <c r="B109" s="90"/>
      <c r="C109" s="91"/>
      <c r="D109" s="91"/>
      <c r="E109" s="91"/>
      <c r="F109" s="91"/>
      <c r="G109" s="91"/>
      <c r="H109" s="91"/>
      <c r="I109" s="91"/>
      <c r="J109" s="73"/>
      <c r="K109" s="73"/>
      <c r="L109" s="73"/>
      <c r="M109" s="73"/>
      <c r="N109" s="73"/>
    </row>
    <row r="110" spans="2:14">
      <c r="B110" s="77"/>
      <c r="C110" s="78"/>
      <c r="D110" s="78"/>
      <c r="E110" s="78"/>
      <c r="F110" s="78"/>
      <c r="G110" s="78"/>
      <c r="H110" s="78"/>
      <c r="I110" s="78"/>
      <c r="J110" s="73"/>
      <c r="K110" s="73"/>
      <c r="L110" s="73"/>
      <c r="M110" s="73"/>
      <c r="N110" s="73"/>
    </row>
    <row r="111" spans="2:14" ht="18">
      <c r="B111" s="367" t="s">
        <v>262</v>
      </c>
      <c r="C111" s="367"/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67"/>
    </row>
    <row r="112" spans="2:14" ht="15.6">
      <c r="B112" s="368" t="s">
        <v>241</v>
      </c>
      <c r="C112" s="368"/>
      <c r="D112" s="368"/>
      <c r="E112" s="368"/>
      <c r="F112" s="368"/>
      <c r="G112" s="368"/>
      <c r="H112" s="368"/>
      <c r="I112" s="368"/>
      <c r="J112" s="368"/>
      <c r="K112" s="368"/>
      <c r="L112" s="368"/>
      <c r="M112" s="368"/>
      <c r="N112" s="368"/>
    </row>
    <row r="113" spans="2:14" ht="15.6">
      <c r="B113" s="151" t="s">
        <v>242</v>
      </c>
      <c r="C113" s="196"/>
      <c r="D113" s="196"/>
      <c r="E113" s="196"/>
      <c r="F113" s="196"/>
      <c r="G113" s="196"/>
      <c r="H113" s="196"/>
      <c r="M113" s="196">
        <v>45658</v>
      </c>
      <c r="N113" s="196">
        <v>46023</v>
      </c>
    </row>
    <row r="114" spans="2:14" ht="15.6">
      <c r="B114" s="199" t="s">
        <v>258</v>
      </c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>
        <v>21868</v>
      </c>
      <c r="N114" s="200">
        <v>5416</v>
      </c>
    </row>
    <row r="115" spans="2:14" ht="15.6">
      <c r="B115" s="201" t="s">
        <v>259</v>
      </c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>
        <v>24482</v>
      </c>
      <c r="N115" s="202">
        <v>7588</v>
      </c>
    </row>
    <row r="116" spans="2:14" ht="15.6">
      <c r="B116" s="199" t="s">
        <v>260</v>
      </c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>
        <v>25106</v>
      </c>
      <c r="N116" s="200">
        <v>12994</v>
      </c>
    </row>
    <row r="117" spans="2:14">
      <c r="F117" s="84"/>
      <c r="M117" s="73"/>
      <c r="N117" s="73"/>
    </row>
    <row r="118" spans="2:14">
      <c r="F118" s="84"/>
    </row>
    <row r="119" spans="2:14" ht="18">
      <c r="B119" s="367" t="s">
        <v>263</v>
      </c>
      <c r="C119" s="367"/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67"/>
    </row>
    <row r="120" spans="2:14" ht="15.6">
      <c r="B120" s="368" t="s">
        <v>241</v>
      </c>
      <c r="C120" s="368"/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68"/>
    </row>
    <row r="121" spans="2:14" ht="15.6">
      <c r="B121" s="151" t="s">
        <v>242</v>
      </c>
      <c r="C121" s="196"/>
      <c r="D121" s="196"/>
      <c r="E121" s="196"/>
      <c r="F121" s="196"/>
      <c r="G121" s="196"/>
      <c r="H121" s="196"/>
      <c r="I121" s="196">
        <v>44197</v>
      </c>
      <c r="J121" s="196">
        <v>44562</v>
      </c>
      <c r="K121" s="196">
        <v>44927</v>
      </c>
      <c r="L121" s="196">
        <v>45292</v>
      </c>
      <c r="M121" s="196">
        <v>45658</v>
      </c>
      <c r="N121" s="196">
        <v>46023</v>
      </c>
    </row>
    <row r="122" spans="2:14" ht="15.6">
      <c r="B122" s="199" t="s">
        <v>258</v>
      </c>
      <c r="C122" s="200"/>
      <c r="D122" s="200"/>
      <c r="E122" s="200"/>
      <c r="F122" s="200"/>
      <c r="G122" s="200"/>
      <c r="H122" s="200"/>
      <c r="I122" s="200" t="s">
        <v>97</v>
      </c>
      <c r="J122" s="200" t="s">
        <v>97</v>
      </c>
      <c r="K122" s="200" t="s">
        <v>97</v>
      </c>
      <c r="L122" s="200" t="s">
        <v>97</v>
      </c>
      <c r="M122" s="200" t="s">
        <v>97</v>
      </c>
      <c r="N122" s="200">
        <v>5416</v>
      </c>
    </row>
    <row r="123" spans="2:14" ht="15.6">
      <c r="B123" s="201" t="s">
        <v>259</v>
      </c>
      <c r="C123" s="202"/>
      <c r="D123" s="202"/>
      <c r="E123" s="202"/>
      <c r="F123" s="202"/>
      <c r="G123" s="202"/>
      <c r="H123" s="202"/>
      <c r="I123" s="202" t="s">
        <v>97</v>
      </c>
      <c r="J123" s="202" t="s">
        <v>97</v>
      </c>
      <c r="K123" s="202" t="s">
        <v>97</v>
      </c>
      <c r="L123" s="202" t="s">
        <v>97</v>
      </c>
      <c r="M123" s="202" t="s">
        <v>97</v>
      </c>
      <c r="N123" s="202">
        <v>7588</v>
      </c>
    </row>
    <row r="124" spans="2:14" ht="15.6">
      <c r="B124" s="199" t="s">
        <v>260</v>
      </c>
      <c r="C124" s="200"/>
      <c r="D124" s="200"/>
      <c r="E124" s="200"/>
      <c r="F124" s="200"/>
      <c r="G124" s="200"/>
      <c r="H124" s="200"/>
      <c r="I124" s="200" t="s">
        <v>97</v>
      </c>
      <c r="J124" s="200" t="s">
        <v>97</v>
      </c>
      <c r="K124" s="200" t="s">
        <v>97</v>
      </c>
      <c r="L124" s="200" t="s">
        <v>97</v>
      </c>
      <c r="M124" s="200" t="s">
        <v>97</v>
      </c>
      <c r="N124" s="200">
        <v>12994</v>
      </c>
    </row>
  </sheetData>
  <mergeCells count="25">
    <mergeCell ref="B119:N119"/>
    <mergeCell ref="B120:N120"/>
    <mergeCell ref="A4:I4"/>
    <mergeCell ref="B17:N17"/>
    <mergeCell ref="B18:N18"/>
    <mergeCell ref="B74:N74"/>
    <mergeCell ref="B84:N84"/>
    <mergeCell ref="B29:N29"/>
    <mergeCell ref="B30:N30"/>
    <mergeCell ref="B40:N40"/>
    <mergeCell ref="B41:N41"/>
    <mergeCell ref="B6:N6"/>
    <mergeCell ref="B7:N7"/>
    <mergeCell ref="B111:N111"/>
    <mergeCell ref="B112:N112"/>
    <mergeCell ref="B51:N51"/>
    <mergeCell ref="B95:N95"/>
    <mergeCell ref="B96:N96"/>
    <mergeCell ref="B103:N103"/>
    <mergeCell ref="B104:N104"/>
    <mergeCell ref="B52:N52"/>
    <mergeCell ref="B62:N62"/>
    <mergeCell ref="B63:N63"/>
    <mergeCell ref="B73:N73"/>
    <mergeCell ref="B85:N85"/>
  </mergeCells>
  <pageMargins left="0.511811024" right="0.511811024" top="0.78740157499999996" bottom="0.78740157499999996" header="0.31496062000000002" footer="0.31496062000000002"/>
  <pageSetup paperSize="9" scale="91" orientation="portrait" r:id="rId1"/>
  <ignoredErrors>
    <ignoredError sqref="K24" evalErro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11F7-718F-4FE4-B585-3050189B9E4C}">
  <sheetPr>
    <tabColor rgb="FFFF0000"/>
  </sheetPr>
  <dimension ref="B2:Q2281"/>
  <sheetViews>
    <sheetView showGridLines="0" topLeftCell="A10" workbookViewId="0">
      <selection activeCell="R18" sqref="R18"/>
    </sheetView>
  </sheetViews>
  <sheetFormatPr defaultRowHeight="14.4" outlineLevelCol="1"/>
  <cols>
    <col min="1" max="1" width="2.5546875" customWidth="1"/>
    <col min="2" max="2" width="9.5546875" style="217" hidden="1" customWidth="1" outlineLevel="1"/>
    <col min="3" max="4" width="5.44140625" style="217" hidden="1" customWidth="1" outlineLevel="1"/>
    <col min="5" max="5" width="5.44140625" hidden="1" customWidth="1" outlineLevel="1"/>
    <col min="6" max="6" width="9.5546875" style="217" bestFit="1" customWidth="1" collapsed="1"/>
    <col min="7" max="7" width="10.6640625" style="217" bestFit="1" customWidth="1"/>
    <col min="8" max="8" width="9.33203125" style="217"/>
    <col min="9" max="9" width="12.44140625" bestFit="1" customWidth="1"/>
    <col min="10" max="10" width="9.44140625" style="217" customWidth="1"/>
    <col min="11" max="11" width="10.6640625" style="217" bestFit="1" customWidth="1"/>
    <col min="12" max="12" width="9.6640625" bestFit="1" customWidth="1"/>
    <col min="14" max="15" width="9.33203125" style="217"/>
  </cols>
  <sheetData>
    <row r="2" spans="2:15">
      <c r="B2" s="217" t="s">
        <v>264</v>
      </c>
      <c r="C2" s="217" t="s">
        <v>265</v>
      </c>
      <c r="D2" s="217" t="s">
        <v>266</v>
      </c>
      <c r="F2" s="217" t="s">
        <v>267</v>
      </c>
      <c r="G2" s="217" t="s">
        <v>268</v>
      </c>
      <c r="H2" s="217" t="s">
        <v>269</v>
      </c>
      <c r="J2" s="217" t="s">
        <v>267</v>
      </c>
      <c r="K2" s="217" t="s">
        <v>270</v>
      </c>
      <c r="L2" s="217" t="s">
        <v>271</v>
      </c>
    </row>
    <row r="3" spans="2:15" ht="15.6">
      <c r="B3" s="217" t="str">
        <f t="shared" ref="B3:B66" si="0">VLOOKUP(C3,$N$3:$O$14,2,0)</f>
        <v>1Q</v>
      </c>
      <c r="C3" s="217">
        <f>MONTH(G3)</f>
        <v>1</v>
      </c>
      <c r="D3" s="217" t="str">
        <f t="shared" ref="D3:D66" si="1">RIGHT(E3,2)</f>
        <v>14</v>
      </c>
      <c r="E3">
        <f t="shared" ref="E3:E66" si="2">YEAR(G3)</f>
        <v>2014</v>
      </c>
      <c r="F3" s="217" t="str">
        <f t="shared" ref="F3:F66" si="3">+B3&amp;D3</f>
        <v>1Q14</v>
      </c>
      <c r="G3" s="218">
        <v>41640</v>
      </c>
      <c r="H3" s="217">
        <v>2.3620999999999999</v>
      </c>
      <c r="J3" s="219" t="s">
        <v>1</v>
      </c>
      <c r="K3" s="220">
        <f t="shared" ref="K3:K37" si="4">AVERAGEIF($F$3:$F$215400,J3,$H$3:$H$215400)</f>
        <v>2.3631906250000001</v>
      </c>
      <c r="L3" s="220">
        <f>H66</f>
        <v>2.2721</v>
      </c>
      <c r="N3" s="253">
        <v>1</v>
      </c>
      <c r="O3" s="253" t="s">
        <v>272</v>
      </c>
    </row>
    <row r="4" spans="2:15" ht="15.6">
      <c r="B4" s="217" t="str">
        <f t="shared" si="0"/>
        <v>1Q</v>
      </c>
      <c r="C4" s="217">
        <f t="shared" ref="C4:C67" si="5">MONTH(G4)</f>
        <v>1</v>
      </c>
      <c r="D4" s="217" t="str">
        <f t="shared" si="1"/>
        <v>14</v>
      </c>
      <c r="E4">
        <f t="shared" si="2"/>
        <v>2014</v>
      </c>
      <c r="F4" s="217" t="str">
        <f t="shared" si="3"/>
        <v>1Q14</v>
      </c>
      <c r="G4" s="218">
        <v>41641</v>
      </c>
      <c r="H4" s="217">
        <v>2.3875999999999999</v>
      </c>
      <c r="J4" s="219" t="s">
        <v>2</v>
      </c>
      <c r="K4" s="220">
        <f t="shared" si="4"/>
        <v>2.2287599999999999</v>
      </c>
      <c r="L4" s="220">
        <f>+H131</f>
        <v>2.2143000000000002</v>
      </c>
      <c r="N4" s="253">
        <f t="shared" ref="N4:N14" si="6">+N3+1</f>
        <v>2</v>
      </c>
      <c r="O4" s="253" t="s">
        <v>272</v>
      </c>
    </row>
    <row r="5" spans="2:15" ht="15.6">
      <c r="B5" s="217" t="str">
        <f t="shared" si="0"/>
        <v>1Q</v>
      </c>
      <c r="C5" s="217">
        <f t="shared" si="5"/>
        <v>1</v>
      </c>
      <c r="D5" s="217" t="str">
        <f t="shared" si="1"/>
        <v>14</v>
      </c>
      <c r="E5">
        <f t="shared" si="2"/>
        <v>2014</v>
      </c>
      <c r="F5" s="217" t="str">
        <f t="shared" si="3"/>
        <v>1Q14</v>
      </c>
      <c r="G5" s="218">
        <v>41642</v>
      </c>
      <c r="H5" s="217">
        <v>2.3765000000000001</v>
      </c>
      <c r="J5" s="219" t="s">
        <v>3</v>
      </c>
      <c r="K5" s="220">
        <f t="shared" si="4"/>
        <v>2.2746803030303027</v>
      </c>
      <c r="L5" s="220">
        <f>H197</f>
        <v>2.4462000000000002</v>
      </c>
      <c r="N5" s="253">
        <f t="shared" si="6"/>
        <v>3</v>
      </c>
      <c r="O5" s="253" t="s">
        <v>272</v>
      </c>
    </row>
    <row r="6" spans="2:15" ht="15.6">
      <c r="B6" s="217" t="str">
        <f t="shared" si="0"/>
        <v>1Q</v>
      </c>
      <c r="C6" s="217">
        <f t="shared" si="5"/>
        <v>1</v>
      </c>
      <c r="D6" s="217" t="str">
        <f t="shared" si="1"/>
        <v>14</v>
      </c>
      <c r="E6">
        <f t="shared" si="2"/>
        <v>2014</v>
      </c>
      <c r="F6" s="217" t="str">
        <f t="shared" si="3"/>
        <v>1Q14</v>
      </c>
      <c r="G6" s="218">
        <v>41645</v>
      </c>
      <c r="H6" s="217">
        <v>2.3761000000000001</v>
      </c>
      <c r="J6" s="219" t="s">
        <v>4</v>
      </c>
      <c r="K6" s="220">
        <f t="shared" si="4"/>
        <v>2.549343939393939</v>
      </c>
      <c r="L6" s="220">
        <f>H263</f>
        <v>2.6575000000000002</v>
      </c>
      <c r="N6" s="253">
        <f t="shared" si="6"/>
        <v>4</v>
      </c>
      <c r="O6" s="253" t="s">
        <v>273</v>
      </c>
    </row>
    <row r="7" spans="2:15" ht="15.6">
      <c r="B7" s="217" t="str">
        <f t="shared" si="0"/>
        <v>1Q</v>
      </c>
      <c r="C7" s="217">
        <f t="shared" si="5"/>
        <v>1</v>
      </c>
      <c r="D7" s="217" t="str">
        <f t="shared" si="1"/>
        <v>14</v>
      </c>
      <c r="E7">
        <f t="shared" si="2"/>
        <v>2014</v>
      </c>
      <c r="F7" s="217" t="str">
        <f t="shared" si="3"/>
        <v>1Q14</v>
      </c>
      <c r="G7" s="218">
        <v>41646</v>
      </c>
      <c r="H7" s="217">
        <v>2.3725000000000001</v>
      </c>
      <c r="J7" s="219" t="s">
        <v>5</v>
      </c>
      <c r="K7" s="220">
        <f t="shared" si="4"/>
        <v>2.8678953124999991</v>
      </c>
      <c r="L7" s="220">
        <f>H327</f>
        <v>3.1958000000000002</v>
      </c>
      <c r="N7" s="253">
        <f t="shared" si="6"/>
        <v>5</v>
      </c>
      <c r="O7" s="253" t="s">
        <v>273</v>
      </c>
    </row>
    <row r="8" spans="2:15" ht="15.6">
      <c r="B8" s="217" t="str">
        <f t="shared" si="0"/>
        <v>1Q</v>
      </c>
      <c r="C8" s="217">
        <f t="shared" si="5"/>
        <v>1</v>
      </c>
      <c r="D8" s="217" t="str">
        <f t="shared" si="1"/>
        <v>14</v>
      </c>
      <c r="E8">
        <f t="shared" si="2"/>
        <v>2014</v>
      </c>
      <c r="F8" s="217" t="str">
        <f t="shared" si="3"/>
        <v>1Q14</v>
      </c>
      <c r="G8" s="218">
        <v>41647</v>
      </c>
      <c r="H8" s="217">
        <v>2.3967000000000001</v>
      </c>
      <c r="J8" s="219" t="s">
        <v>6</v>
      </c>
      <c r="K8" s="220">
        <f t="shared" si="4"/>
        <v>3.0707030769230763</v>
      </c>
      <c r="L8" s="220">
        <f>H392</f>
        <v>3.1030000000000002</v>
      </c>
      <c r="N8" s="253">
        <f t="shared" si="6"/>
        <v>6</v>
      </c>
      <c r="O8" s="253" t="s">
        <v>273</v>
      </c>
    </row>
    <row r="9" spans="2:15" ht="15.6">
      <c r="B9" s="217" t="str">
        <f t="shared" si="0"/>
        <v>1Q</v>
      </c>
      <c r="C9" s="217">
        <f t="shared" si="5"/>
        <v>1</v>
      </c>
      <c r="D9" s="217" t="str">
        <f t="shared" si="1"/>
        <v>14</v>
      </c>
      <c r="E9">
        <f t="shared" si="2"/>
        <v>2014</v>
      </c>
      <c r="F9" s="217" t="str">
        <f t="shared" si="3"/>
        <v>1Q14</v>
      </c>
      <c r="G9" s="218">
        <v>41648</v>
      </c>
      <c r="H9" s="217">
        <v>2.3904000000000001</v>
      </c>
      <c r="J9" s="219" t="s">
        <v>7</v>
      </c>
      <c r="K9" s="220">
        <f t="shared" si="4"/>
        <v>3.5413742424242418</v>
      </c>
      <c r="L9" s="220">
        <f>H458</f>
        <v>3.9491000000000001</v>
      </c>
      <c r="N9" s="253">
        <f t="shared" si="6"/>
        <v>7</v>
      </c>
      <c r="O9" s="253" t="s">
        <v>274</v>
      </c>
    </row>
    <row r="10" spans="2:15" ht="15.6">
      <c r="B10" s="217" t="str">
        <f t="shared" si="0"/>
        <v>1Q</v>
      </c>
      <c r="C10" s="217">
        <f t="shared" si="5"/>
        <v>1</v>
      </c>
      <c r="D10" s="217" t="str">
        <f t="shared" si="1"/>
        <v>14</v>
      </c>
      <c r="E10">
        <f t="shared" si="2"/>
        <v>2014</v>
      </c>
      <c r="F10" s="217" t="str">
        <f t="shared" si="3"/>
        <v>1Q14</v>
      </c>
      <c r="G10" s="218">
        <v>41649</v>
      </c>
      <c r="H10" s="217">
        <v>2.3584000000000001</v>
      </c>
      <c r="J10" s="219" t="s">
        <v>8</v>
      </c>
      <c r="K10" s="220">
        <f t="shared" si="4"/>
        <v>3.845856060606061</v>
      </c>
      <c r="L10" s="220">
        <f>H524</f>
        <v>3.9607999999999999</v>
      </c>
      <c r="N10" s="253">
        <f t="shared" si="6"/>
        <v>8</v>
      </c>
      <c r="O10" s="253" t="s">
        <v>274</v>
      </c>
    </row>
    <row r="11" spans="2:15" ht="15.6">
      <c r="B11" s="217" t="str">
        <f t="shared" si="0"/>
        <v>1Q</v>
      </c>
      <c r="C11" s="217">
        <f t="shared" si="5"/>
        <v>1</v>
      </c>
      <c r="D11" s="217" t="str">
        <f t="shared" si="1"/>
        <v>14</v>
      </c>
      <c r="E11">
        <f t="shared" si="2"/>
        <v>2014</v>
      </c>
      <c r="F11" s="217" t="str">
        <f>+B11&amp;D11</f>
        <v>1Q14</v>
      </c>
      <c r="G11" s="218">
        <v>41652</v>
      </c>
      <c r="H11" s="217">
        <v>2.3597999999999999</v>
      </c>
      <c r="J11" s="219" t="s">
        <v>9</v>
      </c>
      <c r="K11" s="220">
        <f t="shared" si="4"/>
        <v>3.8962815384615381</v>
      </c>
      <c r="L11" s="220">
        <f>H589</f>
        <v>3.5935000000000001</v>
      </c>
      <c r="N11" s="253">
        <f t="shared" si="6"/>
        <v>9</v>
      </c>
      <c r="O11" s="253" t="s">
        <v>274</v>
      </c>
    </row>
    <row r="12" spans="2:15" ht="15.6">
      <c r="B12" s="217" t="str">
        <f t="shared" si="0"/>
        <v>1Q</v>
      </c>
      <c r="C12" s="217">
        <f t="shared" si="5"/>
        <v>1</v>
      </c>
      <c r="D12" s="217" t="str">
        <f t="shared" si="1"/>
        <v>14</v>
      </c>
      <c r="E12">
        <f t="shared" si="2"/>
        <v>2014</v>
      </c>
      <c r="F12" s="217" t="str">
        <f t="shared" si="3"/>
        <v>1Q14</v>
      </c>
      <c r="G12" s="218">
        <v>41653</v>
      </c>
      <c r="H12" s="217">
        <v>2.3502999999999998</v>
      </c>
      <c r="J12" s="219" t="s">
        <v>10</v>
      </c>
      <c r="K12" s="220">
        <f t="shared" si="4"/>
        <v>3.5021307692307695</v>
      </c>
      <c r="L12" s="220">
        <f>H654</f>
        <v>3.2134</v>
      </c>
      <c r="N12" s="253">
        <f t="shared" si="6"/>
        <v>10</v>
      </c>
      <c r="O12" s="253" t="s">
        <v>275</v>
      </c>
    </row>
    <row r="13" spans="2:15" ht="15.6">
      <c r="B13" s="217" t="str">
        <f t="shared" si="0"/>
        <v>1Q</v>
      </c>
      <c r="C13" s="217">
        <f t="shared" si="5"/>
        <v>1</v>
      </c>
      <c r="D13" s="217" t="str">
        <f t="shared" si="1"/>
        <v>14</v>
      </c>
      <c r="E13">
        <f t="shared" si="2"/>
        <v>2014</v>
      </c>
      <c r="F13" s="217" t="str">
        <f t="shared" si="3"/>
        <v>1Q14</v>
      </c>
      <c r="G13" s="218">
        <v>41654</v>
      </c>
      <c r="H13" s="217">
        <v>2.3605</v>
      </c>
      <c r="J13" s="219" t="s">
        <v>11</v>
      </c>
      <c r="K13" s="220">
        <f t="shared" si="4"/>
        <v>3.2457893939393956</v>
      </c>
      <c r="L13" s="220">
        <f>H720</f>
        <v>3.2603</v>
      </c>
      <c r="N13" s="253">
        <f t="shared" si="6"/>
        <v>11</v>
      </c>
      <c r="O13" s="253" t="s">
        <v>275</v>
      </c>
    </row>
    <row r="14" spans="2:15" ht="15.6">
      <c r="B14" s="217" t="str">
        <f t="shared" si="0"/>
        <v>1Q</v>
      </c>
      <c r="C14" s="217">
        <f t="shared" si="5"/>
        <v>1</v>
      </c>
      <c r="D14" s="217" t="str">
        <f t="shared" si="1"/>
        <v>14</v>
      </c>
      <c r="E14">
        <f t="shared" si="2"/>
        <v>2014</v>
      </c>
      <c r="F14" s="217" t="str">
        <f t="shared" si="3"/>
        <v>1Q14</v>
      </c>
      <c r="G14" s="218">
        <v>41655</v>
      </c>
      <c r="H14" s="217">
        <v>2.3635999999999999</v>
      </c>
      <c r="J14" s="219" t="s">
        <v>12</v>
      </c>
      <c r="K14" s="220">
        <f t="shared" si="4"/>
        <v>3.2937184615384609</v>
      </c>
      <c r="L14" s="220">
        <f>+H785</f>
        <v>3.2547000000000001</v>
      </c>
      <c r="N14" s="253">
        <f t="shared" si="6"/>
        <v>12</v>
      </c>
      <c r="O14" s="253" t="s">
        <v>275</v>
      </c>
    </row>
    <row r="15" spans="2:15" ht="15.6">
      <c r="B15" s="217" t="str">
        <f t="shared" si="0"/>
        <v>1Q</v>
      </c>
      <c r="C15" s="217">
        <f t="shared" si="5"/>
        <v>1</v>
      </c>
      <c r="D15" s="217" t="str">
        <f t="shared" si="1"/>
        <v>14</v>
      </c>
      <c r="E15">
        <f t="shared" si="2"/>
        <v>2014</v>
      </c>
      <c r="F15" s="217" t="str">
        <f t="shared" si="3"/>
        <v>1Q14</v>
      </c>
      <c r="G15" s="218">
        <v>41656</v>
      </c>
      <c r="H15" s="217">
        <v>2.3426</v>
      </c>
      <c r="J15" s="219" t="s">
        <v>13</v>
      </c>
      <c r="K15" s="220">
        <f t="shared" si="4"/>
        <v>3.1431307692307691</v>
      </c>
      <c r="L15" s="220">
        <f>+H850</f>
        <v>3.1233</v>
      </c>
      <c r="N15" s="253"/>
      <c r="O15" s="253"/>
    </row>
    <row r="16" spans="2:15" ht="15.6">
      <c r="B16" s="217" t="str">
        <f t="shared" si="0"/>
        <v>1Q</v>
      </c>
      <c r="C16" s="217">
        <f t="shared" si="5"/>
        <v>1</v>
      </c>
      <c r="D16" s="217" t="str">
        <f t="shared" si="1"/>
        <v>14</v>
      </c>
      <c r="E16">
        <f t="shared" si="2"/>
        <v>2014</v>
      </c>
      <c r="F16" s="217" t="str">
        <f t="shared" si="3"/>
        <v>1Q14</v>
      </c>
      <c r="G16" s="218">
        <v>41659</v>
      </c>
      <c r="H16" s="217">
        <v>2.3441999999999998</v>
      </c>
      <c r="J16" s="219" t="s">
        <v>14</v>
      </c>
      <c r="K16" s="220">
        <f t="shared" si="4"/>
        <v>3.2155738461538457</v>
      </c>
      <c r="L16" s="220">
        <f>+H915</f>
        <v>3.3071999999999999</v>
      </c>
      <c r="N16" s="253"/>
      <c r="O16" s="253"/>
    </row>
    <row r="17" spans="2:17" ht="15.6">
      <c r="B17" s="217" t="str">
        <f t="shared" si="0"/>
        <v>1Q</v>
      </c>
      <c r="C17" s="217">
        <f t="shared" si="5"/>
        <v>1</v>
      </c>
      <c r="D17" s="217" t="str">
        <f t="shared" si="1"/>
        <v>14</v>
      </c>
      <c r="E17">
        <f t="shared" si="2"/>
        <v>2014</v>
      </c>
      <c r="F17" s="217" t="str">
        <f t="shared" si="3"/>
        <v>1Q14</v>
      </c>
      <c r="G17" s="218">
        <v>41660</v>
      </c>
      <c r="H17" s="217">
        <v>2.3574999999999999</v>
      </c>
      <c r="J17" s="219" t="s">
        <v>15</v>
      </c>
      <c r="K17" s="220">
        <f t="shared" si="4"/>
        <v>3.1619784615384612</v>
      </c>
      <c r="L17" s="220">
        <f>+H980</f>
        <v>3.1619000000000002</v>
      </c>
      <c r="P17" t="s">
        <v>276</v>
      </c>
      <c r="Q17" t="s">
        <v>277</v>
      </c>
    </row>
    <row r="18" spans="2:17" ht="15.6">
      <c r="B18" s="217" t="str">
        <f t="shared" si="0"/>
        <v>1Q</v>
      </c>
      <c r="C18" s="217">
        <f t="shared" si="5"/>
        <v>1</v>
      </c>
      <c r="D18" s="217" t="str">
        <f t="shared" si="1"/>
        <v>14</v>
      </c>
      <c r="E18">
        <f t="shared" si="2"/>
        <v>2014</v>
      </c>
      <c r="F18" s="217" t="str">
        <f t="shared" si="3"/>
        <v>1Q14</v>
      </c>
      <c r="G18" s="218">
        <v>41661</v>
      </c>
      <c r="H18" s="217">
        <v>2.3731</v>
      </c>
      <c r="J18" s="219" t="s">
        <v>16</v>
      </c>
      <c r="K18" s="220">
        <f t="shared" si="4"/>
        <v>3.24991076923077</v>
      </c>
      <c r="L18" s="220">
        <f>+H1045</f>
        <v>3.3125</v>
      </c>
      <c r="O18" s="217">
        <v>2019</v>
      </c>
      <c r="P18" s="273">
        <v>3.9442660768138111</v>
      </c>
      <c r="Q18" s="273">
        <v>5.2054</v>
      </c>
    </row>
    <row r="19" spans="2:17" ht="15.6">
      <c r="B19" s="217" t="str">
        <f t="shared" si="0"/>
        <v>1Q</v>
      </c>
      <c r="C19" s="217">
        <f t="shared" si="5"/>
        <v>1</v>
      </c>
      <c r="D19" s="217" t="str">
        <f t="shared" si="1"/>
        <v>14</v>
      </c>
      <c r="E19">
        <f t="shared" si="2"/>
        <v>2014</v>
      </c>
      <c r="F19" s="217" t="str">
        <f t="shared" si="3"/>
        <v>1Q14</v>
      </c>
      <c r="G19" s="218">
        <v>41662</v>
      </c>
      <c r="H19" s="217">
        <v>2.3959000000000001</v>
      </c>
      <c r="J19" s="219" t="s">
        <v>17</v>
      </c>
      <c r="K19" s="220">
        <f t="shared" si="4"/>
        <v>3.2462600000000008</v>
      </c>
      <c r="L19" s="220">
        <f>+H1110</f>
        <v>3.3050999999999999</v>
      </c>
      <c r="O19" s="217">
        <v>2020</v>
      </c>
      <c r="P19" s="273">
        <v>5.1544696386946391</v>
      </c>
      <c r="Q19" s="273">
        <v>5.194</v>
      </c>
    </row>
    <row r="20" spans="2:17" ht="15.6">
      <c r="B20" s="217" t="str">
        <f t="shared" si="0"/>
        <v>1Q</v>
      </c>
      <c r="C20" s="217">
        <f t="shared" si="5"/>
        <v>1</v>
      </c>
      <c r="D20" s="217" t="str">
        <f t="shared" si="1"/>
        <v>14</v>
      </c>
      <c r="E20">
        <f t="shared" si="2"/>
        <v>2014</v>
      </c>
      <c r="F20" s="217" t="str">
        <f t="shared" si="3"/>
        <v>1Q14</v>
      </c>
      <c r="G20" s="218">
        <v>41663</v>
      </c>
      <c r="H20" s="217">
        <v>2.3982000000000001</v>
      </c>
      <c r="J20" s="219" t="s">
        <v>18</v>
      </c>
      <c r="K20" s="220">
        <f t="shared" si="4"/>
        <v>3.609026153846155</v>
      </c>
      <c r="L20" s="220">
        <f>+H1175</f>
        <v>3.8771</v>
      </c>
      <c r="O20" s="217">
        <v>2021</v>
      </c>
      <c r="P20" s="273">
        <v>5.3973912536421924</v>
      </c>
      <c r="Q20" s="273">
        <v>5.5712999999999999</v>
      </c>
    </row>
    <row r="21" spans="2:17" ht="15.6">
      <c r="B21" s="217" t="str">
        <f t="shared" si="0"/>
        <v>1Q</v>
      </c>
      <c r="C21" s="217">
        <f t="shared" si="5"/>
        <v>1</v>
      </c>
      <c r="D21" s="217" t="str">
        <f t="shared" si="1"/>
        <v>14</v>
      </c>
      <c r="E21">
        <f t="shared" si="2"/>
        <v>2014</v>
      </c>
      <c r="F21" s="217" t="str">
        <f t="shared" si="3"/>
        <v>1Q14</v>
      </c>
      <c r="G21" s="218">
        <v>41666</v>
      </c>
      <c r="H21" s="217">
        <v>2.4215</v>
      </c>
      <c r="J21" s="219" t="s">
        <v>19</v>
      </c>
      <c r="K21" s="220">
        <f t="shared" si="4"/>
        <v>3.9494984615384614</v>
      </c>
      <c r="L21" s="220">
        <f>+H1240</f>
        <v>4.0491000000000001</v>
      </c>
      <c r="O21" s="217">
        <v>2022</v>
      </c>
      <c r="P21" s="273">
        <v>5.2607887096774206</v>
      </c>
      <c r="Q21" s="273">
        <v>5.2859999999999996</v>
      </c>
    </row>
    <row r="22" spans="2:17" ht="15.6">
      <c r="B22" s="217" t="str">
        <f t="shared" si="0"/>
        <v>1Q</v>
      </c>
      <c r="C22" s="217">
        <f t="shared" si="5"/>
        <v>1</v>
      </c>
      <c r="D22" s="217" t="str">
        <f t="shared" si="1"/>
        <v>14</v>
      </c>
      <c r="E22">
        <f t="shared" si="2"/>
        <v>2014</v>
      </c>
      <c r="F22" s="217" t="str">
        <f t="shared" si="3"/>
        <v>1Q14</v>
      </c>
      <c r="G22" s="218">
        <v>41667</v>
      </c>
      <c r="H22" s="217">
        <v>2.4262999999999999</v>
      </c>
      <c r="J22" s="219" t="s">
        <v>20</v>
      </c>
      <c r="K22" s="220">
        <f t="shared" si="4"/>
        <v>3.8115348484848472</v>
      </c>
      <c r="L22" s="220">
        <f>+H1306</f>
        <v>3.8812000000000002</v>
      </c>
    </row>
    <row r="23" spans="2:17" ht="15.6">
      <c r="B23" s="217" t="str">
        <f t="shared" si="0"/>
        <v>1Q</v>
      </c>
      <c r="C23" s="217">
        <f t="shared" si="5"/>
        <v>1</v>
      </c>
      <c r="D23" s="217" t="str">
        <f t="shared" si="1"/>
        <v>14</v>
      </c>
      <c r="E23">
        <f t="shared" si="2"/>
        <v>2014</v>
      </c>
      <c r="F23" s="217" t="str">
        <f t="shared" si="3"/>
        <v>1Q14</v>
      </c>
      <c r="G23" s="218">
        <v>41668</v>
      </c>
      <c r="H23" s="217">
        <v>2.4352</v>
      </c>
      <c r="J23" s="219" t="s">
        <v>21</v>
      </c>
      <c r="K23" s="220">
        <f t="shared" si="4"/>
        <v>3.7679890624999999</v>
      </c>
      <c r="L23" s="220">
        <f>+H1370</f>
        <v>3.9247000000000001</v>
      </c>
    </row>
    <row r="24" spans="2:17" ht="15.6">
      <c r="B24" s="217" t="str">
        <f t="shared" si="0"/>
        <v>1Q</v>
      </c>
      <c r="C24" s="217">
        <f t="shared" si="5"/>
        <v>1</v>
      </c>
      <c r="D24" s="217" t="str">
        <f t="shared" si="1"/>
        <v>14</v>
      </c>
      <c r="E24">
        <f t="shared" si="2"/>
        <v>2014</v>
      </c>
      <c r="F24" s="217" t="str">
        <f t="shared" si="3"/>
        <v>1Q14</v>
      </c>
      <c r="G24" s="218">
        <v>41669</v>
      </c>
      <c r="H24" s="217">
        <v>2.4117999999999999</v>
      </c>
      <c r="J24" s="219" t="s">
        <v>22</v>
      </c>
      <c r="K24" s="220">
        <f t="shared" si="4"/>
        <v>3.9202661538461543</v>
      </c>
      <c r="L24" s="220">
        <f>+H1435</f>
        <v>3.8519999999999999</v>
      </c>
    </row>
    <row r="25" spans="2:17" ht="15.6">
      <c r="B25" s="217" t="str">
        <f t="shared" si="0"/>
        <v>1Q</v>
      </c>
      <c r="C25" s="217">
        <f t="shared" si="5"/>
        <v>1</v>
      </c>
      <c r="D25" s="217" t="str">
        <f t="shared" si="1"/>
        <v>14</v>
      </c>
      <c r="E25">
        <f t="shared" si="2"/>
        <v>2014</v>
      </c>
      <c r="F25" s="217" t="str">
        <f t="shared" si="3"/>
        <v>1Q14</v>
      </c>
      <c r="G25" s="218">
        <v>41670</v>
      </c>
      <c r="H25" s="217">
        <v>2.4127000000000001</v>
      </c>
      <c r="J25" s="219" t="s">
        <v>23</v>
      </c>
      <c r="K25" s="220">
        <f t="shared" si="4"/>
        <v>3.9720727272727268</v>
      </c>
      <c r="L25" s="220">
        <f>+H1501</f>
        <v>4.1555999999999997</v>
      </c>
    </row>
    <row r="26" spans="2:17" ht="15.6">
      <c r="B26" s="217" t="str">
        <f t="shared" si="0"/>
        <v>1Q</v>
      </c>
      <c r="C26" s="217">
        <f t="shared" si="5"/>
        <v>2</v>
      </c>
      <c r="D26" s="217" t="str">
        <f t="shared" si="1"/>
        <v>14</v>
      </c>
      <c r="E26">
        <f t="shared" si="2"/>
        <v>2014</v>
      </c>
      <c r="F26" s="217" t="str">
        <f t="shared" si="3"/>
        <v>1Q14</v>
      </c>
      <c r="G26" s="218">
        <v>41673</v>
      </c>
      <c r="H26" s="217">
        <v>2.4401999999999999</v>
      </c>
      <c r="J26" s="219" t="s">
        <v>24</v>
      </c>
      <c r="K26" s="220">
        <f t="shared" si="4"/>
        <v>4.1167363636363632</v>
      </c>
      <c r="L26" s="220">
        <f>H1632</f>
        <v>5.2054</v>
      </c>
    </row>
    <row r="27" spans="2:17" ht="15.6">
      <c r="B27" s="217" t="str">
        <f t="shared" si="0"/>
        <v>1Q</v>
      </c>
      <c r="C27" s="217">
        <f t="shared" si="5"/>
        <v>2</v>
      </c>
      <c r="D27" s="217" t="str">
        <f t="shared" si="1"/>
        <v>14</v>
      </c>
      <c r="E27">
        <f t="shared" si="2"/>
        <v>2014</v>
      </c>
      <c r="F27" s="217" t="str">
        <f t="shared" si="3"/>
        <v>1Q14</v>
      </c>
      <c r="G27" s="218">
        <v>41674</v>
      </c>
      <c r="H27" s="217">
        <v>2.4055</v>
      </c>
      <c r="J27" s="219" t="s">
        <v>25</v>
      </c>
      <c r="K27" s="220">
        <f t="shared" si="4"/>
        <v>4.463696923076923</v>
      </c>
      <c r="L27" s="220">
        <f>+H1632</f>
        <v>5.2054</v>
      </c>
    </row>
    <row r="28" spans="2:17" ht="15.6">
      <c r="B28" s="217" t="str">
        <f t="shared" si="0"/>
        <v>1Q</v>
      </c>
      <c r="C28" s="217">
        <f t="shared" si="5"/>
        <v>2</v>
      </c>
      <c r="D28" s="217" t="str">
        <f t="shared" si="1"/>
        <v>14</v>
      </c>
      <c r="E28">
        <f t="shared" si="2"/>
        <v>2014</v>
      </c>
      <c r="F28" s="217" t="str">
        <f t="shared" si="3"/>
        <v>1Q14</v>
      </c>
      <c r="G28" s="218">
        <v>41675</v>
      </c>
      <c r="H28" s="217">
        <v>2.3986000000000001</v>
      </c>
      <c r="J28" s="219" t="s">
        <v>26</v>
      </c>
      <c r="K28" s="220">
        <f t="shared" si="4"/>
        <v>5.3756876923076922</v>
      </c>
      <c r="L28" s="220">
        <f>+H1958</f>
        <v>4.9695999999999998</v>
      </c>
    </row>
    <row r="29" spans="2:17" ht="15.6">
      <c r="B29" s="217" t="str">
        <f t="shared" si="0"/>
        <v>1Q</v>
      </c>
      <c r="C29" s="217">
        <f t="shared" si="5"/>
        <v>2</v>
      </c>
      <c r="D29" s="217" t="str">
        <f t="shared" si="1"/>
        <v>14</v>
      </c>
      <c r="E29">
        <f t="shared" si="2"/>
        <v>2014</v>
      </c>
      <c r="F29" s="217" t="str">
        <f t="shared" si="3"/>
        <v>1Q14</v>
      </c>
      <c r="G29" s="218">
        <v>41676</v>
      </c>
      <c r="H29" s="217">
        <v>2.3824999999999998</v>
      </c>
      <c r="J29" s="219" t="s">
        <v>27</v>
      </c>
      <c r="K29" s="220">
        <f t="shared" si="4"/>
        <v>5.3787469696969712</v>
      </c>
      <c r="L29" s="220">
        <f>+H1763</f>
        <v>5.6120000000000001</v>
      </c>
    </row>
    <row r="30" spans="2:17" ht="15.6">
      <c r="B30" s="217" t="str">
        <f t="shared" si="0"/>
        <v>1Q</v>
      </c>
      <c r="C30" s="217">
        <f t="shared" si="5"/>
        <v>2</v>
      </c>
      <c r="D30" s="217" t="str">
        <f t="shared" si="1"/>
        <v>14</v>
      </c>
      <c r="E30">
        <f t="shared" si="2"/>
        <v>2014</v>
      </c>
      <c r="F30" s="217" t="str">
        <f t="shared" si="3"/>
        <v>1Q14</v>
      </c>
      <c r="G30" s="218">
        <v>41677</v>
      </c>
      <c r="H30" s="217">
        <v>2.3801999999999999</v>
      </c>
      <c r="J30" s="219" t="s">
        <v>28</v>
      </c>
      <c r="K30" s="220">
        <f t="shared" si="4"/>
        <v>5.3997469696969702</v>
      </c>
      <c r="L30" s="220">
        <f>+H1829</f>
        <v>5.194</v>
      </c>
    </row>
    <row r="31" spans="2:17" ht="15.6">
      <c r="B31" s="217" t="str">
        <f t="shared" si="0"/>
        <v>1Q</v>
      </c>
      <c r="C31" s="217">
        <f t="shared" si="5"/>
        <v>2</v>
      </c>
      <c r="D31" s="217" t="str">
        <f t="shared" si="1"/>
        <v>14</v>
      </c>
      <c r="E31">
        <f t="shared" si="2"/>
        <v>2014</v>
      </c>
      <c r="F31" s="217" t="str">
        <f t="shared" si="3"/>
        <v>1Q14</v>
      </c>
      <c r="G31" s="218">
        <v>41680</v>
      </c>
      <c r="H31" s="217">
        <v>2.4089999999999998</v>
      </c>
      <c r="J31" s="219" t="s">
        <v>29</v>
      </c>
      <c r="K31" s="220">
        <f t="shared" si="4"/>
        <v>5.4768062500000001</v>
      </c>
      <c r="L31" s="220">
        <f>+H1893</f>
        <v>5.6333000000000002</v>
      </c>
    </row>
    <row r="32" spans="2:17" ht="15.6">
      <c r="B32" s="217" t="str">
        <f t="shared" si="0"/>
        <v>1Q</v>
      </c>
      <c r="C32" s="217">
        <f t="shared" si="5"/>
        <v>2</v>
      </c>
      <c r="D32" s="217" t="str">
        <f t="shared" si="1"/>
        <v>14</v>
      </c>
      <c r="E32">
        <f t="shared" si="2"/>
        <v>2014</v>
      </c>
      <c r="F32" s="217" t="str">
        <f t="shared" si="3"/>
        <v>1Q14</v>
      </c>
      <c r="G32" s="218">
        <v>41681</v>
      </c>
      <c r="H32" s="217">
        <v>2.4005000000000001</v>
      </c>
      <c r="J32" s="219" t="s">
        <v>30</v>
      </c>
      <c r="K32" s="220">
        <f t="shared" si="4"/>
        <v>5.296578461538461</v>
      </c>
      <c r="L32" s="220">
        <f>+H1958</f>
        <v>4.9695999999999998</v>
      </c>
    </row>
    <row r="33" spans="2:12" ht="15.6">
      <c r="B33" s="217" t="str">
        <f t="shared" si="0"/>
        <v>1Q</v>
      </c>
      <c r="C33" s="217">
        <f t="shared" si="5"/>
        <v>2</v>
      </c>
      <c r="D33" s="217" t="str">
        <f t="shared" si="1"/>
        <v>14</v>
      </c>
      <c r="E33">
        <f t="shared" si="2"/>
        <v>2014</v>
      </c>
      <c r="F33" s="217" t="str">
        <f t="shared" si="3"/>
        <v>1Q14</v>
      </c>
      <c r="G33" s="218">
        <v>41682</v>
      </c>
      <c r="H33" s="217">
        <v>2.4255</v>
      </c>
      <c r="J33" s="219" t="s">
        <v>31</v>
      </c>
      <c r="K33" s="220">
        <f t="shared" si="4"/>
        <v>5.2308409090909107</v>
      </c>
      <c r="L33" s="220">
        <f>+H2024</f>
        <v>5.4432999999999998</v>
      </c>
    </row>
    <row r="34" spans="2:12" ht="15.6">
      <c r="B34" s="217" t="str">
        <f t="shared" si="0"/>
        <v>1Q</v>
      </c>
      <c r="C34" s="217">
        <f t="shared" si="5"/>
        <v>2</v>
      </c>
      <c r="D34" s="217" t="str">
        <f t="shared" si="1"/>
        <v>14</v>
      </c>
      <c r="E34">
        <f t="shared" si="2"/>
        <v>2014</v>
      </c>
      <c r="F34" s="217" t="str">
        <f t="shared" si="3"/>
        <v>1Q14</v>
      </c>
      <c r="G34" s="218">
        <v>41683</v>
      </c>
      <c r="H34" s="217">
        <v>2.3938000000000001</v>
      </c>
      <c r="J34" s="219" t="s">
        <v>32</v>
      </c>
      <c r="K34" s="220">
        <f t="shared" si="4"/>
        <v>5.5853393939393943</v>
      </c>
      <c r="L34" s="220">
        <f>+H2090</f>
        <v>5.5712999999999999</v>
      </c>
    </row>
    <row r="35" spans="2:12" ht="15.6">
      <c r="B35" s="217" t="str">
        <f t="shared" si="0"/>
        <v>1Q</v>
      </c>
      <c r="C35" s="217">
        <f t="shared" si="5"/>
        <v>2</v>
      </c>
      <c r="D35" s="217" t="str">
        <f t="shared" si="1"/>
        <v>14</v>
      </c>
      <c r="E35">
        <f t="shared" si="2"/>
        <v>2014</v>
      </c>
      <c r="F35" s="217" t="str">
        <f t="shared" si="3"/>
        <v>1Q14</v>
      </c>
      <c r="G35" s="218">
        <v>41684</v>
      </c>
      <c r="H35" s="217">
        <v>2.3891</v>
      </c>
      <c r="J35" s="219" t="s">
        <v>33</v>
      </c>
      <c r="K35" s="220">
        <f t="shared" si="4"/>
        <v>5.2224140625000013</v>
      </c>
      <c r="L35" s="220">
        <f>+H2154</f>
        <v>4.7389999999999999</v>
      </c>
    </row>
    <row r="36" spans="2:12" ht="15.6">
      <c r="B36" s="217" t="str">
        <f t="shared" si="0"/>
        <v>1Q</v>
      </c>
      <c r="C36" s="217">
        <f t="shared" si="5"/>
        <v>2</v>
      </c>
      <c r="D36" s="217" t="str">
        <f t="shared" si="1"/>
        <v>14</v>
      </c>
      <c r="E36">
        <f t="shared" si="2"/>
        <v>2014</v>
      </c>
      <c r="F36" s="217" t="str">
        <f t="shared" si="3"/>
        <v>1Q14</v>
      </c>
      <c r="G36" s="218">
        <v>41687</v>
      </c>
      <c r="H36" s="217">
        <v>2.39</v>
      </c>
      <c r="J36" s="219" t="s">
        <v>34</v>
      </c>
      <c r="K36" s="220">
        <f t="shared" si="4"/>
        <v>4.9274354838709673</v>
      </c>
      <c r="L36" s="220">
        <f>+H2216</f>
        <v>5.2558999999999996</v>
      </c>
    </row>
    <row r="37" spans="2:12" ht="15.6">
      <c r="B37" s="217" t="str">
        <f t="shared" si="0"/>
        <v>1Q</v>
      </c>
      <c r="C37" s="217">
        <f t="shared" si="5"/>
        <v>2</v>
      </c>
      <c r="D37" s="217" t="str">
        <f t="shared" si="1"/>
        <v>14</v>
      </c>
      <c r="E37">
        <f t="shared" si="2"/>
        <v>2014</v>
      </c>
      <c r="F37" s="217" t="str">
        <f t="shared" si="3"/>
        <v>1Q14</v>
      </c>
      <c r="G37" s="218">
        <v>41688</v>
      </c>
      <c r="H37" s="217">
        <v>2.3955000000000002</v>
      </c>
      <c r="J37" s="219" t="s">
        <v>35</v>
      </c>
      <c r="K37" s="220">
        <f t="shared" si="4"/>
        <v>5.2465599999999979</v>
      </c>
      <c r="L37" s="220">
        <f>+H2281</f>
        <v>5.4138000000000002</v>
      </c>
    </row>
    <row r="38" spans="2:12" ht="15.6">
      <c r="B38" s="217" t="str">
        <f t="shared" si="0"/>
        <v>1Q</v>
      </c>
      <c r="C38" s="217">
        <f t="shared" si="5"/>
        <v>2</v>
      </c>
      <c r="D38" s="217" t="str">
        <f t="shared" si="1"/>
        <v>14</v>
      </c>
      <c r="E38">
        <f t="shared" si="2"/>
        <v>2014</v>
      </c>
      <c r="F38" s="217" t="str">
        <f t="shared" si="3"/>
        <v>1Q14</v>
      </c>
      <c r="G38" s="218">
        <v>41689</v>
      </c>
      <c r="H38" s="217">
        <v>2.3942000000000001</v>
      </c>
      <c r="J38" s="219"/>
    </row>
    <row r="39" spans="2:12" ht="15.6">
      <c r="B39" s="217" t="str">
        <f t="shared" si="0"/>
        <v>1Q</v>
      </c>
      <c r="C39" s="217">
        <f t="shared" si="5"/>
        <v>2</v>
      </c>
      <c r="D39" s="217" t="str">
        <f t="shared" si="1"/>
        <v>14</v>
      </c>
      <c r="E39">
        <f t="shared" si="2"/>
        <v>2014</v>
      </c>
      <c r="F39" s="217" t="str">
        <f t="shared" si="3"/>
        <v>1Q14</v>
      </c>
      <c r="G39" s="218">
        <v>41690</v>
      </c>
      <c r="H39" s="217">
        <v>2.3704000000000001</v>
      </c>
      <c r="J39" s="219"/>
    </row>
    <row r="40" spans="2:12" ht="15.6">
      <c r="B40" s="217" t="str">
        <f t="shared" si="0"/>
        <v>1Q</v>
      </c>
      <c r="C40" s="217">
        <f t="shared" si="5"/>
        <v>2</v>
      </c>
      <c r="D40" s="217" t="str">
        <f t="shared" si="1"/>
        <v>14</v>
      </c>
      <c r="E40">
        <f t="shared" si="2"/>
        <v>2014</v>
      </c>
      <c r="F40" s="217" t="str">
        <f t="shared" si="3"/>
        <v>1Q14</v>
      </c>
      <c r="G40" s="218">
        <v>41691</v>
      </c>
      <c r="H40" s="217">
        <v>2.3456000000000001</v>
      </c>
      <c r="J40" s="219"/>
    </row>
    <row r="41" spans="2:12" ht="15.6">
      <c r="B41" s="217" t="str">
        <f t="shared" si="0"/>
        <v>1Q</v>
      </c>
      <c r="C41" s="217">
        <f t="shared" si="5"/>
        <v>2</v>
      </c>
      <c r="D41" s="217" t="str">
        <f t="shared" si="1"/>
        <v>14</v>
      </c>
      <c r="E41">
        <f t="shared" si="2"/>
        <v>2014</v>
      </c>
      <c r="F41" s="217" t="str">
        <f t="shared" si="3"/>
        <v>1Q14</v>
      </c>
      <c r="G41" s="218">
        <v>41694</v>
      </c>
      <c r="H41" s="217">
        <v>2.3391999999999999</v>
      </c>
      <c r="J41" s="219"/>
    </row>
    <row r="42" spans="2:12" ht="15.6">
      <c r="B42" s="217" t="str">
        <f t="shared" si="0"/>
        <v>1Q</v>
      </c>
      <c r="C42" s="217">
        <f t="shared" si="5"/>
        <v>2</v>
      </c>
      <c r="D42" s="217" t="str">
        <f t="shared" si="1"/>
        <v>14</v>
      </c>
      <c r="E42">
        <f t="shared" si="2"/>
        <v>2014</v>
      </c>
      <c r="F42" s="217" t="str">
        <f t="shared" si="3"/>
        <v>1Q14</v>
      </c>
      <c r="G42" s="218">
        <v>41695</v>
      </c>
      <c r="H42" s="217">
        <v>2.3411</v>
      </c>
      <c r="J42" s="219"/>
    </row>
    <row r="43" spans="2:12" ht="15.6">
      <c r="B43" s="217" t="str">
        <f t="shared" si="0"/>
        <v>1Q</v>
      </c>
      <c r="C43" s="217">
        <f t="shared" si="5"/>
        <v>2</v>
      </c>
      <c r="D43" s="217" t="str">
        <f t="shared" si="1"/>
        <v>14</v>
      </c>
      <c r="E43">
        <f t="shared" si="2"/>
        <v>2014</v>
      </c>
      <c r="F43" s="217" t="str">
        <f t="shared" si="3"/>
        <v>1Q14</v>
      </c>
      <c r="G43" s="218">
        <v>41696</v>
      </c>
      <c r="H43" s="217">
        <v>2.3496999999999999</v>
      </c>
      <c r="J43" s="219"/>
    </row>
    <row r="44" spans="2:12" ht="15.6">
      <c r="B44" s="217" t="str">
        <f t="shared" si="0"/>
        <v>1Q</v>
      </c>
      <c r="C44" s="217">
        <f t="shared" si="5"/>
        <v>2</v>
      </c>
      <c r="D44" s="217" t="str">
        <f t="shared" si="1"/>
        <v>14</v>
      </c>
      <c r="E44">
        <f t="shared" si="2"/>
        <v>2014</v>
      </c>
      <c r="F44" s="217" t="str">
        <f t="shared" si="3"/>
        <v>1Q14</v>
      </c>
      <c r="G44" s="218">
        <v>41697</v>
      </c>
      <c r="H44" s="217">
        <v>2.3220000000000001</v>
      </c>
      <c r="J44" s="219"/>
    </row>
    <row r="45" spans="2:12" ht="15.6">
      <c r="B45" s="217" t="str">
        <f t="shared" si="0"/>
        <v>1Q</v>
      </c>
      <c r="C45" s="217">
        <f t="shared" si="5"/>
        <v>2</v>
      </c>
      <c r="D45" s="217" t="str">
        <f t="shared" si="1"/>
        <v>14</v>
      </c>
      <c r="E45">
        <f t="shared" si="2"/>
        <v>2014</v>
      </c>
      <c r="F45" s="217" t="str">
        <f t="shared" si="3"/>
        <v>1Q14</v>
      </c>
      <c r="G45" s="218">
        <v>41698</v>
      </c>
      <c r="H45" s="217">
        <v>2.3384</v>
      </c>
      <c r="J45" s="219"/>
    </row>
    <row r="46" spans="2:12" ht="15.6">
      <c r="B46" s="217" t="str">
        <f t="shared" si="0"/>
        <v>1Q</v>
      </c>
      <c r="C46" s="217">
        <f t="shared" si="5"/>
        <v>3</v>
      </c>
      <c r="D46" s="217" t="str">
        <f t="shared" si="1"/>
        <v>14</v>
      </c>
      <c r="E46">
        <f t="shared" si="2"/>
        <v>2014</v>
      </c>
      <c r="F46" s="217" t="str">
        <f t="shared" si="3"/>
        <v>1Q14</v>
      </c>
      <c r="G46" s="218">
        <v>41701</v>
      </c>
      <c r="H46" s="217">
        <v>2.3441000000000001</v>
      </c>
      <c r="J46" s="219"/>
    </row>
    <row r="47" spans="2:12" ht="15.6">
      <c r="B47" s="217" t="str">
        <f t="shared" si="0"/>
        <v>1Q</v>
      </c>
      <c r="C47" s="217">
        <f t="shared" si="5"/>
        <v>3</v>
      </c>
      <c r="D47" s="217" t="str">
        <f t="shared" si="1"/>
        <v>14</v>
      </c>
      <c r="E47">
        <f t="shared" si="2"/>
        <v>2014</v>
      </c>
      <c r="F47" s="217" t="str">
        <f t="shared" si="3"/>
        <v>1Q14</v>
      </c>
      <c r="G47" s="218">
        <v>41702</v>
      </c>
      <c r="H47" s="217">
        <v>2.3412000000000002</v>
      </c>
      <c r="J47" s="219"/>
    </row>
    <row r="48" spans="2:12" ht="15.6">
      <c r="B48" s="217" t="str">
        <f t="shared" si="0"/>
        <v>1Q</v>
      </c>
      <c r="C48" s="217">
        <f t="shared" si="5"/>
        <v>3</v>
      </c>
      <c r="D48" s="217" t="str">
        <f t="shared" si="1"/>
        <v>14</v>
      </c>
      <c r="E48">
        <f t="shared" si="2"/>
        <v>2014</v>
      </c>
      <c r="F48" s="217" t="str">
        <f t="shared" si="3"/>
        <v>1Q14</v>
      </c>
      <c r="G48" s="218">
        <v>41703</v>
      </c>
      <c r="H48" s="217">
        <v>2.3180999999999998</v>
      </c>
      <c r="J48" s="219"/>
    </row>
    <row r="49" spans="2:10" ht="15.6">
      <c r="B49" s="217" t="str">
        <f t="shared" si="0"/>
        <v>1Q</v>
      </c>
      <c r="C49" s="217">
        <f t="shared" si="5"/>
        <v>3</v>
      </c>
      <c r="D49" s="217" t="str">
        <f t="shared" si="1"/>
        <v>14</v>
      </c>
      <c r="E49">
        <f t="shared" si="2"/>
        <v>2014</v>
      </c>
      <c r="F49" s="217" t="str">
        <f t="shared" si="3"/>
        <v>1Q14</v>
      </c>
      <c r="G49" s="218">
        <v>41704</v>
      </c>
      <c r="H49" s="217">
        <v>2.3231999999999999</v>
      </c>
      <c r="J49" s="219"/>
    </row>
    <row r="50" spans="2:10" ht="15.6">
      <c r="B50" s="217" t="str">
        <f t="shared" si="0"/>
        <v>1Q</v>
      </c>
      <c r="C50" s="217">
        <f t="shared" si="5"/>
        <v>3</v>
      </c>
      <c r="D50" s="217" t="str">
        <f t="shared" si="1"/>
        <v>14</v>
      </c>
      <c r="E50">
        <f t="shared" si="2"/>
        <v>2014</v>
      </c>
      <c r="F50" s="217" t="str">
        <f t="shared" si="3"/>
        <v>1Q14</v>
      </c>
      <c r="G50" s="218">
        <v>41705</v>
      </c>
      <c r="H50" s="217">
        <v>2.3405999999999998</v>
      </c>
      <c r="J50" s="219"/>
    </row>
    <row r="51" spans="2:10">
      <c r="B51" s="217" t="str">
        <f t="shared" si="0"/>
        <v>1Q</v>
      </c>
      <c r="C51" s="217">
        <f t="shared" si="5"/>
        <v>3</v>
      </c>
      <c r="D51" s="217" t="str">
        <f t="shared" si="1"/>
        <v>14</v>
      </c>
      <c r="E51">
        <f t="shared" si="2"/>
        <v>2014</v>
      </c>
      <c r="F51" s="217" t="str">
        <f t="shared" si="3"/>
        <v>1Q14</v>
      </c>
      <c r="G51" s="218">
        <v>41708</v>
      </c>
      <c r="H51" s="217">
        <v>2.3498000000000001</v>
      </c>
    </row>
    <row r="52" spans="2:10">
      <c r="B52" s="217" t="str">
        <f t="shared" si="0"/>
        <v>1Q</v>
      </c>
      <c r="C52" s="217">
        <f t="shared" si="5"/>
        <v>3</v>
      </c>
      <c r="D52" s="217" t="str">
        <f t="shared" si="1"/>
        <v>14</v>
      </c>
      <c r="E52">
        <f t="shared" si="2"/>
        <v>2014</v>
      </c>
      <c r="F52" s="217" t="str">
        <f t="shared" si="3"/>
        <v>1Q14</v>
      </c>
      <c r="G52" s="218">
        <v>41709</v>
      </c>
      <c r="H52" s="217">
        <v>2.3641999999999999</v>
      </c>
    </row>
    <row r="53" spans="2:10">
      <c r="B53" s="217" t="str">
        <f t="shared" si="0"/>
        <v>1Q</v>
      </c>
      <c r="C53" s="217">
        <f t="shared" si="5"/>
        <v>3</v>
      </c>
      <c r="D53" s="217" t="str">
        <f t="shared" si="1"/>
        <v>14</v>
      </c>
      <c r="E53">
        <f t="shared" si="2"/>
        <v>2014</v>
      </c>
      <c r="F53" s="217" t="str">
        <f t="shared" si="3"/>
        <v>1Q14</v>
      </c>
      <c r="G53" s="218">
        <v>41710</v>
      </c>
      <c r="H53" s="217">
        <v>2.3525</v>
      </c>
    </row>
    <row r="54" spans="2:10">
      <c r="B54" s="217" t="str">
        <f t="shared" si="0"/>
        <v>1Q</v>
      </c>
      <c r="C54" s="217">
        <f t="shared" si="5"/>
        <v>3</v>
      </c>
      <c r="D54" s="217" t="str">
        <f t="shared" si="1"/>
        <v>14</v>
      </c>
      <c r="E54">
        <f t="shared" si="2"/>
        <v>2014</v>
      </c>
      <c r="F54" s="217" t="str">
        <f t="shared" si="3"/>
        <v>1Q14</v>
      </c>
      <c r="G54" s="218">
        <v>41711</v>
      </c>
      <c r="H54" s="217">
        <v>2.3641000000000001</v>
      </c>
    </row>
    <row r="55" spans="2:10">
      <c r="B55" s="217" t="str">
        <f t="shared" si="0"/>
        <v>1Q</v>
      </c>
      <c r="C55" s="217">
        <f t="shared" si="5"/>
        <v>3</v>
      </c>
      <c r="D55" s="217" t="str">
        <f t="shared" si="1"/>
        <v>14</v>
      </c>
      <c r="E55">
        <f t="shared" si="2"/>
        <v>2014</v>
      </c>
      <c r="F55" s="217" t="str">
        <f t="shared" si="3"/>
        <v>1Q14</v>
      </c>
      <c r="G55" s="218">
        <v>41712</v>
      </c>
      <c r="H55" s="217">
        <v>2.3464999999999998</v>
      </c>
    </row>
    <row r="56" spans="2:10">
      <c r="B56" s="217" t="str">
        <f t="shared" si="0"/>
        <v>1Q</v>
      </c>
      <c r="C56" s="217">
        <f t="shared" si="5"/>
        <v>3</v>
      </c>
      <c r="D56" s="217" t="str">
        <f t="shared" si="1"/>
        <v>14</v>
      </c>
      <c r="E56">
        <f t="shared" si="2"/>
        <v>2014</v>
      </c>
      <c r="F56" s="217" t="str">
        <f t="shared" si="3"/>
        <v>1Q14</v>
      </c>
      <c r="G56" s="218">
        <v>41715</v>
      </c>
      <c r="H56" s="217">
        <v>2.3494999999999999</v>
      </c>
    </row>
    <row r="57" spans="2:10">
      <c r="B57" s="217" t="str">
        <f t="shared" si="0"/>
        <v>1Q</v>
      </c>
      <c r="C57" s="217">
        <f t="shared" si="5"/>
        <v>3</v>
      </c>
      <c r="D57" s="217" t="str">
        <f t="shared" si="1"/>
        <v>14</v>
      </c>
      <c r="E57">
        <f t="shared" si="2"/>
        <v>2014</v>
      </c>
      <c r="F57" s="217" t="str">
        <f t="shared" si="3"/>
        <v>1Q14</v>
      </c>
      <c r="G57" s="218">
        <v>41716</v>
      </c>
      <c r="H57" s="217">
        <v>2.3342000000000001</v>
      </c>
    </row>
    <row r="58" spans="2:10">
      <c r="B58" s="217" t="str">
        <f t="shared" si="0"/>
        <v>1Q</v>
      </c>
      <c r="C58" s="217">
        <f t="shared" si="5"/>
        <v>3</v>
      </c>
      <c r="D58" s="217" t="str">
        <f t="shared" si="1"/>
        <v>14</v>
      </c>
      <c r="E58">
        <f t="shared" si="2"/>
        <v>2014</v>
      </c>
      <c r="F58" s="217" t="str">
        <f t="shared" si="3"/>
        <v>1Q14</v>
      </c>
      <c r="G58" s="218">
        <v>41717</v>
      </c>
      <c r="H58" s="217">
        <v>2.3477999999999999</v>
      </c>
    </row>
    <row r="59" spans="2:10">
      <c r="B59" s="217" t="str">
        <f t="shared" si="0"/>
        <v>1Q</v>
      </c>
      <c r="C59" s="217">
        <f t="shared" si="5"/>
        <v>3</v>
      </c>
      <c r="D59" s="217" t="str">
        <f t="shared" si="1"/>
        <v>14</v>
      </c>
      <c r="E59">
        <f t="shared" si="2"/>
        <v>2014</v>
      </c>
      <c r="F59" s="217" t="str">
        <f t="shared" si="3"/>
        <v>1Q14</v>
      </c>
      <c r="G59" s="218">
        <v>41718</v>
      </c>
      <c r="H59" s="217">
        <v>2.3281000000000001</v>
      </c>
    </row>
    <row r="60" spans="2:10">
      <c r="B60" s="217" t="str">
        <f t="shared" si="0"/>
        <v>1Q</v>
      </c>
      <c r="C60" s="217">
        <f t="shared" si="5"/>
        <v>3</v>
      </c>
      <c r="D60" s="217" t="str">
        <f t="shared" si="1"/>
        <v>14</v>
      </c>
      <c r="E60">
        <f t="shared" si="2"/>
        <v>2014</v>
      </c>
      <c r="F60" s="217" t="str">
        <f t="shared" si="3"/>
        <v>1Q14</v>
      </c>
      <c r="G60" s="218">
        <v>41719</v>
      </c>
      <c r="H60" s="217">
        <v>2.3246000000000002</v>
      </c>
    </row>
    <row r="61" spans="2:10">
      <c r="B61" s="217" t="str">
        <f t="shared" si="0"/>
        <v>1Q</v>
      </c>
      <c r="C61" s="217">
        <f t="shared" si="5"/>
        <v>3</v>
      </c>
      <c r="D61" s="217" t="str">
        <f t="shared" si="1"/>
        <v>14</v>
      </c>
      <c r="E61">
        <f t="shared" si="2"/>
        <v>2014</v>
      </c>
      <c r="F61" s="217" t="str">
        <f t="shared" si="3"/>
        <v>1Q14</v>
      </c>
      <c r="G61" s="218">
        <v>41722</v>
      </c>
      <c r="H61" s="217">
        <v>2.3224999999999998</v>
      </c>
    </row>
    <row r="62" spans="2:10">
      <c r="B62" s="217" t="str">
        <f t="shared" si="0"/>
        <v>1Q</v>
      </c>
      <c r="C62" s="217">
        <f t="shared" si="5"/>
        <v>3</v>
      </c>
      <c r="D62" s="217" t="str">
        <f t="shared" si="1"/>
        <v>14</v>
      </c>
      <c r="E62">
        <f t="shared" si="2"/>
        <v>2014</v>
      </c>
      <c r="F62" s="217" t="str">
        <f t="shared" si="3"/>
        <v>1Q14</v>
      </c>
      <c r="G62" s="218">
        <v>41723</v>
      </c>
      <c r="H62" s="217">
        <v>2.3113999999999999</v>
      </c>
    </row>
    <row r="63" spans="2:10">
      <c r="B63" s="217" t="str">
        <f t="shared" si="0"/>
        <v>1Q</v>
      </c>
      <c r="C63" s="217">
        <f t="shared" si="5"/>
        <v>3</v>
      </c>
      <c r="D63" s="217" t="str">
        <f t="shared" si="1"/>
        <v>14</v>
      </c>
      <c r="E63">
        <f t="shared" si="2"/>
        <v>2014</v>
      </c>
      <c r="F63" s="217" t="str">
        <f t="shared" si="3"/>
        <v>1Q14</v>
      </c>
      <c r="G63" s="218">
        <v>41724</v>
      </c>
      <c r="H63" s="217">
        <v>2.3041</v>
      </c>
    </row>
    <row r="64" spans="2:10">
      <c r="B64" s="217" t="str">
        <f t="shared" si="0"/>
        <v>1Q</v>
      </c>
      <c r="C64" s="217">
        <f t="shared" si="5"/>
        <v>3</v>
      </c>
      <c r="D64" s="217" t="str">
        <f t="shared" si="1"/>
        <v>14</v>
      </c>
      <c r="E64">
        <f t="shared" si="2"/>
        <v>2014</v>
      </c>
      <c r="F64" s="217" t="str">
        <f t="shared" si="3"/>
        <v>1Q14</v>
      </c>
      <c r="G64" s="218">
        <v>41725</v>
      </c>
      <c r="H64" s="217">
        <v>2.2593000000000001</v>
      </c>
    </row>
    <row r="65" spans="2:8">
      <c r="B65" s="217" t="str">
        <f t="shared" si="0"/>
        <v>1Q</v>
      </c>
      <c r="C65" s="217">
        <f t="shared" si="5"/>
        <v>3</v>
      </c>
      <c r="D65" s="217" t="str">
        <f t="shared" si="1"/>
        <v>14</v>
      </c>
      <c r="E65">
        <f t="shared" si="2"/>
        <v>2014</v>
      </c>
      <c r="F65" s="217" t="str">
        <f t="shared" si="3"/>
        <v>1Q14</v>
      </c>
      <c r="G65" s="218">
        <v>41726</v>
      </c>
      <c r="H65" s="217">
        <v>2.2618</v>
      </c>
    </row>
    <row r="66" spans="2:8">
      <c r="B66" s="217" t="str">
        <f t="shared" si="0"/>
        <v>1Q</v>
      </c>
      <c r="C66" s="217">
        <f t="shared" si="5"/>
        <v>3</v>
      </c>
      <c r="D66" s="217" t="str">
        <f t="shared" si="1"/>
        <v>14</v>
      </c>
      <c r="E66">
        <f t="shared" si="2"/>
        <v>2014</v>
      </c>
      <c r="F66" s="217" t="str">
        <f t="shared" si="3"/>
        <v>1Q14</v>
      </c>
      <c r="G66" s="218">
        <v>41729</v>
      </c>
      <c r="H66" s="217">
        <v>2.2721</v>
      </c>
    </row>
    <row r="67" spans="2:8">
      <c r="B67" s="217" t="str">
        <f t="shared" ref="B67:B130" si="7">VLOOKUP(C67,$N$3:$O$14,2,0)</f>
        <v>2Q</v>
      </c>
      <c r="C67" s="217">
        <f t="shared" si="5"/>
        <v>4</v>
      </c>
      <c r="D67" s="217" t="str">
        <f t="shared" ref="D67:D130" si="8">RIGHT(E67,2)</f>
        <v>14</v>
      </c>
      <c r="E67">
        <f t="shared" ref="E67:E130" si="9">YEAR(G67)</f>
        <v>2014</v>
      </c>
      <c r="F67" s="217" t="str">
        <f t="shared" ref="F67:F130" si="10">+B67&amp;D67</f>
        <v>2Q14</v>
      </c>
      <c r="G67" s="218">
        <v>41730</v>
      </c>
      <c r="H67" s="217">
        <v>2.2606999999999999</v>
      </c>
    </row>
    <row r="68" spans="2:8">
      <c r="B68" s="217" t="str">
        <f t="shared" si="7"/>
        <v>2Q</v>
      </c>
      <c r="C68" s="217">
        <f t="shared" ref="C68:C131" si="11">MONTH(G68)</f>
        <v>4</v>
      </c>
      <c r="D68" s="217" t="str">
        <f t="shared" si="8"/>
        <v>14</v>
      </c>
      <c r="E68">
        <f t="shared" si="9"/>
        <v>2014</v>
      </c>
      <c r="F68" s="217" t="str">
        <f t="shared" si="10"/>
        <v>2Q14</v>
      </c>
      <c r="G68" s="218">
        <v>41731</v>
      </c>
      <c r="H68" s="217">
        <v>2.2690999999999999</v>
      </c>
    </row>
    <row r="69" spans="2:8">
      <c r="B69" s="217" t="str">
        <f t="shared" si="7"/>
        <v>2Q</v>
      </c>
      <c r="C69" s="217">
        <f t="shared" si="11"/>
        <v>4</v>
      </c>
      <c r="D69" s="217" t="str">
        <f t="shared" si="8"/>
        <v>14</v>
      </c>
      <c r="E69">
        <f t="shared" si="9"/>
        <v>2014</v>
      </c>
      <c r="F69" s="217" t="str">
        <f t="shared" si="10"/>
        <v>2Q14</v>
      </c>
      <c r="G69" s="218">
        <v>41732</v>
      </c>
      <c r="H69" s="217">
        <v>2.2793000000000001</v>
      </c>
    </row>
    <row r="70" spans="2:8">
      <c r="B70" s="217" t="str">
        <f t="shared" si="7"/>
        <v>2Q</v>
      </c>
      <c r="C70" s="217">
        <f t="shared" si="11"/>
        <v>4</v>
      </c>
      <c r="D70" s="217" t="str">
        <f t="shared" si="8"/>
        <v>14</v>
      </c>
      <c r="E70">
        <f t="shared" si="9"/>
        <v>2014</v>
      </c>
      <c r="F70" s="217" t="str">
        <f t="shared" si="10"/>
        <v>2Q14</v>
      </c>
      <c r="G70" s="218">
        <v>41733</v>
      </c>
      <c r="H70" s="217">
        <v>2.2360000000000002</v>
      </c>
    </row>
    <row r="71" spans="2:8">
      <c r="B71" s="217" t="str">
        <f t="shared" si="7"/>
        <v>2Q</v>
      </c>
      <c r="C71" s="217">
        <f t="shared" si="11"/>
        <v>4</v>
      </c>
      <c r="D71" s="217" t="str">
        <f t="shared" si="8"/>
        <v>14</v>
      </c>
      <c r="E71">
        <f t="shared" si="9"/>
        <v>2014</v>
      </c>
      <c r="F71" s="217" t="str">
        <f t="shared" si="10"/>
        <v>2Q14</v>
      </c>
      <c r="G71" s="218">
        <v>41736</v>
      </c>
      <c r="H71" s="217">
        <v>2.2189000000000001</v>
      </c>
    </row>
    <row r="72" spans="2:8">
      <c r="B72" s="217" t="str">
        <f t="shared" si="7"/>
        <v>2Q</v>
      </c>
      <c r="C72" s="217">
        <f t="shared" si="11"/>
        <v>4</v>
      </c>
      <c r="D72" s="217" t="str">
        <f t="shared" si="8"/>
        <v>14</v>
      </c>
      <c r="E72">
        <f t="shared" si="9"/>
        <v>2014</v>
      </c>
      <c r="F72" s="217" t="str">
        <f t="shared" si="10"/>
        <v>2Q14</v>
      </c>
      <c r="G72" s="218">
        <v>41737</v>
      </c>
      <c r="H72" s="217">
        <v>2.2012</v>
      </c>
    </row>
    <row r="73" spans="2:8">
      <c r="B73" s="217" t="str">
        <f t="shared" si="7"/>
        <v>2Q</v>
      </c>
      <c r="C73" s="217">
        <f t="shared" si="11"/>
        <v>4</v>
      </c>
      <c r="D73" s="217" t="str">
        <f t="shared" si="8"/>
        <v>14</v>
      </c>
      <c r="E73">
        <f t="shared" si="9"/>
        <v>2014</v>
      </c>
      <c r="F73" s="217" t="str">
        <f t="shared" si="10"/>
        <v>2Q14</v>
      </c>
      <c r="G73" s="218">
        <v>41738</v>
      </c>
      <c r="H73" s="217">
        <v>2.1856</v>
      </c>
    </row>
    <row r="74" spans="2:8">
      <c r="B74" s="217" t="str">
        <f t="shared" si="7"/>
        <v>2Q</v>
      </c>
      <c r="C74" s="217">
        <f t="shared" si="11"/>
        <v>4</v>
      </c>
      <c r="D74" s="217" t="str">
        <f t="shared" si="8"/>
        <v>14</v>
      </c>
      <c r="E74">
        <f t="shared" si="9"/>
        <v>2014</v>
      </c>
      <c r="F74" s="217" t="str">
        <f t="shared" si="10"/>
        <v>2Q14</v>
      </c>
      <c r="G74" s="218">
        <v>41739</v>
      </c>
      <c r="H74" s="217">
        <v>2.2067000000000001</v>
      </c>
    </row>
    <row r="75" spans="2:8">
      <c r="B75" s="217" t="str">
        <f t="shared" si="7"/>
        <v>2Q</v>
      </c>
      <c r="C75" s="217">
        <f t="shared" si="11"/>
        <v>4</v>
      </c>
      <c r="D75" s="217" t="str">
        <f t="shared" si="8"/>
        <v>14</v>
      </c>
      <c r="E75">
        <f t="shared" si="9"/>
        <v>2014</v>
      </c>
      <c r="F75" s="217" t="str">
        <f t="shared" si="10"/>
        <v>2Q14</v>
      </c>
      <c r="G75" s="218">
        <v>41740</v>
      </c>
      <c r="H75" s="217">
        <v>2.2183999999999999</v>
      </c>
    </row>
    <row r="76" spans="2:8">
      <c r="B76" s="217" t="str">
        <f t="shared" si="7"/>
        <v>2Q</v>
      </c>
      <c r="C76" s="217">
        <f t="shared" si="11"/>
        <v>4</v>
      </c>
      <c r="D76" s="217" t="str">
        <f t="shared" si="8"/>
        <v>14</v>
      </c>
      <c r="E76">
        <f t="shared" si="9"/>
        <v>2014</v>
      </c>
      <c r="F76" s="217" t="str">
        <f t="shared" si="10"/>
        <v>2Q14</v>
      </c>
      <c r="G76" s="218">
        <v>41743</v>
      </c>
      <c r="H76" s="217">
        <v>2.214</v>
      </c>
    </row>
    <row r="77" spans="2:8">
      <c r="B77" s="217" t="str">
        <f t="shared" si="7"/>
        <v>2Q</v>
      </c>
      <c r="C77" s="217">
        <f t="shared" si="11"/>
        <v>4</v>
      </c>
      <c r="D77" s="217" t="str">
        <f t="shared" si="8"/>
        <v>14</v>
      </c>
      <c r="E77">
        <f t="shared" si="9"/>
        <v>2014</v>
      </c>
      <c r="F77" s="217" t="str">
        <f t="shared" si="10"/>
        <v>2Q14</v>
      </c>
      <c r="G77" s="218">
        <v>41744</v>
      </c>
      <c r="H77" s="217">
        <v>2.2328999999999999</v>
      </c>
    </row>
    <row r="78" spans="2:8">
      <c r="B78" s="217" t="str">
        <f t="shared" si="7"/>
        <v>2Q</v>
      </c>
      <c r="C78" s="217">
        <f t="shared" si="11"/>
        <v>4</v>
      </c>
      <c r="D78" s="217" t="str">
        <f t="shared" si="8"/>
        <v>14</v>
      </c>
      <c r="E78">
        <f t="shared" si="9"/>
        <v>2014</v>
      </c>
      <c r="F78" s="217" t="str">
        <f t="shared" si="10"/>
        <v>2Q14</v>
      </c>
      <c r="G78" s="218">
        <v>41745</v>
      </c>
      <c r="H78" s="217">
        <v>2.2435999999999998</v>
      </c>
    </row>
    <row r="79" spans="2:8">
      <c r="B79" s="217" t="str">
        <f t="shared" si="7"/>
        <v>2Q</v>
      </c>
      <c r="C79" s="217">
        <f t="shared" si="11"/>
        <v>4</v>
      </c>
      <c r="D79" s="217" t="str">
        <f t="shared" si="8"/>
        <v>14</v>
      </c>
      <c r="E79">
        <f t="shared" si="9"/>
        <v>2014</v>
      </c>
      <c r="F79" s="217" t="str">
        <f t="shared" si="10"/>
        <v>2Q14</v>
      </c>
      <c r="G79" s="218">
        <v>41746</v>
      </c>
      <c r="H79" s="217">
        <v>2.2376</v>
      </c>
    </row>
    <row r="80" spans="2:8">
      <c r="B80" s="217" t="str">
        <f t="shared" si="7"/>
        <v>2Q</v>
      </c>
      <c r="C80" s="217">
        <f t="shared" si="11"/>
        <v>4</v>
      </c>
      <c r="D80" s="217" t="str">
        <f t="shared" si="8"/>
        <v>14</v>
      </c>
      <c r="E80">
        <f t="shared" si="9"/>
        <v>2014</v>
      </c>
      <c r="F80" s="217" t="str">
        <f t="shared" si="10"/>
        <v>2Q14</v>
      </c>
      <c r="G80" s="218">
        <v>41747</v>
      </c>
      <c r="H80" s="217">
        <v>2.2372000000000001</v>
      </c>
    </row>
    <row r="81" spans="2:8">
      <c r="B81" s="217" t="str">
        <f t="shared" si="7"/>
        <v>2Q</v>
      </c>
      <c r="C81" s="217">
        <f t="shared" si="11"/>
        <v>4</v>
      </c>
      <c r="D81" s="217" t="str">
        <f t="shared" si="8"/>
        <v>14</v>
      </c>
      <c r="E81">
        <f t="shared" si="9"/>
        <v>2014</v>
      </c>
      <c r="F81" s="217" t="str">
        <f t="shared" si="10"/>
        <v>2Q14</v>
      </c>
      <c r="G81" s="218">
        <v>41750</v>
      </c>
      <c r="H81" s="217">
        <v>2.2370000000000001</v>
      </c>
    </row>
    <row r="82" spans="2:8">
      <c r="B82" s="217" t="str">
        <f t="shared" si="7"/>
        <v>2Q</v>
      </c>
      <c r="C82" s="217">
        <f t="shared" si="11"/>
        <v>4</v>
      </c>
      <c r="D82" s="217" t="str">
        <f t="shared" si="8"/>
        <v>14</v>
      </c>
      <c r="E82">
        <f t="shared" si="9"/>
        <v>2014</v>
      </c>
      <c r="F82" s="217" t="str">
        <f t="shared" si="10"/>
        <v>2Q14</v>
      </c>
      <c r="G82" s="218">
        <v>41751</v>
      </c>
      <c r="H82" s="217">
        <v>2.238</v>
      </c>
    </row>
    <row r="83" spans="2:8">
      <c r="B83" s="217" t="str">
        <f t="shared" si="7"/>
        <v>2Q</v>
      </c>
      <c r="C83" s="217">
        <f t="shared" si="11"/>
        <v>4</v>
      </c>
      <c r="D83" s="217" t="str">
        <f t="shared" si="8"/>
        <v>14</v>
      </c>
      <c r="E83">
        <f t="shared" si="9"/>
        <v>2014</v>
      </c>
      <c r="F83" s="217" t="str">
        <f t="shared" si="10"/>
        <v>2Q14</v>
      </c>
      <c r="G83" s="218">
        <v>41752</v>
      </c>
      <c r="H83" s="217">
        <v>2.2212000000000001</v>
      </c>
    </row>
    <row r="84" spans="2:8">
      <c r="B84" s="217" t="str">
        <f t="shared" si="7"/>
        <v>2Q</v>
      </c>
      <c r="C84" s="217">
        <f t="shared" si="11"/>
        <v>4</v>
      </c>
      <c r="D84" s="217" t="str">
        <f t="shared" si="8"/>
        <v>14</v>
      </c>
      <c r="E84">
        <f t="shared" si="9"/>
        <v>2014</v>
      </c>
      <c r="F84" s="217" t="str">
        <f t="shared" si="10"/>
        <v>2Q14</v>
      </c>
      <c r="G84" s="218">
        <v>41753</v>
      </c>
      <c r="H84" s="217">
        <v>2.2138</v>
      </c>
    </row>
    <row r="85" spans="2:8">
      <c r="B85" s="217" t="str">
        <f t="shared" si="7"/>
        <v>2Q</v>
      </c>
      <c r="C85" s="217">
        <f t="shared" si="11"/>
        <v>4</v>
      </c>
      <c r="D85" s="217" t="str">
        <f t="shared" si="8"/>
        <v>14</v>
      </c>
      <c r="E85">
        <f t="shared" si="9"/>
        <v>2014</v>
      </c>
      <c r="F85" s="217" t="str">
        <f t="shared" si="10"/>
        <v>2Q14</v>
      </c>
      <c r="G85" s="218">
        <v>41754</v>
      </c>
      <c r="H85" s="217">
        <v>2.2444999999999999</v>
      </c>
    </row>
    <row r="86" spans="2:8">
      <c r="B86" s="217" t="str">
        <f t="shared" si="7"/>
        <v>2Q</v>
      </c>
      <c r="C86" s="217">
        <f t="shared" si="11"/>
        <v>4</v>
      </c>
      <c r="D86" s="217" t="str">
        <f t="shared" si="8"/>
        <v>14</v>
      </c>
      <c r="E86">
        <f t="shared" si="9"/>
        <v>2014</v>
      </c>
      <c r="F86" s="217" t="str">
        <f t="shared" si="10"/>
        <v>2Q14</v>
      </c>
      <c r="G86" s="218">
        <v>41757</v>
      </c>
      <c r="H86" s="217">
        <v>2.2237</v>
      </c>
    </row>
    <row r="87" spans="2:8">
      <c r="B87" s="217" t="str">
        <f t="shared" si="7"/>
        <v>2Q</v>
      </c>
      <c r="C87" s="217">
        <f t="shared" si="11"/>
        <v>4</v>
      </c>
      <c r="D87" s="217" t="str">
        <f t="shared" si="8"/>
        <v>14</v>
      </c>
      <c r="E87">
        <f t="shared" si="9"/>
        <v>2014</v>
      </c>
      <c r="F87" s="217" t="str">
        <f t="shared" si="10"/>
        <v>2Q14</v>
      </c>
      <c r="G87" s="218">
        <v>41758</v>
      </c>
      <c r="H87" s="217">
        <v>2.2359</v>
      </c>
    </row>
    <row r="88" spans="2:8">
      <c r="B88" s="217" t="str">
        <f t="shared" si="7"/>
        <v>2Q</v>
      </c>
      <c r="C88" s="217">
        <f t="shared" si="11"/>
        <v>4</v>
      </c>
      <c r="D88" s="217" t="str">
        <f t="shared" si="8"/>
        <v>14</v>
      </c>
      <c r="E88">
        <f t="shared" si="9"/>
        <v>2014</v>
      </c>
      <c r="F88" s="217" t="str">
        <f t="shared" si="10"/>
        <v>2Q14</v>
      </c>
      <c r="G88" s="218">
        <v>41759</v>
      </c>
      <c r="H88" s="217">
        <v>2.2330000000000001</v>
      </c>
    </row>
    <row r="89" spans="2:8">
      <c r="B89" s="217" t="str">
        <f t="shared" si="7"/>
        <v>2Q</v>
      </c>
      <c r="C89" s="217">
        <f t="shared" si="11"/>
        <v>5</v>
      </c>
      <c r="D89" s="217" t="str">
        <f t="shared" si="8"/>
        <v>14</v>
      </c>
      <c r="E89">
        <f t="shared" si="9"/>
        <v>2014</v>
      </c>
      <c r="F89" s="217" t="str">
        <f t="shared" si="10"/>
        <v>2Q14</v>
      </c>
      <c r="G89" s="218">
        <v>41760</v>
      </c>
      <c r="H89" s="217">
        <v>2.2334999999999998</v>
      </c>
    </row>
    <row r="90" spans="2:8">
      <c r="B90" s="217" t="str">
        <f t="shared" si="7"/>
        <v>2Q</v>
      </c>
      <c r="C90" s="217">
        <f t="shared" si="11"/>
        <v>5</v>
      </c>
      <c r="D90" s="217" t="str">
        <f t="shared" si="8"/>
        <v>14</v>
      </c>
      <c r="E90">
        <f t="shared" si="9"/>
        <v>2014</v>
      </c>
      <c r="F90" s="217" t="str">
        <f t="shared" si="10"/>
        <v>2Q14</v>
      </c>
      <c r="G90" s="218">
        <v>41761</v>
      </c>
      <c r="H90" s="217">
        <v>2.2200000000000002</v>
      </c>
    </row>
    <row r="91" spans="2:8">
      <c r="B91" s="217" t="str">
        <f t="shared" si="7"/>
        <v>2Q</v>
      </c>
      <c r="C91" s="217">
        <f t="shared" si="11"/>
        <v>5</v>
      </c>
      <c r="D91" s="217" t="str">
        <f t="shared" si="8"/>
        <v>14</v>
      </c>
      <c r="E91">
        <f t="shared" si="9"/>
        <v>2014</v>
      </c>
      <c r="F91" s="217" t="str">
        <f t="shared" si="10"/>
        <v>2Q14</v>
      </c>
      <c r="G91" s="218">
        <v>41764</v>
      </c>
      <c r="H91" s="217">
        <v>2.2431000000000001</v>
      </c>
    </row>
    <row r="92" spans="2:8">
      <c r="B92" s="217" t="str">
        <f t="shared" si="7"/>
        <v>2Q</v>
      </c>
      <c r="C92" s="217">
        <f t="shared" si="11"/>
        <v>5</v>
      </c>
      <c r="D92" s="217" t="str">
        <f t="shared" si="8"/>
        <v>14</v>
      </c>
      <c r="E92">
        <f t="shared" si="9"/>
        <v>2014</v>
      </c>
      <c r="F92" s="217" t="str">
        <f t="shared" si="10"/>
        <v>2Q14</v>
      </c>
      <c r="G92" s="218">
        <v>41765</v>
      </c>
      <c r="H92" s="217">
        <v>2.2292000000000001</v>
      </c>
    </row>
    <row r="93" spans="2:8">
      <c r="B93" s="217" t="str">
        <f t="shared" si="7"/>
        <v>2Q</v>
      </c>
      <c r="C93" s="217">
        <f t="shared" si="11"/>
        <v>5</v>
      </c>
      <c r="D93" s="217" t="str">
        <f t="shared" si="8"/>
        <v>14</v>
      </c>
      <c r="E93">
        <f t="shared" si="9"/>
        <v>2014</v>
      </c>
      <c r="F93" s="217" t="str">
        <f t="shared" si="10"/>
        <v>2Q14</v>
      </c>
      <c r="G93" s="218">
        <v>41766</v>
      </c>
      <c r="H93" s="217">
        <v>2.2166000000000001</v>
      </c>
    </row>
    <row r="94" spans="2:8">
      <c r="B94" s="217" t="str">
        <f t="shared" si="7"/>
        <v>2Q</v>
      </c>
      <c r="C94" s="217">
        <f t="shared" si="11"/>
        <v>5</v>
      </c>
      <c r="D94" s="217" t="str">
        <f t="shared" si="8"/>
        <v>14</v>
      </c>
      <c r="E94">
        <f t="shared" si="9"/>
        <v>2014</v>
      </c>
      <c r="F94" s="217" t="str">
        <f t="shared" si="10"/>
        <v>2Q14</v>
      </c>
      <c r="G94" s="218">
        <v>41767</v>
      </c>
      <c r="H94" s="217">
        <v>2.2153</v>
      </c>
    </row>
    <row r="95" spans="2:8">
      <c r="B95" s="217" t="str">
        <f t="shared" si="7"/>
        <v>2Q</v>
      </c>
      <c r="C95" s="217">
        <f t="shared" si="11"/>
        <v>5</v>
      </c>
      <c r="D95" s="217" t="str">
        <f t="shared" si="8"/>
        <v>14</v>
      </c>
      <c r="E95">
        <f t="shared" si="9"/>
        <v>2014</v>
      </c>
      <c r="F95" s="217" t="str">
        <f t="shared" si="10"/>
        <v>2Q14</v>
      </c>
      <c r="G95" s="218">
        <v>41768</v>
      </c>
      <c r="H95" s="217">
        <v>2.2128000000000001</v>
      </c>
    </row>
    <row r="96" spans="2:8">
      <c r="B96" s="217" t="str">
        <f t="shared" si="7"/>
        <v>2Q</v>
      </c>
      <c r="C96" s="217">
        <f t="shared" si="11"/>
        <v>5</v>
      </c>
      <c r="D96" s="217" t="str">
        <f t="shared" si="8"/>
        <v>14</v>
      </c>
      <c r="E96">
        <f t="shared" si="9"/>
        <v>2014</v>
      </c>
      <c r="F96" s="217" t="str">
        <f t="shared" si="10"/>
        <v>2Q14</v>
      </c>
      <c r="G96" s="218">
        <v>41771</v>
      </c>
      <c r="H96" s="217">
        <v>2.2145000000000001</v>
      </c>
    </row>
    <row r="97" spans="2:8">
      <c r="B97" s="217" t="str">
        <f t="shared" si="7"/>
        <v>2Q</v>
      </c>
      <c r="C97" s="217">
        <f t="shared" si="11"/>
        <v>5</v>
      </c>
      <c r="D97" s="217" t="str">
        <f t="shared" si="8"/>
        <v>14</v>
      </c>
      <c r="E97">
        <f t="shared" si="9"/>
        <v>2014</v>
      </c>
      <c r="F97" s="217" t="str">
        <f t="shared" si="10"/>
        <v>2Q14</v>
      </c>
      <c r="G97" s="218">
        <v>41772</v>
      </c>
      <c r="H97" s="217">
        <v>2.2151000000000001</v>
      </c>
    </row>
    <row r="98" spans="2:8">
      <c r="B98" s="217" t="str">
        <f t="shared" si="7"/>
        <v>2Q</v>
      </c>
      <c r="C98" s="217">
        <f t="shared" si="11"/>
        <v>5</v>
      </c>
      <c r="D98" s="217" t="str">
        <f t="shared" si="8"/>
        <v>14</v>
      </c>
      <c r="E98">
        <f t="shared" si="9"/>
        <v>2014</v>
      </c>
      <c r="F98" s="217" t="str">
        <f t="shared" si="10"/>
        <v>2Q14</v>
      </c>
      <c r="G98" s="218">
        <v>41773</v>
      </c>
      <c r="H98" s="217">
        <v>2.2025000000000001</v>
      </c>
    </row>
    <row r="99" spans="2:8">
      <c r="B99" s="217" t="str">
        <f t="shared" si="7"/>
        <v>2Q</v>
      </c>
      <c r="C99" s="217">
        <f t="shared" si="11"/>
        <v>5</v>
      </c>
      <c r="D99" s="217" t="str">
        <f t="shared" si="8"/>
        <v>14</v>
      </c>
      <c r="E99">
        <f t="shared" si="9"/>
        <v>2014</v>
      </c>
      <c r="F99" s="217" t="str">
        <f t="shared" si="10"/>
        <v>2Q14</v>
      </c>
      <c r="G99" s="218">
        <v>41774</v>
      </c>
      <c r="H99" s="217">
        <v>2.2202999999999999</v>
      </c>
    </row>
    <row r="100" spans="2:8">
      <c r="B100" s="217" t="str">
        <f t="shared" si="7"/>
        <v>2Q</v>
      </c>
      <c r="C100" s="217">
        <f t="shared" si="11"/>
        <v>5</v>
      </c>
      <c r="D100" s="217" t="str">
        <f t="shared" si="8"/>
        <v>14</v>
      </c>
      <c r="E100">
        <f t="shared" si="9"/>
        <v>2014</v>
      </c>
      <c r="F100" s="217" t="str">
        <f t="shared" si="10"/>
        <v>2Q14</v>
      </c>
      <c r="G100" s="218">
        <v>41775</v>
      </c>
      <c r="H100" s="217">
        <v>2.2145999999999999</v>
      </c>
    </row>
    <row r="101" spans="2:8">
      <c r="B101" s="217" t="str">
        <f t="shared" si="7"/>
        <v>2Q</v>
      </c>
      <c r="C101" s="217">
        <f t="shared" si="11"/>
        <v>5</v>
      </c>
      <c r="D101" s="217" t="str">
        <f t="shared" si="8"/>
        <v>14</v>
      </c>
      <c r="E101">
        <f t="shared" si="9"/>
        <v>2014</v>
      </c>
      <c r="F101" s="217" t="str">
        <f t="shared" si="10"/>
        <v>2Q14</v>
      </c>
      <c r="G101" s="218">
        <v>41778</v>
      </c>
      <c r="H101" s="217">
        <v>2.2058</v>
      </c>
    </row>
    <row r="102" spans="2:8">
      <c r="B102" s="217" t="str">
        <f t="shared" si="7"/>
        <v>2Q</v>
      </c>
      <c r="C102" s="217">
        <f t="shared" si="11"/>
        <v>5</v>
      </c>
      <c r="D102" s="217" t="str">
        <f t="shared" si="8"/>
        <v>14</v>
      </c>
      <c r="E102">
        <f t="shared" si="9"/>
        <v>2014</v>
      </c>
      <c r="F102" s="217" t="str">
        <f t="shared" si="10"/>
        <v>2Q14</v>
      </c>
      <c r="G102" s="218">
        <v>41779</v>
      </c>
      <c r="H102" s="217">
        <v>2.2164999999999999</v>
      </c>
    </row>
    <row r="103" spans="2:8">
      <c r="B103" s="217" t="str">
        <f t="shared" si="7"/>
        <v>2Q</v>
      </c>
      <c r="C103" s="217">
        <f t="shared" si="11"/>
        <v>5</v>
      </c>
      <c r="D103" s="217" t="str">
        <f t="shared" si="8"/>
        <v>14</v>
      </c>
      <c r="E103">
        <f t="shared" si="9"/>
        <v>2014</v>
      </c>
      <c r="F103" s="217" t="str">
        <f t="shared" si="10"/>
        <v>2Q14</v>
      </c>
      <c r="G103" s="218">
        <v>41780</v>
      </c>
      <c r="H103" s="217">
        <v>2.2075</v>
      </c>
    </row>
    <row r="104" spans="2:8">
      <c r="B104" s="217" t="str">
        <f t="shared" si="7"/>
        <v>2Q</v>
      </c>
      <c r="C104" s="217">
        <f t="shared" si="11"/>
        <v>5</v>
      </c>
      <c r="D104" s="217" t="str">
        <f t="shared" si="8"/>
        <v>14</v>
      </c>
      <c r="E104">
        <f t="shared" si="9"/>
        <v>2014</v>
      </c>
      <c r="F104" s="217" t="str">
        <f t="shared" si="10"/>
        <v>2Q14</v>
      </c>
      <c r="G104" s="218">
        <v>41781</v>
      </c>
      <c r="H104" s="217">
        <v>2.2153</v>
      </c>
    </row>
    <row r="105" spans="2:8">
      <c r="B105" s="217" t="str">
        <f t="shared" si="7"/>
        <v>2Q</v>
      </c>
      <c r="C105" s="217">
        <f t="shared" si="11"/>
        <v>5</v>
      </c>
      <c r="D105" s="217" t="str">
        <f t="shared" si="8"/>
        <v>14</v>
      </c>
      <c r="E105">
        <f t="shared" si="9"/>
        <v>2014</v>
      </c>
      <c r="F105" s="217" t="str">
        <f t="shared" si="10"/>
        <v>2Q14</v>
      </c>
      <c r="G105" s="218">
        <v>41782</v>
      </c>
      <c r="H105" s="217">
        <v>2.2235</v>
      </c>
    </row>
    <row r="106" spans="2:8">
      <c r="B106" s="217" t="str">
        <f t="shared" si="7"/>
        <v>2Q</v>
      </c>
      <c r="C106" s="217">
        <f t="shared" si="11"/>
        <v>5</v>
      </c>
      <c r="D106" s="217" t="str">
        <f t="shared" si="8"/>
        <v>14</v>
      </c>
      <c r="E106">
        <f t="shared" si="9"/>
        <v>2014</v>
      </c>
      <c r="F106" s="217" t="str">
        <f t="shared" si="10"/>
        <v>2Q14</v>
      </c>
      <c r="G106" s="218">
        <v>41785</v>
      </c>
      <c r="H106" s="217">
        <v>2.2239</v>
      </c>
    </row>
    <row r="107" spans="2:8">
      <c r="B107" s="217" t="str">
        <f t="shared" si="7"/>
        <v>2Q</v>
      </c>
      <c r="C107" s="217">
        <f t="shared" si="11"/>
        <v>5</v>
      </c>
      <c r="D107" s="217" t="str">
        <f t="shared" si="8"/>
        <v>14</v>
      </c>
      <c r="E107">
        <f t="shared" si="9"/>
        <v>2014</v>
      </c>
      <c r="F107" s="217" t="str">
        <f t="shared" si="10"/>
        <v>2Q14</v>
      </c>
      <c r="G107" s="218">
        <v>41786</v>
      </c>
      <c r="H107" s="217">
        <v>2.2378</v>
      </c>
    </row>
    <row r="108" spans="2:8">
      <c r="B108" s="217" t="str">
        <f t="shared" si="7"/>
        <v>2Q</v>
      </c>
      <c r="C108" s="217">
        <f t="shared" si="11"/>
        <v>5</v>
      </c>
      <c r="D108" s="217" t="str">
        <f t="shared" si="8"/>
        <v>14</v>
      </c>
      <c r="E108">
        <f t="shared" si="9"/>
        <v>2014</v>
      </c>
      <c r="F108" s="217" t="str">
        <f t="shared" si="10"/>
        <v>2Q14</v>
      </c>
      <c r="G108" s="218">
        <v>41787</v>
      </c>
      <c r="H108" s="217">
        <v>2.2324999999999999</v>
      </c>
    </row>
    <row r="109" spans="2:8">
      <c r="B109" s="217" t="str">
        <f t="shared" si="7"/>
        <v>2Q</v>
      </c>
      <c r="C109" s="217">
        <f t="shared" si="11"/>
        <v>5</v>
      </c>
      <c r="D109" s="217" t="str">
        <f t="shared" si="8"/>
        <v>14</v>
      </c>
      <c r="E109">
        <f t="shared" si="9"/>
        <v>2014</v>
      </c>
      <c r="F109" s="217" t="str">
        <f t="shared" si="10"/>
        <v>2Q14</v>
      </c>
      <c r="G109" s="218">
        <v>41788</v>
      </c>
      <c r="H109" s="217">
        <v>2.2252000000000001</v>
      </c>
    </row>
    <row r="110" spans="2:8">
      <c r="B110" s="217" t="str">
        <f t="shared" si="7"/>
        <v>2Q</v>
      </c>
      <c r="C110" s="217">
        <f t="shared" si="11"/>
        <v>5</v>
      </c>
      <c r="D110" s="217" t="str">
        <f t="shared" si="8"/>
        <v>14</v>
      </c>
      <c r="E110">
        <f t="shared" si="9"/>
        <v>2014</v>
      </c>
      <c r="F110" s="217" t="str">
        <f t="shared" si="10"/>
        <v>2Q14</v>
      </c>
      <c r="G110" s="218">
        <v>41789</v>
      </c>
      <c r="H110" s="217">
        <v>2.2408000000000001</v>
      </c>
    </row>
    <row r="111" spans="2:8">
      <c r="B111" s="217" t="str">
        <f t="shared" si="7"/>
        <v>2Q</v>
      </c>
      <c r="C111" s="217">
        <f t="shared" si="11"/>
        <v>6</v>
      </c>
      <c r="D111" s="217" t="str">
        <f t="shared" si="8"/>
        <v>14</v>
      </c>
      <c r="E111">
        <f t="shared" si="9"/>
        <v>2014</v>
      </c>
      <c r="F111" s="217" t="str">
        <f t="shared" si="10"/>
        <v>2Q14</v>
      </c>
      <c r="G111" s="218">
        <v>41792</v>
      </c>
      <c r="H111" s="217">
        <v>2.2768999999999999</v>
      </c>
    </row>
    <row r="112" spans="2:8">
      <c r="B112" s="217" t="str">
        <f t="shared" si="7"/>
        <v>2Q</v>
      </c>
      <c r="C112" s="217">
        <f t="shared" si="11"/>
        <v>6</v>
      </c>
      <c r="D112" s="217" t="str">
        <f t="shared" si="8"/>
        <v>14</v>
      </c>
      <c r="E112">
        <f t="shared" si="9"/>
        <v>2014</v>
      </c>
      <c r="F112" s="217" t="str">
        <f t="shared" si="10"/>
        <v>2Q14</v>
      </c>
      <c r="G112" s="218">
        <v>41793</v>
      </c>
      <c r="H112" s="217">
        <v>2.2805</v>
      </c>
    </row>
    <row r="113" spans="2:8">
      <c r="B113" s="217" t="str">
        <f t="shared" si="7"/>
        <v>2Q</v>
      </c>
      <c r="C113" s="217">
        <f t="shared" si="11"/>
        <v>6</v>
      </c>
      <c r="D113" s="217" t="str">
        <f t="shared" si="8"/>
        <v>14</v>
      </c>
      <c r="E113">
        <f t="shared" si="9"/>
        <v>2014</v>
      </c>
      <c r="F113" s="217" t="str">
        <f t="shared" si="10"/>
        <v>2Q14</v>
      </c>
      <c r="G113" s="218">
        <v>41794</v>
      </c>
      <c r="H113" s="217">
        <v>2.2780999999999998</v>
      </c>
    </row>
    <row r="114" spans="2:8">
      <c r="B114" s="217" t="str">
        <f t="shared" si="7"/>
        <v>2Q</v>
      </c>
      <c r="C114" s="217">
        <f t="shared" si="11"/>
        <v>6</v>
      </c>
      <c r="D114" s="217" t="str">
        <f t="shared" si="8"/>
        <v>14</v>
      </c>
      <c r="E114">
        <f t="shared" si="9"/>
        <v>2014</v>
      </c>
      <c r="F114" s="217" t="str">
        <f t="shared" si="10"/>
        <v>2Q14</v>
      </c>
      <c r="G114" s="218">
        <v>41795</v>
      </c>
      <c r="H114" s="217">
        <v>2.2616999999999998</v>
      </c>
    </row>
    <row r="115" spans="2:8">
      <c r="B115" s="217" t="str">
        <f t="shared" si="7"/>
        <v>2Q</v>
      </c>
      <c r="C115" s="217">
        <f t="shared" si="11"/>
        <v>6</v>
      </c>
      <c r="D115" s="217" t="str">
        <f t="shared" si="8"/>
        <v>14</v>
      </c>
      <c r="E115">
        <f t="shared" si="9"/>
        <v>2014</v>
      </c>
      <c r="F115" s="217" t="str">
        <f t="shared" si="10"/>
        <v>2Q14</v>
      </c>
      <c r="G115" s="218">
        <v>41796</v>
      </c>
      <c r="H115" s="217">
        <v>2.2475000000000001</v>
      </c>
    </row>
    <row r="116" spans="2:8">
      <c r="B116" s="217" t="str">
        <f t="shared" si="7"/>
        <v>2Q</v>
      </c>
      <c r="C116" s="217">
        <f t="shared" si="11"/>
        <v>6</v>
      </c>
      <c r="D116" s="217" t="str">
        <f t="shared" si="8"/>
        <v>14</v>
      </c>
      <c r="E116">
        <f t="shared" si="9"/>
        <v>2014</v>
      </c>
      <c r="F116" s="217" t="str">
        <f t="shared" si="10"/>
        <v>2Q14</v>
      </c>
      <c r="G116" s="218">
        <v>41799</v>
      </c>
      <c r="H116" s="217">
        <v>2.2277</v>
      </c>
    </row>
    <row r="117" spans="2:8">
      <c r="B117" s="217" t="str">
        <f t="shared" si="7"/>
        <v>2Q</v>
      </c>
      <c r="C117" s="217">
        <f t="shared" si="11"/>
        <v>6</v>
      </c>
      <c r="D117" s="217" t="str">
        <f t="shared" si="8"/>
        <v>14</v>
      </c>
      <c r="E117">
        <f t="shared" si="9"/>
        <v>2014</v>
      </c>
      <c r="F117" s="217" t="str">
        <f t="shared" si="10"/>
        <v>2Q14</v>
      </c>
      <c r="G117" s="218">
        <v>41800</v>
      </c>
      <c r="H117" s="217">
        <v>2.2225000000000001</v>
      </c>
    </row>
    <row r="118" spans="2:8">
      <c r="B118" s="217" t="str">
        <f t="shared" si="7"/>
        <v>2Q</v>
      </c>
      <c r="C118" s="217">
        <f t="shared" si="11"/>
        <v>6</v>
      </c>
      <c r="D118" s="217" t="str">
        <f t="shared" si="8"/>
        <v>14</v>
      </c>
      <c r="E118">
        <f t="shared" si="9"/>
        <v>2014</v>
      </c>
      <c r="F118" s="217" t="str">
        <f t="shared" si="10"/>
        <v>2Q14</v>
      </c>
      <c r="G118" s="218">
        <v>41801</v>
      </c>
      <c r="H118" s="217">
        <v>2.2334999999999998</v>
      </c>
    </row>
    <row r="119" spans="2:8">
      <c r="B119" s="217" t="str">
        <f t="shared" si="7"/>
        <v>2Q</v>
      </c>
      <c r="C119" s="217">
        <f t="shared" si="11"/>
        <v>6</v>
      </c>
      <c r="D119" s="217" t="str">
        <f t="shared" si="8"/>
        <v>14</v>
      </c>
      <c r="E119">
        <f t="shared" si="9"/>
        <v>2014</v>
      </c>
      <c r="F119" s="217" t="str">
        <f t="shared" si="10"/>
        <v>2Q14</v>
      </c>
      <c r="G119" s="218">
        <v>41802</v>
      </c>
      <c r="H119" s="217">
        <v>2.23</v>
      </c>
    </row>
    <row r="120" spans="2:8">
      <c r="B120" s="217" t="str">
        <f t="shared" si="7"/>
        <v>2Q</v>
      </c>
      <c r="C120" s="217">
        <f t="shared" si="11"/>
        <v>6</v>
      </c>
      <c r="D120" s="217" t="str">
        <f t="shared" si="8"/>
        <v>14</v>
      </c>
      <c r="E120">
        <f t="shared" si="9"/>
        <v>2014</v>
      </c>
      <c r="F120" s="217" t="str">
        <f t="shared" si="10"/>
        <v>2Q14</v>
      </c>
      <c r="G120" s="218">
        <v>41803</v>
      </c>
      <c r="H120" s="217">
        <v>2.2241</v>
      </c>
    </row>
    <row r="121" spans="2:8">
      <c r="B121" s="217" t="str">
        <f t="shared" si="7"/>
        <v>2Q</v>
      </c>
      <c r="C121" s="217">
        <f t="shared" si="11"/>
        <v>6</v>
      </c>
      <c r="D121" s="217" t="str">
        <f t="shared" si="8"/>
        <v>14</v>
      </c>
      <c r="E121">
        <f t="shared" si="9"/>
        <v>2014</v>
      </c>
      <c r="F121" s="217" t="str">
        <f t="shared" si="10"/>
        <v>2Q14</v>
      </c>
      <c r="G121" s="218">
        <v>41806</v>
      </c>
      <c r="H121" s="217">
        <v>2.2343000000000002</v>
      </c>
    </row>
    <row r="122" spans="2:8">
      <c r="B122" s="217" t="str">
        <f t="shared" si="7"/>
        <v>2Q</v>
      </c>
      <c r="C122" s="217">
        <f t="shared" si="11"/>
        <v>6</v>
      </c>
      <c r="D122" s="217" t="str">
        <f t="shared" si="8"/>
        <v>14</v>
      </c>
      <c r="E122">
        <f t="shared" si="9"/>
        <v>2014</v>
      </c>
      <c r="F122" s="217" t="str">
        <f t="shared" si="10"/>
        <v>2Q14</v>
      </c>
      <c r="G122" s="218">
        <v>41807</v>
      </c>
      <c r="H122" s="217">
        <v>2.2618</v>
      </c>
    </row>
    <row r="123" spans="2:8">
      <c r="B123" s="217" t="str">
        <f t="shared" si="7"/>
        <v>2Q</v>
      </c>
      <c r="C123" s="217">
        <f t="shared" si="11"/>
        <v>6</v>
      </c>
      <c r="D123" s="217" t="str">
        <f t="shared" si="8"/>
        <v>14</v>
      </c>
      <c r="E123">
        <f t="shared" si="9"/>
        <v>2014</v>
      </c>
      <c r="F123" s="217" t="str">
        <f t="shared" si="10"/>
        <v>2Q14</v>
      </c>
      <c r="G123" s="218">
        <v>41808</v>
      </c>
      <c r="H123" s="217">
        <v>2.2280000000000002</v>
      </c>
    </row>
    <row r="124" spans="2:8">
      <c r="B124" s="217" t="str">
        <f t="shared" si="7"/>
        <v>2Q</v>
      </c>
      <c r="C124" s="217">
        <f t="shared" si="11"/>
        <v>6</v>
      </c>
      <c r="D124" s="217" t="str">
        <f t="shared" si="8"/>
        <v>14</v>
      </c>
      <c r="E124">
        <f t="shared" si="9"/>
        <v>2014</v>
      </c>
      <c r="F124" s="217" t="str">
        <f t="shared" si="10"/>
        <v>2Q14</v>
      </c>
      <c r="G124" s="218">
        <v>41809</v>
      </c>
      <c r="H124" s="217">
        <v>2.2225000000000001</v>
      </c>
    </row>
    <row r="125" spans="2:8">
      <c r="B125" s="217" t="str">
        <f t="shared" si="7"/>
        <v>2Q</v>
      </c>
      <c r="C125" s="217">
        <f t="shared" si="11"/>
        <v>6</v>
      </c>
      <c r="D125" s="217" t="str">
        <f t="shared" si="8"/>
        <v>14</v>
      </c>
      <c r="E125">
        <f t="shared" si="9"/>
        <v>2014</v>
      </c>
      <c r="F125" s="217" t="str">
        <f t="shared" si="10"/>
        <v>2Q14</v>
      </c>
      <c r="G125" s="218">
        <v>41810</v>
      </c>
      <c r="H125" s="217">
        <v>2.2294999999999998</v>
      </c>
    </row>
    <row r="126" spans="2:8">
      <c r="B126" s="217" t="str">
        <f t="shared" si="7"/>
        <v>2Q</v>
      </c>
      <c r="C126" s="217">
        <f t="shared" si="11"/>
        <v>6</v>
      </c>
      <c r="D126" s="217" t="str">
        <f t="shared" si="8"/>
        <v>14</v>
      </c>
      <c r="E126">
        <f t="shared" si="9"/>
        <v>2014</v>
      </c>
      <c r="F126" s="217" t="str">
        <f t="shared" si="10"/>
        <v>2Q14</v>
      </c>
      <c r="G126" s="218">
        <v>41813</v>
      </c>
      <c r="H126" s="217">
        <v>2.218</v>
      </c>
    </row>
    <row r="127" spans="2:8">
      <c r="B127" s="217" t="str">
        <f t="shared" si="7"/>
        <v>2Q</v>
      </c>
      <c r="C127" s="217">
        <f t="shared" si="11"/>
        <v>6</v>
      </c>
      <c r="D127" s="217" t="str">
        <f t="shared" si="8"/>
        <v>14</v>
      </c>
      <c r="E127">
        <f t="shared" si="9"/>
        <v>2014</v>
      </c>
      <c r="F127" s="217" t="str">
        <f t="shared" si="10"/>
        <v>2Q14</v>
      </c>
      <c r="G127" s="218">
        <v>41814</v>
      </c>
      <c r="H127" s="217">
        <v>2.2252000000000001</v>
      </c>
    </row>
    <row r="128" spans="2:8">
      <c r="B128" s="217" t="str">
        <f t="shared" si="7"/>
        <v>2Q</v>
      </c>
      <c r="C128" s="217">
        <f t="shared" si="11"/>
        <v>6</v>
      </c>
      <c r="D128" s="217" t="str">
        <f t="shared" si="8"/>
        <v>14</v>
      </c>
      <c r="E128">
        <f t="shared" si="9"/>
        <v>2014</v>
      </c>
      <c r="F128" s="217" t="str">
        <f t="shared" si="10"/>
        <v>2Q14</v>
      </c>
      <c r="G128" s="218">
        <v>41815</v>
      </c>
      <c r="H128" s="217">
        <v>2.2078000000000002</v>
      </c>
    </row>
    <row r="129" spans="2:8">
      <c r="B129" s="217" t="str">
        <f t="shared" si="7"/>
        <v>2Q</v>
      </c>
      <c r="C129" s="217">
        <f t="shared" si="11"/>
        <v>6</v>
      </c>
      <c r="D129" s="217" t="str">
        <f t="shared" si="8"/>
        <v>14</v>
      </c>
      <c r="E129">
        <f t="shared" si="9"/>
        <v>2014</v>
      </c>
      <c r="F129" s="217" t="str">
        <f t="shared" si="10"/>
        <v>2Q14</v>
      </c>
      <c r="G129" s="218">
        <v>41816</v>
      </c>
      <c r="H129" s="217">
        <v>2.1968999999999999</v>
      </c>
    </row>
    <row r="130" spans="2:8">
      <c r="B130" s="217" t="str">
        <f t="shared" si="7"/>
        <v>2Q</v>
      </c>
      <c r="C130" s="217">
        <f t="shared" si="11"/>
        <v>6</v>
      </c>
      <c r="D130" s="217" t="str">
        <f t="shared" si="8"/>
        <v>14</v>
      </c>
      <c r="E130">
        <f t="shared" si="9"/>
        <v>2014</v>
      </c>
      <c r="F130" s="217" t="str">
        <f t="shared" si="10"/>
        <v>2Q14</v>
      </c>
      <c r="G130" s="218">
        <v>41817</v>
      </c>
      <c r="H130" s="217">
        <v>2.194</v>
      </c>
    </row>
    <row r="131" spans="2:8">
      <c r="B131" s="217" t="str">
        <f t="shared" ref="B131:B194" si="12">VLOOKUP(C131,$N$3:$O$14,2,0)</f>
        <v>2Q</v>
      </c>
      <c r="C131" s="217">
        <f t="shared" si="11"/>
        <v>6</v>
      </c>
      <c r="D131" s="217" t="str">
        <f t="shared" ref="D131:D194" si="13">RIGHT(E131,2)</f>
        <v>14</v>
      </c>
      <c r="E131">
        <f t="shared" ref="E131:E194" si="14">YEAR(G131)</f>
        <v>2014</v>
      </c>
      <c r="F131" s="217" t="str">
        <f t="shared" ref="F131:F194" si="15">+B131&amp;D131</f>
        <v>2Q14</v>
      </c>
      <c r="G131" s="218">
        <v>41820</v>
      </c>
      <c r="H131" s="217">
        <v>2.2143000000000002</v>
      </c>
    </row>
    <row r="132" spans="2:8">
      <c r="B132" s="217" t="str">
        <f t="shared" si="12"/>
        <v>3Q</v>
      </c>
      <c r="C132" s="217">
        <f t="shared" ref="C132:C195" si="16">MONTH(G132)</f>
        <v>7</v>
      </c>
      <c r="D132" s="217" t="str">
        <f t="shared" si="13"/>
        <v>14</v>
      </c>
      <c r="E132">
        <f t="shared" si="14"/>
        <v>2014</v>
      </c>
      <c r="F132" s="217" t="str">
        <f t="shared" si="15"/>
        <v>3Q14</v>
      </c>
      <c r="G132" s="218">
        <v>41821</v>
      </c>
      <c r="H132" s="217">
        <v>2.2018</v>
      </c>
    </row>
    <row r="133" spans="2:8">
      <c r="B133" s="217" t="str">
        <f t="shared" si="12"/>
        <v>3Q</v>
      </c>
      <c r="C133" s="217">
        <f t="shared" si="16"/>
        <v>7</v>
      </c>
      <c r="D133" s="217" t="str">
        <f t="shared" si="13"/>
        <v>14</v>
      </c>
      <c r="E133">
        <f t="shared" si="14"/>
        <v>2014</v>
      </c>
      <c r="F133" s="217" t="str">
        <f t="shared" si="15"/>
        <v>3Q14</v>
      </c>
      <c r="G133" s="218">
        <v>41822</v>
      </c>
      <c r="H133" s="217">
        <v>2.2252000000000001</v>
      </c>
    </row>
    <row r="134" spans="2:8">
      <c r="B134" s="217" t="str">
        <f t="shared" si="12"/>
        <v>3Q</v>
      </c>
      <c r="C134" s="217">
        <f t="shared" si="16"/>
        <v>7</v>
      </c>
      <c r="D134" s="217" t="str">
        <f t="shared" si="13"/>
        <v>14</v>
      </c>
      <c r="E134">
        <f t="shared" si="14"/>
        <v>2014</v>
      </c>
      <c r="F134" s="217" t="str">
        <f t="shared" si="15"/>
        <v>3Q14</v>
      </c>
      <c r="G134" s="218">
        <v>41823</v>
      </c>
      <c r="H134" s="217">
        <v>2.2103000000000002</v>
      </c>
    </row>
    <row r="135" spans="2:8">
      <c r="B135" s="217" t="str">
        <f t="shared" si="12"/>
        <v>3Q</v>
      </c>
      <c r="C135" s="217">
        <f t="shared" si="16"/>
        <v>7</v>
      </c>
      <c r="D135" s="217" t="str">
        <f t="shared" si="13"/>
        <v>14</v>
      </c>
      <c r="E135">
        <f t="shared" si="14"/>
        <v>2014</v>
      </c>
      <c r="F135" s="217" t="str">
        <f t="shared" si="15"/>
        <v>3Q14</v>
      </c>
      <c r="G135" s="218">
        <v>41824</v>
      </c>
      <c r="H135" s="217">
        <v>2.2132000000000001</v>
      </c>
    </row>
    <row r="136" spans="2:8">
      <c r="B136" s="217" t="str">
        <f t="shared" si="12"/>
        <v>3Q</v>
      </c>
      <c r="C136" s="217">
        <f t="shared" si="16"/>
        <v>7</v>
      </c>
      <c r="D136" s="217" t="str">
        <f t="shared" si="13"/>
        <v>14</v>
      </c>
      <c r="E136">
        <f t="shared" si="14"/>
        <v>2014</v>
      </c>
      <c r="F136" s="217" t="str">
        <f t="shared" si="15"/>
        <v>3Q14</v>
      </c>
      <c r="G136" s="218">
        <v>41827</v>
      </c>
      <c r="H136" s="217">
        <v>2.2240000000000002</v>
      </c>
    </row>
    <row r="137" spans="2:8">
      <c r="B137" s="217" t="str">
        <f t="shared" si="12"/>
        <v>3Q</v>
      </c>
      <c r="C137" s="217">
        <f t="shared" si="16"/>
        <v>7</v>
      </c>
      <c r="D137" s="217" t="str">
        <f t="shared" si="13"/>
        <v>14</v>
      </c>
      <c r="E137">
        <f t="shared" si="14"/>
        <v>2014</v>
      </c>
      <c r="F137" s="217" t="str">
        <f t="shared" si="15"/>
        <v>3Q14</v>
      </c>
      <c r="G137" s="218">
        <v>41828</v>
      </c>
      <c r="H137" s="217">
        <v>2.2122999999999999</v>
      </c>
    </row>
    <row r="138" spans="2:8">
      <c r="B138" s="217" t="str">
        <f t="shared" si="12"/>
        <v>3Q</v>
      </c>
      <c r="C138" s="217">
        <f t="shared" si="16"/>
        <v>7</v>
      </c>
      <c r="D138" s="217" t="str">
        <f t="shared" si="13"/>
        <v>14</v>
      </c>
      <c r="E138">
        <f t="shared" si="14"/>
        <v>2014</v>
      </c>
      <c r="F138" s="217" t="str">
        <f t="shared" si="15"/>
        <v>3Q14</v>
      </c>
      <c r="G138" s="218">
        <v>41829</v>
      </c>
      <c r="H138" s="217">
        <v>2.2122999999999999</v>
      </c>
    </row>
    <row r="139" spans="2:8">
      <c r="B139" s="217" t="str">
        <f t="shared" si="12"/>
        <v>3Q</v>
      </c>
      <c r="C139" s="217">
        <f t="shared" si="16"/>
        <v>7</v>
      </c>
      <c r="D139" s="217" t="str">
        <f t="shared" si="13"/>
        <v>14</v>
      </c>
      <c r="E139">
        <f t="shared" si="14"/>
        <v>2014</v>
      </c>
      <c r="F139" s="217" t="str">
        <f t="shared" si="15"/>
        <v>3Q14</v>
      </c>
      <c r="G139" s="218">
        <v>41830</v>
      </c>
      <c r="H139" s="217">
        <v>2.2191999999999998</v>
      </c>
    </row>
    <row r="140" spans="2:8">
      <c r="B140" s="217" t="str">
        <f t="shared" si="12"/>
        <v>3Q</v>
      </c>
      <c r="C140" s="217">
        <f t="shared" si="16"/>
        <v>7</v>
      </c>
      <c r="D140" s="217" t="str">
        <f t="shared" si="13"/>
        <v>14</v>
      </c>
      <c r="E140">
        <f t="shared" si="14"/>
        <v>2014</v>
      </c>
      <c r="F140" s="217" t="str">
        <f t="shared" si="15"/>
        <v>3Q14</v>
      </c>
      <c r="G140" s="218">
        <v>41831</v>
      </c>
      <c r="H140" s="217">
        <v>2.2208000000000001</v>
      </c>
    </row>
    <row r="141" spans="2:8">
      <c r="B141" s="217" t="str">
        <f t="shared" si="12"/>
        <v>3Q</v>
      </c>
      <c r="C141" s="217">
        <f t="shared" si="16"/>
        <v>7</v>
      </c>
      <c r="D141" s="217" t="str">
        <f t="shared" si="13"/>
        <v>14</v>
      </c>
      <c r="E141">
        <f t="shared" si="14"/>
        <v>2014</v>
      </c>
      <c r="F141" s="217" t="str">
        <f t="shared" si="15"/>
        <v>3Q14</v>
      </c>
      <c r="G141" s="218">
        <v>41834</v>
      </c>
      <c r="H141" s="217">
        <v>2.2107000000000001</v>
      </c>
    </row>
    <row r="142" spans="2:8">
      <c r="B142" s="217" t="str">
        <f t="shared" si="12"/>
        <v>3Q</v>
      </c>
      <c r="C142" s="217">
        <f t="shared" si="16"/>
        <v>7</v>
      </c>
      <c r="D142" s="217" t="str">
        <f t="shared" si="13"/>
        <v>14</v>
      </c>
      <c r="E142">
        <f t="shared" si="14"/>
        <v>2014</v>
      </c>
      <c r="F142" s="217" t="str">
        <f t="shared" si="15"/>
        <v>3Q14</v>
      </c>
      <c r="G142" s="218">
        <v>41835</v>
      </c>
      <c r="H142" s="217">
        <v>2.2199</v>
      </c>
    </row>
    <row r="143" spans="2:8">
      <c r="B143" s="217" t="str">
        <f t="shared" si="12"/>
        <v>3Q</v>
      </c>
      <c r="C143" s="217">
        <f t="shared" si="16"/>
        <v>7</v>
      </c>
      <c r="D143" s="217" t="str">
        <f t="shared" si="13"/>
        <v>14</v>
      </c>
      <c r="E143">
        <f t="shared" si="14"/>
        <v>2014</v>
      </c>
      <c r="F143" s="217" t="str">
        <f t="shared" si="15"/>
        <v>3Q14</v>
      </c>
      <c r="G143" s="218">
        <v>41836</v>
      </c>
      <c r="H143" s="217">
        <v>2.2238000000000002</v>
      </c>
    </row>
    <row r="144" spans="2:8">
      <c r="B144" s="217" t="str">
        <f t="shared" si="12"/>
        <v>3Q</v>
      </c>
      <c r="C144" s="217">
        <f t="shared" si="16"/>
        <v>7</v>
      </c>
      <c r="D144" s="217" t="str">
        <f t="shared" si="13"/>
        <v>14</v>
      </c>
      <c r="E144">
        <f t="shared" si="14"/>
        <v>2014</v>
      </c>
      <c r="F144" s="217" t="str">
        <f t="shared" si="15"/>
        <v>3Q14</v>
      </c>
      <c r="G144" s="218">
        <v>41837</v>
      </c>
      <c r="H144" s="217">
        <v>2.2582</v>
      </c>
    </row>
    <row r="145" spans="2:8">
      <c r="B145" s="217" t="str">
        <f t="shared" si="12"/>
        <v>3Q</v>
      </c>
      <c r="C145" s="217">
        <f t="shared" si="16"/>
        <v>7</v>
      </c>
      <c r="D145" s="217" t="str">
        <f t="shared" si="13"/>
        <v>14</v>
      </c>
      <c r="E145">
        <f t="shared" si="14"/>
        <v>2014</v>
      </c>
      <c r="F145" s="217" t="str">
        <f t="shared" si="15"/>
        <v>3Q14</v>
      </c>
      <c r="G145" s="218">
        <v>41838</v>
      </c>
      <c r="H145" s="217">
        <v>2.2254999999999998</v>
      </c>
    </row>
    <row r="146" spans="2:8">
      <c r="B146" s="217" t="str">
        <f t="shared" si="12"/>
        <v>3Q</v>
      </c>
      <c r="C146" s="217">
        <f t="shared" si="16"/>
        <v>7</v>
      </c>
      <c r="D146" s="217" t="str">
        <f t="shared" si="13"/>
        <v>14</v>
      </c>
      <c r="E146">
        <f t="shared" si="14"/>
        <v>2014</v>
      </c>
      <c r="F146" s="217" t="str">
        <f t="shared" si="15"/>
        <v>3Q14</v>
      </c>
      <c r="G146" s="218">
        <v>41841</v>
      </c>
      <c r="H146" s="217">
        <v>2.2200000000000002</v>
      </c>
    </row>
    <row r="147" spans="2:8">
      <c r="B147" s="217" t="str">
        <f t="shared" si="12"/>
        <v>3Q</v>
      </c>
      <c r="C147" s="217">
        <f t="shared" si="16"/>
        <v>7</v>
      </c>
      <c r="D147" s="217" t="str">
        <f t="shared" si="13"/>
        <v>14</v>
      </c>
      <c r="E147">
        <f t="shared" si="14"/>
        <v>2014</v>
      </c>
      <c r="F147" s="217" t="str">
        <f t="shared" si="15"/>
        <v>3Q14</v>
      </c>
      <c r="G147" s="218">
        <v>41842</v>
      </c>
      <c r="H147" s="217">
        <v>2.2130000000000001</v>
      </c>
    </row>
    <row r="148" spans="2:8">
      <c r="B148" s="217" t="str">
        <f t="shared" si="12"/>
        <v>3Q</v>
      </c>
      <c r="C148" s="217">
        <f t="shared" si="16"/>
        <v>7</v>
      </c>
      <c r="D148" s="217" t="str">
        <f t="shared" si="13"/>
        <v>14</v>
      </c>
      <c r="E148">
        <f t="shared" si="14"/>
        <v>2014</v>
      </c>
      <c r="F148" s="217" t="str">
        <f t="shared" si="15"/>
        <v>3Q14</v>
      </c>
      <c r="G148" s="218">
        <v>41843</v>
      </c>
      <c r="H148" s="217">
        <v>2.2181999999999999</v>
      </c>
    </row>
    <row r="149" spans="2:8">
      <c r="B149" s="217" t="str">
        <f t="shared" si="12"/>
        <v>3Q</v>
      </c>
      <c r="C149" s="217">
        <f t="shared" si="16"/>
        <v>7</v>
      </c>
      <c r="D149" s="217" t="str">
        <f t="shared" si="13"/>
        <v>14</v>
      </c>
      <c r="E149">
        <f t="shared" si="14"/>
        <v>2014</v>
      </c>
      <c r="F149" s="217" t="str">
        <f t="shared" si="15"/>
        <v>3Q14</v>
      </c>
      <c r="G149" s="218">
        <v>41844</v>
      </c>
      <c r="H149" s="217">
        <v>2.2227999999999999</v>
      </c>
    </row>
    <row r="150" spans="2:8">
      <c r="B150" s="217" t="str">
        <f t="shared" si="12"/>
        <v>3Q</v>
      </c>
      <c r="C150" s="217">
        <f t="shared" si="16"/>
        <v>7</v>
      </c>
      <c r="D150" s="217" t="str">
        <f t="shared" si="13"/>
        <v>14</v>
      </c>
      <c r="E150">
        <f t="shared" si="14"/>
        <v>2014</v>
      </c>
      <c r="F150" s="217" t="str">
        <f t="shared" si="15"/>
        <v>3Q14</v>
      </c>
      <c r="G150" s="218">
        <v>41845</v>
      </c>
      <c r="H150" s="217">
        <v>2.2290000000000001</v>
      </c>
    </row>
    <row r="151" spans="2:8">
      <c r="B151" s="217" t="str">
        <f t="shared" si="12"/>
        <v>3Q</v>
      </c>
      <c r="C151" s="217">
        <f t="shared" si="16"/>
        <v>7</v>
      </c>
      <c r="D151" s="217" t="str">
        <f t="shared" si="13"/>
        <v>14</v>
      </c>
      <c r="E151">
        <f t="shared" si="14"/>
        <v>2014</v>
      </c>
      <c r="F151" s="217" t="str">
        <f t="shared" si="15"/>
        <v>3Q14</v>
      </c>
      <c r="G151" s="218">
        <v>41848</v>
      </c>
      <c r="H151" s="217">
        <v>2.2222</v>
      </c>
    </row>
    <row r="152" spans="2:8">
      <c r="B152" s="217" t="str">
        <f t="shared" si="12"/>
        <v>3Q</v>
      </c>
      <c r="C152" s="217">
        <f t="shared" si="16"/>
        <v>7</v>
      </c>
      <c r="D152" s="217" t="str">
        <f t="shared" si="13"/>
        <v>14</v>
      </c>
      <c r="E152">
        <f t="shared" si="14"/>
        <v>2014</v>
      </c>
      <c r="F152" s="217" t="str">
        <f t="shared" si="15"/>
        <v>3Q14</v>
      </c>
      <c r="G152" s="218">
        <v>41849</v>
      </c>
      <c r="H152" s="217">
        <v>2.2305000000000001</v>
      </c>
    </row>
    <row r="153" spans="2:8">
      <c r="B153" s="217" t="str">
        <f t="shared" si="12"/>
        <v>3Q</v>
      </c>
      <c r="C153" s="217">
        <f t="shared" si="16"/>
        <v>7</v>
      </c>
      <c r="D153" s="217" t="str">
        <f t="shared" si="13"/>
        <v>14</v>
      </c>
      <c r="E153">
        <f t="shared" si="14"/>
        <v>2014</v>
      </c>
      <c r="F153" s="217" t="str">
        <f t="shared" si="15"/>
        <v>3Q14</v>
      </c>
      <c r="G153" s="218">
        <v>41850</v>
      </c>
      <c r="H153" s="217">
        <v>2.2454000000000001</v>
      </c>
    </row>
    <row r="154" spans="2:8">
      <c r="B154" s="217" t="str">
        <f t="shared" si="12"/>
        <v>3Q</v>
      </c>
      <c r="C154" s="217">
        <f t="shared" si="16"/>
        <v>7</v>
      </c>
      <c r="D154" s="217" t="str">
        <f t="shared" si="13"/>
        <v>14</v>
      </c>
      <c r="E154">
        <f t="shared" si="14"/>
        <v>2014</v>
      </c>
      <c r="F154" s="217" t="str">
        <f t="shared" si="15"/>
        <v>3Q14</v>
      </c>
      <c r="G154" s="218">
        <v>41851</v>
      </c>
      <c r="H154" s="217">
        <v>2.2639</v>
      </c>
    </row>
    <row r="155" spans="2:8">
      <c r="B155" s="217" t="str">
        <f t="shared" si="12"/>
        <v>3Q</v>
      </c>
      <c r="C155" s="217">
        <f t="shared" si="16"/>
        <v>8</v>
      </c>
      <c r="D155" s="217" t="str">
        <f t="shared" si="13"/>
        <v>14</v>
      </c>
      <c r="E155">
        <f t="shared" si="14"/>
        <v>2014</v>
      </c>
      <c r="F155" s="217" t="str">
        <f t="shared" si="15"/>
        <v>3Q14</v>
      </c>
      <c r="G155" s="218">
        <v>41852</v>
      </c>
      <c r="H155" s="217">
        <v>2.2574000000000001</v>
      </c>
    </row>
    <row r="156" spans="2:8">
      <c r="B156" s="217" t="str">
        <f t="shared" si="12"/>
        <v>3Q</v>
      </c>
      <c r="C156" s="217">
        <f t="shared" si="16"/>
        <v>8</v>
      </c>
      <c r="D156" s="217" t="str">
        <f t="shared" si="13"/>
        <v>14</v>
      </c>
      <c r="E156">
        <f t="shared" si="14"/>
        <v>2014</v>
      </c>
      <c r="F156" s="217" t="str">
        <f t="shared" si="15"/>
        <v>3Q14</v>
      </c>
      <c r="G156" s="218">
        <v>41855</v>
      </c>
      <c r="H156" s="217">
        <v>2.2584</v>
      </c>
    </row>
    <row r="157" spans="2:8">
      <c r="B157" s="217" t="str">
        <f t="shared" si="12"/>
        <v>3Q</v>
      </c>
      <c r="C157" s="217">
        <f t="shared" si="16"/>
        <v>8</v>
      </c>
      <c r="D157" s="217" t="str">
        <f t="shared" si="13"/>
        <v>14</v>
      </c>
      <c r="E157">
        <f t="shared" si="14"/>
        <v>2014</v>
      </c>
      <c r="F157" s="217" t="str">
        <f t="shared" si="15"/>
        <v>3Q14</v>
      </c>
      <c r="G157" s="218">
        <v>41856</v>
      </c>
      <c r="H157" s="217">
        <v>2.2818000000000001</v>
      </c>
    </row>
    <row r="158" spans="2:8">
      <c r="B158" s="217" t="str">
        <f t="shared" si="12"/>
        <v>3Q</v>
      </c>
      <c r="C158" s="217">
        <f t="shared" si="16"/>
        <v>8</v>
      </c>
      <c r="D158" s="217" t="str">
        <f t="shared" si="13"/>
        <v>14</v>
      </c>
      <c r="E158">
        <f t="shared" si="14"/>
        <v>2014</v>
      </c>
      <c r="F158" s="217" t="str">
        <f t="shared" si="15"/>
        <v>3Q14</v>
      </c>
      <c r="G158" s="218">
        <v>41857</v>
      </c>
      <c r="H158" s="217">
        <v>2.2738</v>
      </c>
    </row>
    <row r="159" spans="2:8">
      <c r="B159" s="217" t="str">
        <f t="shared" si="12"/>
        <v>3Q</v>
      </c>
      <c r="C159" s="217">
        <f t="shared" si="16"/>
        <v>8</v>
      </c>
      <c r="D159" s="217" t="str">
        <f t="shared" si="13"/>
        <v>14</v>
      </c>
      <c r="E159">
        <f t="shared" si="14"/>
        <v>2014</v>
      </c>
      <c r="F159" s="217" t="str">
        <f t="shared" si="15"/>
        <v>3Q14</v>
      </c>
      <c r="G159" s="218">
        <v>41858</v>
      </c>
      <c r="H159" s="217">
        <v>2.2957000000000001</v>
      </c>
    </row>
    <row r="160" spans="2:8">
      <c r="B160" s="217" t="str">
        <f t="shared" si="12"/>
        <v>3Q</v>
      </c>
      <c r="C160" s="217">
        <f t="shared" si="16"/>
        <v>8</v>
      </c>
      <c r="D160" s="217" t="str">
        <f t="shared" si="13"/>
        <v>14</v>
      </c>
      <c r="E160">
        <f t="shared" si="14"/>
        <v>2014</v>
      </c>
      <c r="F160" s="217" t="str">
        <f t="shared" si="15"/>
        <v>3Q14</v>
      </c>
      <c r="G160" s="218">
        <v>41859</v>
      </c>
      <c r="H160" s="217">
        <v>2.2812000000000001</v>
      </c>
    </row>
    <row r="161" spans="2:8">
      <c r="B161" s="217" t="str">
        <f t="shared" si="12"/>
        <v>3Q</v>
      </c>
      <c r="C161" s="217">
        <f t="shared" si="16"/>
        <v>8</v>
      </c>
      <c r="D161" s="217" t="str">
        <f t="shared" si="13"/>
        <v>14</v>
      </c>
      <c r="E161">
        <f t="shared" si="14"/>
        <v>2014</v>
      </c>
      <c r="F161" s="217" t="str">
        <f t="shared" si="15"/>
        <v>3Q14</v>
      </c>
      <c r="G161" s="218">
        <v>41862</v>
      </c>
      <c r="H161" s="217">
        <v>2.2755000000000001</v>
      </c>
    </row>
    <row r="162" spans="2:8">
      <c r="B162" s="217" t="str">
        <f t="shared" si="12"/>
        <v>3Q</v>
      </c>
      <c r="C162" s="217">
        <f t="shared" si="16"/>
        <v>8</v>
      </c>
      <c r="D162" s="217" t="str">
        <f t="shared" si="13"/>
        <v>14</v>
      </c>
      <c r="E162">
        <f t="shared" si="14"/>
        <v>2014</v>
      </c>
      <c r="F162" s="217" t="str">
        <f t="shared" si="15"/>
        <v>3Q14</v>
      </c>
      <c r="G162" s="218">
        <v>41863</v>
      </c>
      <c r="H162" s="217">
        <v>2.2766999999999999</v>
      </c>
    </row>
    <row r="163" spans="2:8">
      <c r="B163" s="217" t="str">
        <f t="shared" si="12"/>
        <v>3Q</v>
      </c>
      <c r="C163" s="217">
        <f t="shared" si="16"/>
        <v>8</v>
      </c>
      <c r="D163" s="217" t="str">
        <f t="shared" si="13"/>
        <v>14</v>
      </c>
      <c r="E163">
        <f t="shared" si="14"/>
        <v>2014</v>
      </c>
      <c r="F163" s="217" t="str">
        <f t="shared" si="15"/>
        <v>3Q14</v>
      </c>
      <c r="G163" s="218">
        <v>41864</v>
      </c>
      <c r="H163" s="217">
        <v>2.2803</v>
      </c>
    </row>
    <row r="164" spans="2:8">
      <c r="B164" s="217" t="str">
        <f t="shared" si="12"/>
        <v>3Q</v>
      </c>
      <c r="C164" s="217">
        <f t="shared" si="16"/>
        <v>8</v>
      </c>
      <c r="D164" s="217" t="str">
        <f t="shared" si="13"/>
        <v>14</v>
      </c>
      <c r="E164">
        <f t="shared" si="14"/>
        <v>2014</v>
      </c>
      <c r="F164" s="217" t="str">
        <f t="shared" si="15"/>
        <v>3Q14</v>
      </c>
      <c r="G164" s="218">
        <v>41865</v>
      </c>
      <c r="H164" s="217">
        <v>2.2665999999999999</v>
      </c>
    </row>
    <row r="165" spans="2:8">
      <c r="B165" s="217" t="str">
        <f t="shared" si="12"/>
        <v>3Q</v>
      </c>
      <c r="C165" s="217">
        <f t="shared" si="16"/>
        <v>8</v>
      </c>
      <c r="D165" s="217" t="str">
        <f t="shared" si="13"/>
        <v>14</v>
      </c>
      <c r="E165">
        <f t="shared" si="14"/>
        <v>2014</v>
      </c>
      <c r="F165" s="217" t="str">
        <f t="shared" si="15"/>
        <v>3Q14</v>
      </c>
      <c r="G165" s="218">
        <v>41866</v>
      </c>
      <c r="H165" s="217">
        <v>2.2597999999999998</v>
      </c>
    </row>
    <row r="166" spans="2:8">
      <c r="B166" s="217" t="str">
        <f t="shared" si="12"/>
        <v>3Q</v>
      </c>
      <c r="C166" s="217">
        <f t="shared" si="16"/>
        <v>8</v>
      </c>
      <c r="D166" s="217" t="str">
        <f t="shared" si="13"/>
        <v>14</v>
      </c>
      <c r="E166">
        <f t="shared" si="14"/>
        <v>2014</v>
      </c>
      <c r="F166" s="217" t="str">
        <f t="shared" si="15"/>
        <v>3Q14</v>
      </c>
      <c r="G166" s="218">
        <v>41869</v>
      </c>
      <c r="H166" s="217">
        <v>2.2576000000000001</v>
      </c>
    </row>
    <row r="167" spans="2:8">
      <c r="B167" s="217" t="str">
        <f t="shared" si="12"/>
        <v>3Q</v>
      </c>
      <c r="C167" s="217">
        <f t="shared" si="16"/>
        <v>8</v>
      </c>
      <c r="D167" s="217" t="str">
        <f t="shared" si="13"/>
        <v>14</v>
      </c>
      <c r="E167">
        <f t="shared" si="14"/>
        <v>2014</v>
      </c>
      <c r="F167" s="217" t="str">
        <f t="shared" si="15"/>
        <v>3Q14</v>
      </c>
      <c r="G167" s="218">
        <v>41870</v>
      </c>
      <c r="H167" s="217">
        <v>2.2467000000000001</v>
      </c>
    </row>
    <row r="168" spans="2:8">
      <c r="B168" s="217" t="str">
        <f t="shared" si="12"/>
        <v>3Q</v>
      </c>
      <c r="C168" s="217">
        <f t="shared" si="16"/>
        <v>8</v>
      </c>
      <c r="D168" s="217" t="str">
        <f t="shared" si="13"/>
        <v>14</v>
      </c>
      <c r="E168">
        <f t="shared" si="14"/>
        <v>2014</v>
      </c>
      <c r="F168" s="217" t="str">
        <f t="shared" si="15"/>
        <v>3Q14</v>
      </c>
      <c r="G168" s="218">
        <v>41871</v>
      </c>
      <c r="H168" s="217">
        <v>2.2623000000000002</v>
      </c>
    </row>
    <row r="169" spans="2:8">
      <c r="B169" s="217" t="str">
        <f t="shared" si="12"/>
        <v>3Q</v>
      </c>
      <c r="C169" s="217">
        <f t="shared" si="16"/>
        <v>8</v>
      </c>
      <c r="D169" s="217" t="str">
        <f t="shared" si="13"/>
        <v>14</v>
      </c>
      <c r="E169">
        <f t="shared" si="14"/>
        <v>2014</v>
      </c>
      <c r="F169" s="217" t="str">
        <f t="shared" si="15"/>
        <v>3Q14</v>
      </c>
      <c r="G169" s="218">
        <v>41872</v>
      </c>
      <c r="H169" s="217">
        <v>2.2686999999999999</v>
      </c>
    </row>
    <row r="170" spans="2:8">
      <c r="B170" s="217" t="str">
        <f t="shared" si="12"/>
        <v>3Q</v>
      </c>
      <c r="C170" s="217">
        <f t="shared" si="16"/>
        <v>8</v>
      </c>
      <c r="D170" s="217" t="str">
        <f t="shared" si="13"/>
        <v>14</v>
      </c>
      <c r="E170">
        <f t="shared" si="14"/>
        <v>2014</v>
      </c>
      <c r="F170" s="217" t="str">
        <f t="shared" si="15"/>
        <v>3Q14</v>
      </c>
      <c r="G170" s="218">
        <v>41873</v>
      </c>
      <c r="H170" s="217">
        <v>2.2778</v>
      </c>
    </row>
    <row r="171" spans="2:8">
      <c r="B171" s="217" t="str">
        <f t="shared" si="12"/>
        <v>3Q</v>
      </c>
      <c r="C171" s="217">
        <f t="shared" si="16"/>
        <v>8</v>
      </c>
      <c r="D171" s="217" t="str">
        <f t="shared" si="13"/>
        <v>14</v>
      </c>
      <c r="E171">
        <f t="shared" si="14"/>
        <v>2014</v>
      </c>
      <c r="F171" s="217" t="str">
        <f t="shared" si="15"/>
        <v>3Q14</v>
      </c>
      <c r="G171" s="218">
        <v>41876</v>
      </c>
      <c r="H171" s="217">
        <v>2.2883</v>
      </c>
    </row>
    <row r="172" spans="2:8">
      <c r="B172" s="217" t="str">
        <f t="shared" si="12"/>
        <v>3Q</v>
      </c>
      <c r="C172" s="217">
        <f t="shared" si="16"/>
        <v>8</v>
      </c>
      <c r="D172" s="217" t="str">
        <f t="shared" si="13"/>
        <v>14</v>
      </c>
      <c r="E172">
        <f t="shared" si="14"/>
        <v>2014</v>
      </c>
      <c r="F172" s="217" t="str">
        <f t="shared" si="15"/>
        <v>3Q14</v>
      </c>
      <c r="G172" s="218">
        <v>41877</v>
      </c>
      <c r="H172" s="217">
        <v>2.2618</v>
      </c>
    </row>
    <row r="173" spans="2:8">
      <c r="B173" s="217" t="str">
        <f t="shared" si="12"/>
        <v>3Q</v>
      </c>
      <c r="C173" s="217">
        <f t="shared" si="16"/>
        <v>8</v>
      </c>
      <c r="D173" s="217" t="str">
        <f t="shared" si="13"/>
        <v>14</v>
      </c>
      <c r="E173">
        <f t="shared" si="14"/>
        <v>2014</v>
      </c>
      <c r="F173" s="217" t="str">
        <f t="shared" si="15"/>
        <v>3Q14</v>
      </c>
      <c r="G173" s="218">
        <v>41878</v>
      </c>
      <c r="H173" s="217">
        <v>2.2471000000000001</v>
      </c>
    </row>
    <row r="174" spans="2:8">
      <c r="B174" s="217" t="str">
        <f t="shared" si="12"/>
        <v>3Q</v>
      </c>
      <c r="C174" s="217">
        <f t="shared" si="16"/>
        <v>8</v>
      </c>
      <c r="D174" s="217" t="str">
        <f t="shared" si="13"/>
        <v>14</v>
      </c>
      <c r="E174">
        <f t="shared" si="14"/>
        <v>2014</v>
      </c>
      <c r="F174" s="217" t="str">
        <f t="shared" si="15"/>
        <v>3Q14</v>
      </c>
      <c r="G174" s="218">
        <v>41879</v>
      </c>
      <c r="H174" s="217">
        <v>2.2414999999999998</v>
      </c>
    </row>
    <row r="175" spans="2:8">
      <c r="B175" s="217" t="str">
        <f t="shared" si="12"/>
        <v>3Q</v>
      </c>
      <c r="C175" s="217">
        <f t="shared" si="16"/>
        <v>8</v>
      </c>
      <c r="D175" s="217" t="str">
        <f t="shared" si="13"/>
        <v>14</v>
      </c>
      <c r="E175">
        <f t="shared" si="14"/>
        <v>2014</v>
      </c>
      <c r="F175" s="217" t="str">
        <f t="shared" si="15"/>
        <v>3Q14</v>
      </c>
      <c r="G175" s="218">
        <v>41880</v>
      </c>
      <c r="H175" s="217">
        <v>2.2360000000000002</v>
      </c>
    </row>
    <row r="176" spans="2:8">
      <c r="B176" s="217" t="str">
        <f t="shared" si="12"/>
        <v>3Q</v>
      </c>
      <c r="C176" s="217">
        <f t="shared" si="16"/>
        <v>9</v>
      </c>
      <c r="D176" s="217" t="str">
        <f t="shared" si="13"/>
        <v>14</v>
      </c>
      <c r="E176">
        <f t="shared" si="14"/>
        <v>2014</v>
      </c>
      <c r="F176" s="217" t="str">
        <f t="shared" si="15"/>
        <v>3Q14</v>
      </c>
      <c r="G176" s="218">
        <v>41883</v>
      </c>
      <c r="H176" s="217">
        <v>2.2458</v>
      </c>
    </row>
    <row r="177" spans="2:8">
      <c r="B177" s="217" t="str">
        <f t="shared" si="12"/>
        <v>3Q</v>
      </c>
      <c r="C177" s="217">
        <f t="shared" si="16"/>
        <v>9</v>
      </c>
      <c r="D177" s="217" t="str">
        <f t="shared" si="13"/>
        <v>14</v>
      </c>
      <c r="E177">
        <f t="shared" si="14"/>
        <v>2014</v>
      </c>
      <c r="F177" s="217" t="str">
        <f t="shared" si="15"/>
        <v>3Q14</v>
      </c>
      <c r="G177" s="218">
        <v>41884</v>
      </c>
      <c r="H177" s="217">
        <v>2.2435</v>
      </c>
    </row>
    <row r="178" spans="2:8">
      <c r="B178" s="217" t="str">
        <f t="shared" si="12"/>
        <v>3Q</v>
      </c>
      <c r="C178" s="217">
        <f t="shared" si="16"/>
        <v>9</v>
      </c>
      <c r="D178" s="217" t="str">
        <f t="shared" si="13"/>
        <v>14</v>
      </c>
      <c r="E178">
        <f t="shared" si="14"/>
        <v>2014</v>
      </c>
      <c r="F178" s="217" t="str">
        <f t="shared" si="15"/>
        <v>3Q14</v>
      </c>
      <c r="G178" s="218">
        <v>41885</v>
      </c>
      <c r="H178" s="217">
        <v>2.2370000000000001</v>
      </c>
    </row>
    <row r="179" spans="2:8">
      <c r="B179" s="217" t="str">
        <f t="shared" si="12"/>
        <v>3Q</v>
      </c>
      <c r="C179" s="217">
        <f t="shared" si="16"/>
        <v>9</v>
      </c>
      <c r="D179" s="217" t="str">
        <f t="shared" si="13"/>
        <v>14</v>
      </c>
      <c r="E179">
        <f t="shared" si="14"/>
        <v>2014</v>
      </c>
      <c r="F179" s="217" t="str">
        <f t="shared" si="15"/>
        <v>3Q14</v>
      </c>
      <c r="G179" s="218">
        <v>41886</v>
      </c>
      <c r="H179" s="217">
        <v>2.2431000000000001</v>
      </c>
    </row>
    <row r="180" spans="2:8">
      <c r="B180" s="217" t="str">
        <f t="shared" si="12"/>
        <v>3Q</v>
      </c>
      <c r="C180" s="217">
        <f t="shared" si="16"/>
        <v>9</v>
      </c>
      <c r="D180" s="217" t="str">
        <f t="shared" si="13"/>
        <v>14</v>
      </c>
      <c r="E180">
        <f t="shared" si="14"/>
        <v>2014</v>
      </c>
      <c r="F180" s="217" t="str">
        <f t="shared" si="15"/>
        <v>3Q14</v>
      </c>
      <c r="G180" s="218">
        <v>41887</v>
      </c>
      <c r="H180" s="217">
        <v>2.2404999999999999</v>
      </c>
    </row>
    <row r="181" spans="2:8">
      <c r="B181" s="217" t="str">
        <f t="shared" si="12"/>
        <v>3Q</v>
      </c>
      <c r="C181" s="217">
        <f t="shared" si="16"/>
        <v>9</v>
      </c>
      <c r="D181" s="217" t="str">
        <f t="shared" si="13"/>
        <v>14</v>
      </c>
      <c r="E181">
        <f t="shared" si="14"/>
        <v>2014</v>
      </c>
      <c r="F181" s="217" t="str">
        <f t="shared" si="15"/>
        <v>3Q14</v>
      </c>
      <c r="G181" s="218">
        <v>41890</v>
      </c>
      <c r="H181" s="217">
        <v>2.2677</v>
      </c>
    </row>
    <row r="182" spans="2:8">
      <c r="B182" s="217" t="str">
        <f t="shared" si="12"/>
        <v>3Q</v>
      </c>
      <c r="C182" s="217">
        <f t="shared" si="16"/>
        <v>9</v>
      </c>
      <c r="D182" s="217" t="str">
        <f t="shared" si="13"/>
        <v>14</v>
      </c>
      <c r="E182">
        <f t="shared" si="14"/>
        <v>2014</v>
      </c>
      <c r="F182" s="217" t="str">
        <f t="shared" si="15"/>
        <v>3Q14</v>
      </c>
      <c r="G182" s="218">
        <v>41891</v>
      </c>
      <c r="H182" s="217">
        <v>2.2867999999999999</v>
      </c>
    </row>
    <row r="183" spans="2:8">
      <c r="B183" s="217" t="str">
        <f t="shared" si="12"/>
        <v>3Q</v>
      </c>
      <c r="C183" s="217">
        <f t="shared" si="16"/>
        <v>9</v>
      </c>
      <c r="D183" s="217" t="str">
        <f t="shared" si="13"/>
        <v>14</v>
      </c>
      <c r="E183">
        <f t="shared" si="14"/>
        <v>2014</v>
      </c>
      <c r="F183" s="217" t="str">
        <f t="shared" si="15"/>
        <v>3Q14</v>
      </c>
      <c r="G183" s="218">
        <v>41892</v>
      </c>
      <c r="H183" s="217">
        <v>2.2885</v>
      </c>
    </row>
    <row r="184" spans="2:8">
      <c r="B184" s="217" t="str">
        <f t="shared" si="12"/>
        <v>3Q</v>
      </c>
      <c r="C184" s="217">
        <f t="shared" si="16"/>
        <v>9</v>
      </c>
      <c r="D184" s="217" t="str">
        <f t="shared" si="13"/>
        <v>14</v>
      </c>
      <c r="E184">
        <f t="shared" si="14"/>
        <v>2014</v>
      </c>
      <c r="F184" s="217" t="str">
        <f t="shared" si="15"/>
        <v>3Q14</v>
      </c>
      <c r="G184" s="218">
        <v>41893</v>
      </c>
      <c r="H184" s="217">
        <v>2.298</v>
      </c>
    </row>
    <row r="185" spans="2:8">
      <c r="B185" s="217" t="str">
        <f t="shared" si="12"/>
        <v>3Q</v>
      </c>
      <c r="C185" s="217">
        <f t="shared" si="16"/>
        <v>9</v>
      </c>
      <c r="D185" s="217" t="str">
        <f t="shared" si="13"/>
        <v>14</v>
      </c>
      <c r="E185">
        <f t="shared" si="14"/>
        <v>2014</v>
      </c>
      <c r="F185" s="217" t="str">
        <f t="shared" si="15"/>
        <v>3Q14</v>
      </c>
      <c r="G185" s="218">
        <v>41894</v>
      </c>
      <c r="H185" s="217">
        <v>2.3391999999999999</v>
      </c>
    </row>
    <row r="186" spans="2:8">
      <c r="B186" s="217" t="str">
        <f t="shared" si="12"/>
        <v>3Q</v>
      </c>
      <c r="C186" s="217">
        <f t="shared" si="16"/>
        <v>9</v>
      </c>
      <c r="D186" s="217" t="str">
        <f t="shared" si="13"/>
        <v>14</v>
      </c>
      <c r="E186">
        <f t="shared" si="14"/>
        <v>2014</v>
      </c>
      <c r="F186" s="217" t="str">
        <f t="shared" si="15"/>
        <v>3Q14</v>
      </c>
      <c r="G186" s="218">
        <v>41897</v>
      </c>
      <c r="H186" s="217">
        <v>2.3426999999999998</v>
      </c>
    </row>
    <row r="187" spans="2:8">
      <c r="B187" s="217" t="str">
        <f t="shared" si="12"/>
        <v>3Q</v>
      </c>
      <c r="C187" s="217">
        <f t="shared" si="16"/>
        <v>9</v>
      </c>
      <c r="D187" s="217" t="str">
        <f t="shared" si="13"/>
        <v>14</v>
      </c>
      <c r="E187">
        <f t="shared" si="14"/>
        <v>2014</v>
      </c>
      <c r="F187" s="217" t="str">
        <f t="shared" si="15"/>
        <v>3Q14</v>
      </c>
      <c r="G187" s="218">
        <v>41898</v>
      </c>
      <c r="H187" s="217">
        <v>2.3325</v>
      </c>
    </row>
    <row r="188" spans="2:8">
      <c r="B188" s="217" t="str">
        <f t="shared" si="12"/>
        <v>3Q</v>
      </c>
      <c r="C188" s="217">
        <f t="shared" si="16"/>
        <v>9</v>
      </c>
      <c r="D188" s="217" t="str">
        <f t="shared" si="13"/>
        <v>14</v>
      </c>
      <c r="E188">
        <f t="shared" si="14"/>
        <v>2014</v>
      </c>
      <c r="F188" s="217" t="str">
        <f t="shared" si="15"/>
        <v>3Q14</v>
      </c>
      <c r="G188" s="218">
        <v>41899</v>
      </c>
      <c r="H188" s="217">
        <v>2.3582999999999998</v>
      </c>
    </row>
    <row r="189" spans="2:8">
      <c r="B189" s="217" t="str">
        <f t="shared" si="12"/>
        <v>3Q</v>
      </c>
      <c r="C189" s="217">
        <f t="shared" si="16"/>
        <v>9</v>
      </c>
      <c r="D189" s="217" t="str">
        <f t="shared" si="13"/>
        <v>14</v>
      </c>
      <c r="E189">
        <f t="shared" si="14"/>
        <v>2014</v>
      </c>
      <c r="F189" s="217" t="str">
        <f t="shared" si="15"/>
        <v>3Q14</v>
      </c>
      <c r="G189" s="218">
        <v>41900</v>
      </c>
      <c r="H189" s="217">
        <v>2.3645999999999998</v>
      </c>
    </row>
    <row r="190" spans="2:8">
      <c r="B190" s="217" t="str">
        <f t="shared" si="12"/>
        <v>3Q</v>
      </c>
      <c r="C190" s="217">
        <f t="shared" si="16"/>
        <v>9</v>
      </c>
      <c r="D190" s="217" t="str">
        <f t="shared" si="13"/>
        <v>14</v>
      </c>
      <c r="E190">
        <f t="shared" si="14"/>
        <v>2014</v>
      </c>
      <c r="F190" s="217" t="str">
        <f t="shared" si="15"/>
        <v>3Q14</v>
      </c>
      <c r="G190" s="218">
        <v>41901</v>
      </c>
      <c r="H190" s="217">
        <v>2.3681999999999999</v>
      </c>
    </row>
    <row r="191" spans="2:8">
      <c r="B191" s="217" t="str">
        <f t="shared" si="12"/>
        <v>3Q</v>
      </c>
      <c r="C191" s="217">
        <f t="shared" si="16"/>
        <v>9</v>
      </c>
      <c r="D191" s="217" t="str">
        <f t="shared" si="13"/>
        <v>14</v>
      </c>
      <c r="E191">
        <f t="shared" si="14"/>
        <v>2014</v>
      </c>
      <c r="F191" s="217" t="str">
        <f t="shared" si="15"/>
        <v>3Q14</v>
      </c>
      <c r="G191" s="218">
        <v>41904</v>
      </c>
      <c r="H191" s="217">
        <v>2.3984000000000001</v>
      </c>
    </row>
    <row r="192" spans="2:8">
      <c r="B192" s="217" t="str">
        <f t="shared" si="12"/>
        <v>3Q</v>
      </c>
      <c r="C192" s="217">
        <f t="shared" si="16"/>
        <v>9</v>
      </c>
      <c r="D192" s="217" t="str">
        <f t="shared" si="13"/>
        <v>14</v>
      </c>
      <c r="E192">
        <f t="shared" si="14"/>
        <v>2014</v>
      </c>
      <c r="F192" s="217" t="str">
        <f t="shared" si="15"/>
        <v>3Q14</v>
      </c>
      <c r="G192" s="218">
        <v>41905</v>
      </c>
      <c r="H192" s="217">
        <v>2.4117999999999999</v>
      </c>
    </row>
    <row r="193" spans="2:8">
      <c r="B193" s="217" t="str">
        <f t="shared" si="12"/>
        <v>3Q</v>
      </c>
      <c r="C193" s="217">
        <f t="shared" si="16"/>
        <v>9</v>
      </c>
      <c r="D193" s="217" t="str">
        <f t="shared" si="13"/>
        <v>14</v>
      </c>
      <c r="E193">
        <f t="shared" si="14"/>
        <v>2014</v>
      </c>
      <c r="F193" s="217" t="str">
        <f t="shared" si="15"/>
        <v>3Q14</v>
      </c>
      <c r="G193" s="218">
        <v>41906</v>
      </c>
      <c r="H193" s="217">
        <v>2.3835999999999999</v>
      </c>
    </row>
    <row r="194" spans="2:8">
      <c r="B194" s="217" t="str">
        <f t="shared" si="12"/>
        <v>3Q</v>
      </c>
      <c r="C194" s="217">
        <f t="shared" si="16"/>
        <v>9</v>
      </c>
      <c r="D194" s="217" t="str">
        <f t="shared" si="13"/>
        <v>14</v>
      </c>
      <c r="E194">
        <f t="shared" si="14"/>
        <v>2014</v>
      </c>
      <c r="F194" s="217" t="str">
        <f t="shared" si="15"/>
        <v>3Q14</v>
      </c>
      <c r="G194" s="218">
        <v>41907</v>
      </c>
      <c r="H194" s="217">
        <v>2.4283000000000001</v>
      </c>
    </row>
    <row r="195" spans="2:8">
      <c r="B195" s="217" t="str">
        <f t="shared" ref="B195:B258" si="17">VLOOKUP(C195,$N$3:$O$14,2,0)</f>
        <v>3Q</v>
      </c>
      <c r="C195" s="217">
        <f t="shared" si="16"/>
        <v>9</v>
      </c>
      <c r="D195" s="217" t="str">
        <f t="shared" ref="D195:D258" si="18">RIGHT(E195,2)</f>
        <v>14</v>
      </c>
      <c r="E195">
        <f t="shared" ref="E195:E258" si="19">YEAR(G195)</f>
        <v>2014</v>
      </c>
      <c r="F195" s="217" t="str">
        <f t="shared" ref="F195:F258" si="20">+B195&amp;D195</f>
        <v>3Q14</v>
      </c>
      <c r="G195" s="218">
        <v>41908</v>
      </c>
      <c r="H195" s="217">
        <v>2.42</v>
      </c>
    </row>
    <row r="196" spans="2:8">
      <c r="B196" s="217" t="str">
        <f t="shared" si="17"/>
        <v>3Q</v>
      </c>
      <c r="C196" s="217">
        <f t="shared" ref="C196:C259" si="21">MONTH(G196)</f>
        <v>9</v>
      </c>
      <c r="D196" s="217" t="str">
        <f t="shared" si="18"/>
        <v>14</v>
      </c>
      <c r="E196">
        <f t="shared" si="19"/>
        <v>2014</v>
      </c>
      <c r="F196" s="217" t="str">
        <f t="shared" si="20"/>
        <v>3Q14</v>
      </c>
      <c r="G196" s="218">
        <v>41911</v>
      </c>
      <c r="H196" s="217">
        <v>2.4470000000000001</v>
      </c>
    </row>
    <row r="197" spans="2:8">
      <c r="B197" s="217" t="str">
        <f t="shared" si="17"/>
        <v>3Q</v>
      </c>
      <c r="C197" s="217">
        <f t="shared" si="21"/>
        <v>9</v>
      </c>
      <c r="D197" s="217" t="str">
        <f t="shared" si="18"/>
        <v>14</v>
      </c>
      <c r="E197">
        <f t="shared" si="19"/>
        <v>2014</v>
      </c>
      <c r="F197" s="217" t="str">
        <f t="shared" si="20"/>
        <v>3Q14</v>
      </c>
      <c r="G197" s="218">
        <v>41912</v>
      </c>
      <c r="H197" s="217">
        <v>2.4462000000000002</v>
      </c>
    </row>
    <row r="198" spans="2:8">
      <c r="B198" s="217" t="str">
        <f t="shared" si="17"/>
        <v>4Q</v>
      </c>
      <c r="C198" s="217">
        <f t="shared" si="21"/>
        <v>10</v>
      </c>
      <c r="D198" s="217" t="str">
        <f t="shared" si="18"/>
        <v>14</v>
      </c>
      <c r="E198">
        <f t="shared" si="19"/>
        <v>2014</v>
      </c>
      <c r="F198" s="217" t="str">
        <f t="shared" si="20"/>
        <v>4Q14</v>
      </c>
      <c r="G198" s="218">
        <v>41913</v>
      </c>
      <c r="H198" s="217">
        <v>2.4815</v>
      </c>
    </row>
    <row r="199" spans="2:8">
      <c r="B199" s="217" t="str">
        <f t="shared" si="17"/>
        <v>4Q</v>
      </c>
      <c r="C199" s="217">
        <f t="shared" si="21"/>
        <v>10</v>
      </c>
      <c r="D199" s="217" t="str">
        <f t="shared" si="18"/>
        <v>14</v>
      </c>
      <c r="E199">
        <f t="shared" si="19"/>
        <v>2014</v>
      </c>
      <c r="F199" s="217" t="str">
        <f t="shared" si="20"/>
        <v>4Q14</v>
      </c>
      <c r="G199" s="218">
        <v>41914</v>
      </c>
      <c r="H199" s="217">
        <v>2.4952000000000001</v>
      </c>
    </row>
    <row r="200" spans="2:8">
      <c r="B200" s="217" t="str">
        <f t="shared" si="17"/>
        <v>4Q</v>
      </c>
      <c r="C200" s="217">
        <f t="shared" si="21"/>
        <v>10</v>
      </c>
      <c r="D200" s="217" t="str">
        <f t="shared" si="18"/>
        <v>14</v>
      </c>
      <c r="E200">
        <f t="shared" si="19"/>
        <v>2014</v>
      </c>
      <c r="F200" s="217" t="str">
        <f t="shared" si="20"/>
        <v>4Q14</v>
      </c>
      <c r="G200" s="218">
        <v>41915</v>
      </c>
      <c r="H200" s="217">
        <v>2.4588000000000001</v>
      </c>
    </row>
    <row r="201" spans="2:8">
      <c r="B201" s="217" t="str">
        <f t="shared" si="17"/>
        <v>4Q</v>
      </c>
      <c r="C201" s="217">
        <f t="shared" si="21"/>
        <v>10</v>
      </c>
      <c r="D201" s="217" t="str">
        <f t="shared" si="18"/>
        <v>14</v>
      </c>
      <c r="E201">
        <f t="shared" si="19"/>
        <v>2014</v>
      </c>
      <c r="F201" s="217" t="str">
        <f t="shared" si="20"/>
        <v>4Q14</v>
      </c>
      <c r="G201" s="218">
        <v>41918</v>
      </c>
      <c r="H201" s="217">
        <v>2.4238</v>
      </c>
    </row>
    <row r="202" spans="2:8">
      <c r="B202" s="217" t="str">
        <f t="shared" si="17"/>
        <v>4Q</v>
      </c>
      <c r="C202" s="217">
        <f t="shared" si="21"/>
        <v>10</v>
      </c>
      <c r="D202" s="217" t="str">
        <f t="shared" si="18"/>
        <v>14</v>
      </c>
      <c r="E202">
        <f t="shared" si="19"/>
        <v>2014</v>
      </c>
      <c r="F202" s="217" t="str">
        <f t="shared" si="20"/>
        <v>4Q14</v>
      </c>
      <c r="G202" s="218">
        <v>41919</v>
      </c>
      <c r="H202" s="217">
        <v>2.3961000000000001</v>
      </c>
    </row>
    <row r="203" spans="2:8">
      <c r="B203" s="217" t="str">
        <f t="shared" si="17"/>
        <v>4Q</v>
      </c>
      <c r="C203" s="217">
        <f t="shared" si="21"/>
        <v>10</v>
      </c>
      <c r="D203" s="217" t="str">
        <f t="shared" si="18"/>
        <v>14</v>
      </c>
      <c r="E203">
        <f t="shared" si="19"/>
        <v>2014</v>
      </c>
      <c r="F203" s="217" t="str">
        <f t="shared" si="20"/>
        <v>4Q14</v>
      </c>
      <c r="G203" s="218">
        <v>41920</v>
      </c>
      <c r="H203" s="217">
        <v>2.3769</v>
      </c>
    </row>
    <row r="204" spans="2:8">
      <c r="B204" s="217" t="str">
        <f t="shared" si="17"/>
        <v>4Q</v>
      </c>
      <c r="C204" s="217">
        <f t="shared" si="21"/>
        <v>10</v>
      </c>
      <c r="D204" s="217" t="str">
        <f t="shared" si="18"/>
        <v>14</v>
      </c>
      <c r="E204">
        <f t="shared" si="19"/>
        <v>2014</v>
      </c>
      <c r="F204" s="217" t="str">
        <f t="shared" si="20"/>
        <v>4Q14</v>
      </c>
      <c r="G204" s="218">
        <v>41921</v>
      </c>
      <c r="H204" s="217">
        <v>2.3982000000000001</v>
      </c>
    </row>
    <row r="205" spans="2:8">
      <c r="B205" s="217" t="str">
        <f t="shared" si="17"/>
        <v>4Q</v>
      </c>
      <c r="C205" s="217">
        <f t="shared" si="21"/>
        <v>10</v>
      </c>
      <c r="D205" s="217" t="str">
        <f t="shared" si="18"/>
        <v>14</v>
      </c>
      <c r="E205">
        <f t="shared" si="19"/>
        <v>2014</v>
      </c>
      <c r="F205" s="217" t="str">
        <f t="shared" si="20"/>
        <v>4Q14</v>
      </c>
      <c r="G205" s="218">
        <v>41922</v>
      </c>
      <c r="H205" s="217">
        <v>2.4295</v>
      </c>
    </row>
    <row r="206" spans="2:8">
      <c r="B206" s="217" t="str">
        <f t="shared" si="17"/>
        <v>4Q</v>
      </c>
      <c r="C206" s="217">
        <f t="shared" si="21"/>
        <v>10</v>
      </c>
      <c r="D206" s="217" t="str">
        <f t="shared" si="18"/>
        <v>14</v>
      </c>
      <c r="E206">
        <f t="shared" si="19"/>
        <v>2014</v>
      </c>
      <c r="F206" s="217" t="str">
        <f t="shared" si="20"/>
        <v>4Q14</v>
      </c>
      <c r="G206" s="218">
        <v>41925</v>
      </c>
      <c r="H206" s="217">
        <v>2.3942000000000001</v>
      </c>
    </row>
    <row r="207" spans="2:8">
      <c r="B207" s="217" t="str">
        <f t="shared" si="17"/>
        <v>4Q</v>
      </c>
      <c r="C207" s="217">
        <f t="shared" si="21"/>
        <v>10</v>
      </c>
      <c r="D207" s="217" t="str">
        <f t="shared" si="18"/>
        <v>14</v>
      </c>
      <c r="E207">
        <f t="shared" si="19"/>
        <v>2014</v>
      </c>
      <c r="F207" s="217" t="str">
        <f t="shared" si="20"/>
        <v>4Q14</v>
      </c>
      <c r="G207" s="218">
        <v>41926</v>
      </c>
      <c r="H207" s="217">
        <v>2.4001999999999999</v>
      </c>
    </row>
    <row r="208" spans="2:8">
      <c r="B208" s="217" t="str">
        <f t="shared" si="17"/>
        <v>4Q</v>
      </c>
      <c r="C208" s="217">
        <f t="shared" si="21"/>
        <v>10</v>
      </c>
      <c r="D208" s="217" t="str">
        <f t="shared" si="18"/>
        <v>14</v>
      </c>
      <c r="E208">
        <f t="shared" si="19"/>
        <v>2014</v>
      </c>
      <c r="F208" s="217" t="str">
        <f t="shared" si="20"/>
        <v>4Q14</v>
      </c>
      <c r="G208" s="218">
        <v>41927</v>
      </c>
      <c r="H208" s="217">
        <v>2.4582999999999999</v>
      </c>
    </row>
    <row r="209" spans="2:8">
      <c r="B209" s="217" t="str">
        <f t="shared" si="17"/>
        <v>4Q</v>
      </c>
      <c r="C209" s="217">
        <f t="shared" si="21"/>
        <v>10</v>
      </c>
      <c r="D209" s="217" t="str">
        <f t="shared" si="18"/>
        <v>14</v>
      </c>
      <c r="E209">
        <f t="shared" si="19"/>
        <v>2014</v>
      </c>
      <c r="F209" s="217" t="str">
        <f t="shared" si="20"/>
        <v>4Q14</v>
      </c>
      <c r="G209" s="218">
        <v>41928</v>
      </c>
      <c r="H209" s="217">
        <v>2.4727999999999999</v>
      </c>
    </row>
    <row r="210" spans="2:8">
      <c r="B210" s="217" t="str">
        <f t="shared" si="17"/>
        <v>4Q</v>
      </c>
      <c r="C210" s="217">
        <f t="shared" si="21"/>
        <v>10</v>
      </c>
      <c r="D210" s="217" t="str">
        <f t="shared" si="18"/>
        <v>14</v>
      </c>
      <c r="E210">
        <f t="shared" si="19"/>
        <v>2014</v>
      </c>
      <c r="F210" s="217" t="str">
        <f t="shared" si="20"/>
        <v>4Q14</v>
      </c>
      <c r="G210" s="218">
        <v>41929</v>
      </c>
      <c r="H210" s="217">
        <v>2.4356</v>
      </c>
    </row>
    <row r="211" spans="2:8">
      <c r="B211" s="217" t="str">
        <f t="shared" si="17"/>
        <v>4Q</v>
      </c>
      <c r="C211" s="217">
        <f t="shared" si="21"/>
        <v>10</v>
      </c>
      <c r="D211" s="217" t="str">
        <f t="shared" si="18"/>
        <v>14</v>
      </c>
      <c r="E211">
        <f t="shared" si="19"/>
        <v>2014</v>
      </c>
      <c r="F211" s="217" t="str">
        <f t="shared" si="20"/>
        <v>4Q14</v>
      </c>
      <c r="G211" s="218">
        <v>41932</v>
      </c>
      <c r="H211" s="217">
        <v>2.4651999999999998</v>
      </c>
    </row>
    <row r="212" spans="2:8">
      <c r="B212" s="217" t="str">
        <f t="shared" si="17"/>
        <v>4Q</v>
      </c>
      <c r="C212" s="217">
        <f t="shared" si="21"/>
        <v>10</v>
      </c>
      <c r="D212" s="217" t="str">
        <f t="shared" si="18"/>
        <v>14</v>
      </c>
      <c r="E212">
        <f t="shared" si="19"/>
        <v>2014</v>
      </c>
      <c r="F212" s="217" t="str">
        <f t="shared" si="20"/>
        <v>4Q14</v>
      </c>
      <c r="G212" s="218">
        <v>41933</v>
      </c>
      <c r="H212" s="217">
        <v>2.4809000000000001</v>
      </c>
    </row>
    <row r="213" spans="2:8">
      <c r="B213" s="217" t="str">
        <f t="shared" si="17"/>
        <v>4Q</v>
      </c>
      <c r="C213" s="217">
        <f t="shared" si="21"/>
        <v>10</v>
      </c>
      <c r="D213" s="217" t="str">
        <f t="shared" si="18"/>
        <v>14</v>
      </c>
      <c r="E213">
        <f t="shared" si="19"/>
        <v>2014</v>
      </c>
      <c r="F213" s="217" t="str">
        <f t="shared" si="20"/>
        <v>4Q14</v>
      </c>
      <c r="G213" s="218">
        <v>41934</v>
      </c>
      <c r="H213" s="217">
        <v>2.4872999999999998</v>
      </c>
    </row>
    <row r="214" spans="2:8">
      <c r="B214" s="217" t="str">
        <f t="shared" si="17"/>
        <v>4Q</v>
      </c>
      <c r="C214" s="217">
        <f t="shared" si="21"/>
        <v>10</v>
      </c>
      <c r="D214" s="217" t="str">
        <f t="shared" si="18"/>
        <v>14</v>
      </c>
      <c r="E214">
        <f t="shared" si="19"/>
        <v>2014</v>
      </c>
      <c r="F214" s="217" t="str">
        <f t="shared" si="20"/>
        <v>4Q14</v>
      </c>
      <c r="G214" s="218">
        <v>41935</v>
      </c>
      <c r="H214" s="217">
        <v>2.4988000000000001</v>
      </c>
    </row>
    <row r="215" spans="2:8">
      <c r="B215" s="217" t="str">
        <f t="shared" si="17"/>
        <v>4Q</v>
      </c>
      <c r="C215" s="217">
        <f t="shared" si="21"/>
        <v>10</v>
      </c>
      <c r="D215" s="217" t="str">
        <f t="shared" si="18"/>
        <v>14</v>
      </c>
      <c r="E215">
        <f t="shared" si="19"/>
        <v>2014</v>
      </c>
      <c r="F215" s="217" t="str">
        <f t="shared" si="20"/>
        <v>4Q14</v>
      </c>
      <c r="G215" s="218">
        <v>41936</v>
      </c>
      <c r="H215" s="217">
        <v>2.4739</v>
      </c>
    </row>
    <row r="216" spans="2:8">
      <c r="B216" s="217" t="str">
        <f t="shared" si="17"/>
        <v>4Q</v>
      </c>
      <c r="C216" s="217">
        <f t="shared" si="21"/>
        <v>10</v>
      </c>
      <c r="D216" s="217" t="str">
        <f t="shared" si="18"/>
        <v>14</v>
      </c>
      <c r="E216">
        <f t="shared" si="19"/>
        <v>2014</v>
      </c>
      <c r="F216" s="217" t="str">
        <f t="shared" si="20"/>
        <v>4Q14</v>
      </c>
      <c r="G216" s="218">
        <v>41939</v>
      </c>
      <c r="H216" s="217">
        <v>2.5226000000000002</v>
      </c>
    </row>
    <row r="217" spans="2:8">
      <c r="B217" s="217" t="str">
        <f t="shared" si="17"/>
        <v>4Q</v>
      </c>
      <c r="C217" s="217">
        <f t="shared" si="21"/>
        <v>10</v>
      </c>
      <c r="D217" s="217" t="str">
        <f t="shared" si="18"/>
        <v>14</v>
      </c>
      <c r="E217">
        <f t="shared" si="19"/>
        <v>2014</v>
      </c>
      <c r="F217" s="217" t="str">
        <f t="shared" si="20"/>
        <v>4Q14</v>
      </c>
      <c r="G217" s="218">
        <v>41940</v>
      </c>
      <c r="H217" s="217">
        <v>2.4613</v>
      </c>
    </row>
    <row r="218" spans="2:8">
      <c r="B218" s="217" t="str">
        <f t="shared" si="17"/>
        <v>4Q</v>
      </c>
      <c r="C218" s="217">
        <f t="shared" si="21"/>
        <v>10</v>
      </c>
      <c r="D218" s="217" t="str">
        <f t="shared" si="18"/>
        <v>14</v>
      </c>
      <c r="E218">
        <f t="shared" si="19"/>
        <v>2014</v>
      </c>
      <c r="F218" s="217" t="str">
        <f t="shared" si="20"/>
        <v>4Q14</v>
      </c>
      <c r="G218" s="218">
        <v>41941</v>
      </c>
      <c r="H218" s="217">
        <v>2.4611999999999998</v>
      </c>
    </row>
    <row r="219" spans="2:8">
      <c r="B219" s="217" t="str">
        <f t="shared" si="17"/>
        <v>4Q</v>
      </c>
      <c r="C219" s="217">
        <f t="shared" si="21"/>
        <v>10</v>
      </c>
      <c r="D219" s="217" t="str">
        <f t="shared" si="18"/>
        <v>14</v>
      </c>
      <c r="E219">
        <f t="shared" si="19"/>
        <v>2014</v>
      </c>
      <c r="F219" s="217" t="str">
        <f t="shared" si="20"/>
        <v>4Q14</v>
      </c>
      <c r="G219" s="218">
        <v>41942</v>
      </c>
      <c r="H219" s="217">
        <v>2.4036</v>
      </c>
    </row>
    <row r="220" spans="2:8">
      <c r="B220" s="217" t="str">
        <f t="shared" si="17"/>
        <v>4Q</v>
      </c>
      <c r="C220" s="217">
        <f t="shared" si="21"/>
        <v>10</v>
      </c>
      <c r="D220" s="217" t="str">
        <f t="shared" si="18"/>
        <v>14</v>
      </c>
      <c r="E220">
        <f t="shared" si="19"/>
        <v>2014</v>
      </c>
      <c r="F220" s="217" t="str">
        <f t="shared" si="20"/>
        <v>4Q14</v>
      </c>
      <c r="G220" s="218">
        <v>41943</v>
      </c>
      <c r="H220" s="217">
        <v>2.4782999999999999</v>
      </c>
    </row>
    <row r="221" spans="2:8">
      <c r="B221" s="217" t="str">
        <f t="shared" si="17"/>
        <v>4Q</v>
      </c>
      <c r="C221" s="217">
        <f t="shared" si="21"/>
        <v>11</v>
      </c>
      <c r="D221" s="217" t="str">
        <f t="shared" si="18"/>
        <v>14</v>
      </c>
      <c r="E221">
        <f t="shared" si="19"/>
        <v>2014</v>
      </c>
      <c r="F221" s="217" t="str">
        <f t="shared" si="20"/>
        <v>4Q14</v>
      </c>
      <c r="G221" s="218">
        <v>41946</v>
      </c>
      <c r="H221" s="217">
        <v>2.4965999999999999</v>
      </c>
    </row>
    <row r="222" spans="2:8">
      <c r="B222" s="217" t="str">
        <f t="shared" si="17"/>
        <v>4Q</v>
      </c>
      <c r="C222" s="217">
        <f t="shared" si="21"/>
        <v>11</v>
      </c>
      <c r="D222" s="217" t="str">
        <f t="shared" si="18"/>
        <v>14</v>
      </c>
      <c r="E222">
        <f t="shared" si="19"/>
        <v>2014</v>
      </c>
      <c r="F222" s="217" t="str">
        <f t="shared" si="20"/>
        <v>4Q14</v>
      </c>
      <c r="G222" s="218">
        <v>41947</v>
      </c>
      <c r="H222" s="217">
        <v>2.4969999999999999</v>
      </c>
    </row>
    <row r="223" spans="2:8">
      <c r="B223" s="217" t="str">
        <f t="shared" si="17"/>
        <v>4Q</v>
      </c>
      <c r="C223" s="217">
        <f t="shared" si="21"/>
        <v>11</v>
      </c>
      <c r="D223" s="217" t="str">
        <f t="shared" si="18"/>
        <v>14</v>
      </c>
      <c r="E223">
        <f t="shared" si="19"/>
        <v>2014</v>
      </c>
      <c r="F223" s="217" t="str">
        <f t="shared" si="20"/>
        <v>4Q14</v>
      </c>
      <c r="G223" s="218">
        <v>41948</v>
      </c>
      <c r="H223" s="217">
        <v>2.5049000000000001</v>
      </c>
    </row>
    <row r="224" spans="2:8">
      <c r="B224" s="217" t="str">
        <f t="shared" si="17"/>
        <v>4Q</v>
      </c>
      <c r="C224" s="217">
        <f t="shared" si="21"/>
        <v>11</v>
      </c>
      <c r="D224" s="217" t="str">
        <f t="shared" si="18"/>
        <v>14</v>
      </c>
      <c r="E224">
        <f t="shared" si="19"/>
        <v>2014</v>
      </c>
      <c r="F224" s="217" t="str">
        <f t="shared" si="20"/>
        <v>4Q14</v>
      </c>
      <c r="G224" s="218">
        <v>41949</v>
      </c>
      <c r="H224" s="217">
        <v>2.5697000000000001</v>
      </c>
    </row>
    <row r="225" spans="2:8">
      <c r="B225" s="217" t="str">
        <f t="shared" si="17"/>
        <v>4Q</v>
      </c>
      <c r="C225" s="217">
        <f t="shared" si="21"/>
        <v>11</v>
      </c>
      <c r="D225" s="217" t="str">
        <f t="shared" si="18"/>
        <v>14</v>
      </c>
      <c r="E225">
        <f t="shared" si="19"/>
        <v>2014</v>
      </c>
      <c r="F225" s="217" t="str">
        <f t="shared" si="20"/>
        <v>4Q14</v>
      </c>
      <c r="G225" s="218">
        <v>41950</v>
      </c>
      <c r="H225" s="217">
        <v>2.5587</v>
      </c>
    </row>
    <row r="226" spans="2:8">
      <c r="B226" s="217" t="str">
        <f t="shared" si="17"/>
        <v>4Q</v>
      </c>
      <c r="C226" s="217">
        <f t="shared" si="21"/>
        <v>11</v>
      </c>
      <c r="D226" s="217" t="str">
        <f t="shared" si="18"/>
        <v>14</v>
      </c>
      <c r="E226">
        <f t="shared" si="19"/>
        <v>2014</v>
      </c>
      <c r="F226" s="217" t="str">
        <f t="shared" si="20"/>
        <v>4Q14</v>
      </c>
      <c r="G226" s="218">
        <v>41953</v>
      </c>
      <c r="H226" s="217">
        <v>2.5528</v>
      </c>
    </row>
    <row r="227" spans="2:8">
      <c r="B227" s="217" t="str">
        <f t="shared" si="17"/>
        <v>4Q</v>
      </c>
      <c r="C227" s="217">
        <f t="shared" si="21"/>
        <v>11</v>
      </c>
      <c r="D227" s="217" t="str">
        <f t="shared" si="18"/>
        <v>14</v>
      </c>
      <c r="E227">
        <f t="shared" si="19"/>
        <v>2014</v>
      </c>
      <c r="F227" s="217" t="str">
        <f t="shared" si="20"/>
        <v>4Q14</v>
      </c>
      <c r="G227" s="218">
        <v>41954</v>
      </c>
      <c r="H227" s="217">
        <v>2.5575000000000001</v>
      </c>
    </row>
    <row r="228" spans="2:8">
      <c r="B228" s="217" t="str">
        <f t="shared" si="17"/>
        <v>4Q</v>
      </c>
      <c r="C228" s="217">
        <f t="shared" si="21"/>
        <v>11</v>
      </c>
      <c r="D228" s="217" t="str">
        <f t="shared" si="18"/>
        <v>14</v>
      </c>
      <c r="E228">
        <f t="shared" si="19"/>
        <v>2014</v>
      </c>
      <c r="F228" s="217" t="str">
        <f t="shared" si="20"/>
        <v>4Q14</v>
      </c>
      <c r="G228" s="218">
        <v>41955</v>
      </c>
      <c r="H228" s="217">
        <v>2.5665</v>
      </c>
    </row>
    <row r="229" spans="2:8">
      <c r="B229" s="217" t="str">
        <f t="shared" si="17"/>
        <v>4Q</v>
      </c>
      <c r="C229" s="217">
        <f t="shared" si="21"/>
        <v>11</v>
      </c>
      <c r="D229" s="217" t="str">
        <f t="shared" si="18"/>
        <v>14</v>
      </c>
      <c r="E229">
        <f t="shared" si="19"/>
        <v>2014</v>
      </c>
      <c r="F229" s="217" t="str">
        <f t="shared" si="20"/>
        <v>4Q14</v>
      </c>
      <c r="G229" s="218">
        <v>41956</v>
      </c>
      <c r="H229" s="217">
        <v>2.5889000000000002</v>
      </c>
    </row>
    <row r="230" spans="2:8">
      <c r="B230" s="217" t="str">
        <f t="shared" si="17"/>
        <v>4Q</v>
      </c>
      <c r="C230" s="217">
        <f t="shared" si="21"/>
        <v>11</v>
      </c>
      <c r="D230" s="217" t="str">
        <f t="shared" si="18"/>
        <v>14</v>
      </c>
      <c r="E230">
        <f t="shared" si="19"/>
        <v>2014</v>
      </c>
      <c r="F230" s="217" t="str">
        <f t="shared" si="20"/>
        <v>4Q14</v>
      </c>
      <c r="G230" s="218">
        <v>41957</v>
      </c>
      <c r="H230" s="217">
        <v>2.6017999999999999</v>
      </c>
    </row>
    <row r="231" spans="2:8">
      <c r="B231" s="217" t="str">
        <f t="shared" si="17"/>
        <v>4Q</v>
      </c>
      <c r="C231" s="217">
        <f t="shared" si="21"/>
        <v>11</v>
      </c>
      <c r="D231" s="217" t="str">
        <f t="shared" si="18"/>
        <v>14</v>
      </c>
      <c r="E231">
        <f t="shared" si="19"/>
        <v>2014</v>
      </c>
      <c r="F231" s="217" t="str">
        <f t="shared" si="20"/>
        <v>4Q14</v>
      </c>
      <c r="G231" s="218">
        <v>41960</v>
      </c>
      <c r="H231" s="217">
        <v>2.6080999999999999</v>
      </c>
    </row>
    <row r="232" spans="2:8">
      <c r="B232" s="217" t="str">
        <f t="shared" si="17"/>
        <v>4Q</v>
      </c>
      <c r="C232" s="217">
        <f t="shared" si="21"/>
        <v>11</v>
      </c>
      <c r="D232" s="217" t="str">
        <f t="shared" si="18"/>
        <v>14</v>
      </c>
      <c r="E232">
        <f t="shared" si="19"/>
        <v>2014</v>
      </c>
      <c r="F232" s="217" t="str">
        <f t="shared" si="20"/>
        <v>4Q14</v>
      </c>
      <c r="G232" s="218">
        <v>41961</v>
      </c>
      <c r="H232" s="217">
        <v>2.5825</v>
      </c>
    </row>
    <row r="233" spans="2:8">
      <c r="B233" s="217" t="str">
        <f t="shared" si="17"/>
        <v>4Q</v>
      </c>
      <c r="C233" s="217">
        <f t="shared" si="21"/>
        <v>11</v>
      </c>
      <c r="D233" s="217" t="str">
        <f t="shared" si="18"/>
        <v>14</v>
      </c>
      <c r="E233">
        <f t="shared" si="19"/>
        <v>2014</v>
      </c>
      <c r="F233" s="217" t="str">
        <f t="shared" si="20"/>
        <v>4Q14</v>
      </c>
      <c r="G233" s="218">
        <v>41962</v>
      </c>
      <c r="H233" s="217">
        <v>2.5720000000000001</v>
      </c>
    </row>
    <row r="234" spans="2:8">
      <c r="B234" s="217" t="str">
        <f t="shared" si="17"/>
        <v>4Q</v>
      </c>
      <c r="C234" s="217">
        <f t="shared" si="21"/>
        <v>11</v>
      </c>
      <c r="D234" s="217" t="str">
        <f t="shared" si="18"/>
        <v>14</v>
      </c>
      <c r="E234">
        <f t="shared" si="19"/>
        <v>2014</v>
      </c>
      <c r="F234" s="217" t="str">
        <f t="shared" si="20"/>
        <v>4Q14</v>
      </c>
      <c r="G234" s="218">
        <v>41963</v>
      </c>
      <c r="H234" s="217">
        <v>2.5731000000000002</v>
      </c>
    </row>
    <row r="235" spans="2:8">
      <c r="B235" s="217" t="str">
        <f t="shared" si="17"/>
        <v>4Q</v>
      </c>
      <c r="C235" s="217">
        <f t="shared" si="21"/>
        <v>11</v>
      </c>
      <c r="D235" s="217" t="str">
        <f t="shared" si="18"/>
        <v>14</v>
      </c>
      <c r="E235">
        <f t="shared" si="19"/>
        <v>2014</v>
      </c>
      <c r="F235" s="217" t="str">
        <f t="shared" si="20"/>
        <v>4Q14</v>
      </c>
      <c r="G235" s="218">
        <v>41964</v>
      </c>
      <c r="H235" s="217">
        <v>2.5152999999999999</v>
      </c>
    </row>
    <row r="236" spans="2:8">
      <c r="B236" s="217" t="str">
        <f t="shared" si="17"/>
        <v>4Q</v>
      </c>
      <c r="C236" s="217">
        <f t="shared" si="21"/>
        <v>11</v>
      </c>
      <c r="D236" s="217" t="str">
        <f t="shared" si="18"/>
        <v>14</v>
      </c>
      <c r="E236">
        <f t="shared" si="19"/>
        <v>2014</v>
      </c>
      <c r="F236" s="217" t="str">
        <f t="shared" si="20"/>
        <v>4Q14</v>
      </c>
      <c r="G236" s="218">
        <v>41967</v>
      </c>
      <c r="H236" s="217">
        <v>2.5457000000000001</v>
      </c>
    </row>
    <row r="237" spans="2:8">
      <c r="B237" s="217" t="str">
        <f t="shared" si="17"/>
        <v>4Q</v>
      </c>
      <c r="C237" s="217">
        <f t="shared" si="21"/>
        <v>11</v>
      </c>
      <c r="D237" s="217" t="str">
        <f t="shared" si="18"/>
        <v>14</v>
      </c>
      <c r="E237">
        <f t="shared" si="19"/>
        <v>2014</v>
      </c>
      <c r="F237" s="217" t="str">
        <f t="shared" si="20"/>
        <v>4Q14</v>
      </c>
      <c r="G237" s="218">
        <v>41968</v>
      </c>
      <c r="H237" s="217">
        <v>2.5303</v>
      </c>
    </row>
    <row r="238" spans="2:8">
      <c r="B238" s="217" t="str">
        <f t="shared" si="17"/>
        <v>4Q</v>
      </c>
      <c r="C238" s="217">
        <f t="shared" si="21"/>
        <v>11</v>
      </c>
      <c r="D238" s="217" t="str">
        <f t="shared" si="18"/>
        <v>14</v>
      </c>
      <c r="E238">
        <f t="shared" si="19"/>
        <v>2014</v>
      </c>
      <c r="F238" s="217" t="str">
        <f t="shared" si="20"/>
        <v>4Q14</v>
      </c>
      <c r="G238" s="218">
        <v>41969</v>
      </c>
      <c r="H238" s="217">
        <v>2.5011000000000001</v>
      </c>
    </row>
    <row r="239" spans="2:8">
      <c r="B239" s="217" t="str">
        <f t="shared" si="17"/>
        <v>4Q</v>
      </c>
      <c r="C239" s="217">
        <f t="shared" si="21"/>
        <v>11</v>
      </c>
      <c r="D239" s="217" t="str">
        <f t="shared" si="18"/>
        <v>14</v>
      </c>
      <c r="E239">
        <f t="shared" si="19"/>
        <v>2014</v>
      </c>
      <c r="F239" s="217" t="str">
        <f t="shared" si="20"/>
        <v>4Q14</v>
      </c>
      <c r="G239" s="218">
        <v>41970</v>
      </c>
      <c r="H239" s="217">
        <v>2.5304000000000002</v>
      </c>
    </row>
    <row r="240" spans="2:8">
      <c r="B240" s="217" t="str">
        <f t="shared" si="17"/>
        <v>4Q</v>
      </c>
      <c r="C240" s="217">
        <f t="shared" si="21"/>
        <v>11</v>
      </c>
      <c r="D240" s="217" t="str">
        <f t="shared" si="18"/>
        <v>14</v>
      </c>
      <c r="E240">
        <f t="shared" si="19"/>
        <v>2014</v>
      </c>
      <c r="F240" s="217" t="str">
        <f t="shared" si="20"/>
        <v>4Q14</v>
      </c>
      <c r="G240" s="218">
        <v>41971</v>
      </c>
      <c r="H240" s="217">
        <v>2.5659000000000001</v>
      </c>
    </row>
    <row r="241" spans="2:8">
      <c r="B241" s="217" t="str">
        <f t="shared" si="17"/>
        <v>4Q</v>
      </c>
      <c r="C241" s="217">
        <f t="shared" si="21"/>
        <v>12</v>
      </c>
      <c r="D241" s="217" t="str">
        <f t="shared" si="18"/>
        <v>14</v>
      </c>
      <c r="E241">
        <f t="shared" si="19"/>
        <v>2014</v>
      </c>
      <c r="F241" s="217" t="str">
        <f t="shared" si="20"/>
        <v>4Q14</v>
      </c>
      <c r="G241" s="218">
        <v>41974</v>
      </c>
      <c r="H241" s="217">
        <v>2.56</v>
      </c>
    </row>
    <row r="242" spans="2:8">
      <c r="B242" s="217" t="str">
        <f t="shared" si="17"/>
        <v>4Q</v>
      </c>
      <c r="C242" s="217">
        <f t="shared" si="21"/>
        <v>12</v>
      </c>
      <c r="D242" s="217" t="str">
        <f t="shared" si="18"/>
        <v>14</v>
      </c>
      <c r="E242">
        <f t="shared" si="19"/>
        <v>2014</v>
      </c>
      <c r="F242" s="217" t="str">
        <f t="shared" si="20"/>
        <v>4Q14</v>
      </c>
      <c r="G242" s="218">
        <v>41975</v>
      </c>
      <c r="H242" s="217">
        <v>2.5682</v>
      </c>
    </row>
    <row r="243" spans="2:8">
      <c r="B243" s="217" t="str">
        <f t="shared" si="17"/>
        <v>4Q</v>
      </c>
      <c r="C243" s="217">
        <f t="shared" si="21"/>
        <v>12</v>
      </c>
      <c r="D243" s="217" t="str">
        <f t="shared" si="18"/>
        <v>14</v>
      </c>
      <c r="E243">
        <f t="shared" si="19"/>
        <v>2014</v>
      </c>
      <c r="F243" s="217" t="str">
        <f t="shared" si="20"/>
        <v>4Q14</v>
      </c>
      <c r="G243" s="218">
        <v>41976</v>
      </c>
      <c r="H243" s="217">
        <v>2.5525000000000002</v>
      </c>
    </row>
    <row r="244" spans="2:8">
      <c r="B244" s="217" t="str">
        <f t="shared" si="17"/>
        <v>4Q</v>
      </c>
      <c r="C244" s="217">
        <f t="shared" si="21"/>
        <v>12</v>
      </c>
      <c r="D244" s="217" t="str">
        <f t="shared" si="18"/>
        <v>14</v>
      </c>
      <c r="E244">
        <f t="shared" si="19"/>
        <v>2014</v>
      </c>
      <c r="F244" s="217" t="str">
        <f t="shared" si="20"/>
        <v>4Q14</v>
      </c>
      <c r="G244" s="218">
        <v>41977</v>
      </c>
      <c r="H244" s="217">
        <v>2.5914999999999999</v>
      </c>
    </row>
    <row r="245" spans="2:8">
      <c r="B245" s="217" t="str">
        <f t="shared" si="17"/>
        <v>4Q</v>
      </c>
      <c r="C245" s="217">
        <f t="shared" si="21"/>
        <v>12</v>
      </c>
      <c r="D245" s="217" t="str">
        <f t="shared" si="18"/>
        <v>14</v>
      </c>
      <c r="E245">
        <f t="shared" si="19"/>
        <v>2014</v>
      </c>
      <c r="F245" s="217" t="str">
        <f t="shared" si="20"/>
        <v>4Q14</v>
      </c>
      <c r="G245" s="218">
        <v>41978</v>
      </c>
      <c r="H245" s="217">
        <v>2.5895000000000001</v>
      </c>
    </row>
    <row r="246" spans="2:8">
      <c r="B246" s="217" t="str">
        <f t="shared" si="17"/>
        <v>4Q</v>
      </c>
      <c r="C246" s="217">
        <f t="shared" si="21"/>
        <v>12</v>
      </c>
      <c r="D246" s="217" t="str">
        <f t="shared" si="18"/>
        <v>14</v>
      </c>
      <c r="E246">
        <f t="shared" si="19"/>
        <v>2014</v>
      </c>
      <c r="F246" s="217" t="str">
        <f t="shared" si="20"/>
        <v>4Q14</v>
      </c>
      <c r="G246" s="218">
        <v>41981</v>
      </c>
      <c r="H246" s="217">
        <v>2.6004</v>
      </c>
    </row>
    <row r="247" spans="2:8">
      <c r="B247" s="217" t="str">
        <f t="shared" si="17"/>
        <v>4Q</v>
      </c>
      <c r="C247" s="217">
        <f t="shared" si="21"/>
        <v>12</v>
      </c>
      <c r="D247" s="217" t="str">
        <f t="shared" si="18"/>
        <v>14</v>
      </c>
      <c r="E247">
        <f t="shared" si="19"/>
        <v>2014</v>
      </c>
      <c r="F247" s="217" t="str">
        <f t="shared" si="20"/>
        <v>4Q14</v>
      </c>
      <c r="G247" s="218">
        <v>41982</v>
      </c>
      <c r="H247" s="217">
        <v>2.593</v>
      </c>
    </row>
    <row r="248" spans="2:8">
      <c r="B248" s="217" t="str">
        <f t="shared" si="17"/>
        <v>4Q</v>
      </c>
      <c r="C248" s="217">
        <f t="shared" si="21"/>
        <v>12</v>
      </c>
      <c r="D248" s="217" t="str">
        <f t="shared" si="18"/>
        <v>14</v>
      </c>
      <c r="E248">
        <f t="shared" si="19"/>
        <v>2014</v>
      </c>
      <c r="F248" s="217" t="str">
        <f t="shared" si="20"/>
        <v>4Q14</v>
      </c>
      <c r="G248" s="218">
        <v>41983</v>
      </c>
      <c r="H248" s="217">
        <v>2.6162000000000001</v>
      </c>
    </row>
    <row r="249" spans="2:8">
      <c r="B249" s="217" t="str">
        <f t="shared" si="17"/>
        <v>4Q</v>
      </c>
      <c r="C249" s="217">
        <f t="shared" si="21"/>
        <v>12</v>
      </c>
      <c r="D249" s="217" t="str">
        <f t="shared" si="18"/>
        <v>14</v>
      </c>
      <c r="E249">
        <f t="shared" si="19"/>
        <v>2014</v>
      </c>
      <c r="F249" s="217" t="str">
        <f t="shared" si="20"/>
        <v>4Q14</v>
      </c>
      <c r="G249" s="218">
        <v>41984</v>
      </c>
      <c r="H249" s="217">
        <v>2.6497999999999999</v>
      </c>
    </row>
    <row r="250" spans="2:8">
      <c r="B250" s="217" t="str">
        <f t="shared" si="17"/>
        <v>4Q</v>
      </c>
      <c r="C250" s="217">
        <f t="shared" si="21"/>
        <v>12</v>
      </c>
      <c r="D250" s="217" t="str">
        <f t="shared" si="18"/>
        <v>14</v>
      </c>
      <c r="E250">
        <f t="shared" si="19"/>
        <v>2014</v>
      </c>
      <c r="F250" s="217" t="str">
        <f t="shared" si="20"/>
        <v>4Q14</v>
      </c>
      <c r="G250" s="218">
        <v>41985</v>
      </c>
      <c r="H250" s="217">
        <v>2.6545000000000001</v>
      </c>
    </row>
    <row r="251" spans="2:8">
      <c r="B251" s="217" t="str">
        <f t="shared" si="17"/>
        <v>4Q</v>
      </c>
      <c r="C251" s="217">
        <f t="shared" si="21"/>
        <v>12</v>
      </c>
      <c r="D251" s="217" t="str">
        <f t="shared" si="18"/>
        <v>14</v>
      </c>
      <c r="E251">
        <f t="shared" si="19"/>
        <v>2014</v>
      </c>
      <c r="F251" s="217" t="str">
        <f t="shared" si="20"/>
        <v>4Q14</v>
      </c>
      <c r="G251" s="218">
        <v>41988</v>
      </c>
      <c r="H251" s="217">
        <v>2.6955</v>
      </c>
    </row>
    <row r="252" spans="2:8">
      <c r="B252" s="217" t="str">
        <f t="shared" si="17"/>
        <v>4Q</v>
      </c>
      <c r="C252" s="217">
        <f t="shared" si="21"/>
        <v>12</v>
      </c>
      <c r="D252" s="217" t="str">
        <f t="shared" si="18"/>
        <v>14</v>
      </c>
      <c r="E252">
        <f t="shared" si="19"/>
        <v>2014</v>
      </c>
      <c r="F252" s="217" t="str">
        <f t="shared" si="20"/>
        <v>4Q14</v>
      </c>
      <c r="G252" s="218">
        <v>41989</v>
      </c>
      <c r="H252" s="217">
        <v>2.7383999999999999</v>
      </c>
    </row>
    <row r="253" spans="2:8">
      <c r="B253" s="217" t="str">
        <f t="shared" si="17"/>
        <v>4Q</v>
      </c>
      <c r="C253" s="217">
        <f t="shared" si="21"/>
        <v>12</v>
      </c>
      <c r="D253" s="217" t="str">
        <f t="shared" si="18"/>
        <v>14</v>
      </c>
      <c r="E253">
        <f t="shared" si="19"/>
        <v>2014</v>
      </c>
      <c r="F253" s="217" t="str">
        <f t="shared" si="20"/>
        <v>4Q14</v>
      </c>
      <c r="G253" s="218">
        <v>41990</v>
      </c>
      <c r="H253" s="217">
        <v>2.7153999999999998</v>
      </c>
    </row>
    <row r="254" spans="2:8">
      <c r="B254" s="217" t="str">
        <f t="shared" si="17"/>
        <v>4Q</v>
      </c>
      <c r="C254" s="217">
        <f t="shared" si="21"/>
        <v>12</v>
      </c>
      <c r="D254" s="217" t="str">
        <f t="shared" si="18"/>
        <v>14</v>
      </c>
      <c r="E254">
        <f t="shared" si="19"/>
        <v>2014</v>
      </c>
      <c r="F254" s="217" t="str">
        <f t="shared" si="20"/>
        <v>4Q14</v>
      </c>
      <c r="G254" s="218">
        <v>41991</v>
      </c>
      <c r="H254" s="217">
        <v>2.6625000000000001</v>
      </c>
    </row>
    <row r="255" spans="2:8">
      <c r="B255" s="217" t="str">
        <f t="shared" si="17"/>
        <v>4Q</v>
      </c>
      <c r="C255" s="217">
        <f t="shared" si="21"/>
        <v>12</v>
      </c>
      <c r="D255" s="217" t="str">
        <f t="shared" si="18"/>
        <v>14</v>
      </c>
      <c r="E255">
        <f t="shared" si="19"/>
        <v>2014</v>
      </c>
      <c r="F255" s="217" t="str">
        <f t="shared" si="20"/>
        <v>4Q14</v>
      </c>
      <c r="G255" s="218">
        <v>41992</v>
      </c>
      <c r="H255" s="217">
        <v>2.6598000000000002</v>
      </c>
    </row>
    <row r="256" spans="2:8">
      <c r="B256" s="217" t="str">
        <f t="shared" si="17"/>
        <v>4Q</v>
      </c>
      <c r="C256" s="217">
        <f t="shared" si="21"/>
        <v>12</v>
      </c>
      <c r="D256" s="217" t="str">
        <f t="shared" si="18"/>
        <v>14</v>
      </c>
      <c r="E256">
        <f t="shared" si="19"/>
        <v>2014</v>
      </c>
      <c r="F256" s="217" t="str">
        <f t="shared" si="20"/>
        <v>4Q14</v>
      </c>
      <c r="G256" s="218">
        <v>41995</v>
      </c>
      <c r="H256" s="217">
        <v>2.6644999999999999</v>
      </c>
    </row>
    <row r="257" spans="2:8">
      <c r="B257" s="217" t="str">
        <f t="shared" si="17"/>
        <v>4Q</v>
      </c>
      <c r="C257" s="217">
        <f t="shared" si="21"/>
        <v>12</v>
      </c>
      <c r="D257" s="217" t="str">
        <f t="shared" si="18"/>
        <v>14</v>
      </c>
      <c r="E257">
        <f t="shared" si="19"/>
        <v>2014</v>
      </c>
      <c r="F257" s="217" t="str">
        <f t="shared" si="20"/>
        <v>4Q14</v>
      </c>
      <c r="G257" s="218">
        <v>41996</v>
      </c>
      <c r="H257" s="217">
        <v>2.6945999999999999</v>
      </c>
    </row>
    <row r="258" spans="2:8">
      <c r="B258" s="217" t="str">
        <f t="shared" si="17"/>
        <v>4Q</v>
      </c>
      <c r="C258" s="217">
        <f t="shared" si="21"/>
        <v>12</v>
      </c>
      <c r="D258" s="217" t="str">
        <f t="shared" si="18"/>
        <v>14</v>
      </c>
      <c r="E258">
        <f t="shared" si="19"/>
        <v>2014</v>
      </c>
      <c r="F258" s="217" t="str">
        <f t="shared" si="20"/>
        <v>4Q14</v>
      </c>
      <c r="G258" s="218">
        <v>41997</v>
      </c>
      <c r="H258" s="217">
        <v>2.6955</v>
      </c>
    </row>
    <row r="259" spans="2:8">
      <c r="B259" s="217" t="str">
        <f t="shared" ref="B259:B322" si="22">VLOOKUP(C259,$N$3:$O$14,2,0)</f>
        <v>4Q</v>
      </c>
      <c r="C259" s="217">
        <f t="shared" si="21"/>
        <v>12</v>
      </c>
      <c r="D259" s="217" t="str">
        <f t="shared" ref="D259:D322" si="23">RIGHT(E259,2)</f>
        <v>14</v>
      </c>
      <c r="E259">
        <f t="shared" ref="E259:E322" si="24">YEAR(G259)</f>
        <v>2014</v>
      </c>
      <c r="F259" s="217" t="str">
        <f t="shared" ref="F259:F322" si="25">+B259&amp;D259</f>
        <v>4Q14</v>
      </c>
      <c r="G259" s="218">
        <v>41998</v>
      </c>
      <c r="H259" s="217">
        <v>2.6957</v>
      </c>
    </row>
    <row r="260" spans="2:8">
      <c r="B260" s="217" t="str">
        <f t="shared" si="22"/>
        <v>4Q</v>
      </c>
      <c r="C260" s="217">
        <f t="shared" ref="C260:C323" si="26">MONTH(G260)</f>
        <v>12</v>
      </c>
      <c r="D260" s="217" t="str">
        <f t="shared" si="23"/>
        <v>14</v>
      </c>
      <c r="E260">
        <f t="shared" si="24"/>
        <v>2014</v>
      </c>
      <c r="F260" s="217" t="str">
        <f t="shared" si="25"/>
        <v>4Q14</v>
      </c>
      <c r="G260" s="218">
        <v>41999</v>
      </c>
      <c r="H260" s="217">
        <v>2.6684999999999999</v>
      </c>
    </row>
    <row r="261" spans="2:8">
      <c r="B261" s="217" t="str">
        <f t="shared" si="22"/>
        <v>4Q</v>
      </c>
      <c r="C261" s="217">
        <f t="shared" si="26"/>
        <v>12</v>
      </c>
      <c r="D261" s="217" t="str">
        <f t="shared" si="23"/>
        <v>14</v>
      </c>
      <c r="E261">
        <f t="shared" si="24"/>
        <v>2014</v>
      </c>
      <c r="F261" s="217" t="str">
        <f t="shared" si="25"/>
        <v>4Q14</v>
      </c>
      <c r="G261" s="218">
        <v>42002</v>
      </c>
      <c r="H261" s="217">
        <v>2.7027000000000001</v>
      </c>
    </row>
    <row r="262" spans="2:8">
      <c r="B262" s="217" t="str">
        <f t="shared" si="22"/>
        <v>4Q</v>
      </c>
      <c r="C262" s="217">
        <f t="shared" si="26"/>
        <v>12</v>
      </c>
      <c r="D262" s="217" t="str">
        <f t="shared" si="23"/>
        <v>14</v>
      </c>
      <c r="E262">
        <f t="shared" si="24"/>
        <v>2014</v>
      </c>
      <c r="F262" s="217" t="str">
        <f t="shared" si="25"/>
        <v>4Q14</v>
      </c>
      <c r="G262" s="218">
        <v>42003</v>
      </c>
      <c r="H262" s="217">
        <v>2.6575000000000002</v>
      </c>
    </row>
    <row r="263" spans="2:8">
      <c r="B263" s="217" t="str">
        <f t="shared" si="22"/>
        <v>4Q</v>
      </c>
      <c r="C263" s="217">
        <f t="shared" si="26"/>
        <v>12</v>
      </c>
      <c r="D263" s="217" t="str">
        <f t="shared" si="23"/>
        <v>14</v>
      </c>
      <c r="E263">
        <f t="shared" si="24"/>
        <v>2014</v>
      </c>
      <c r="F263" s="217" t="str">
        <f t="shared" si="25"/>
        <v>4Q14</v>
      </c>
      <c r="G263" s="218">
        <v>42004</v>
      </c>
      <c r="H263" s="217">
        <v>2.6575000000000002</v>
      </c>
    </row>
    <row r="264" spans="2:8">
      <c r="B264" s="217" t="str">
        <f t="shared" si="22"/>
        <v>1Q</v>
      </c>
      <c r="C264" s="217">
        <f t="shared" si="26"/>
        <v>1</v>
      </c>
      <c r="D264" s="217" t="str">
        <f t="shared" si="23"/>
        <v>15</v>
      </c>
      <c r="E264">
        <f t="shared" si="24"/>
        <v>2015</v>
      </c>
      <c r="F264" s="217" t="str">
        <f t="shared" si="25"/>
        <v>1Q15</v>
      </c>
      <c r="G264" s="218">
        <v>42005</v>
      </c>
      <c r="H264" s="217">
        <v>2.6575000000000002</v>
      </c>
    </row>
    <row r="265" spans="2:8">
      <c r="B265" s="217" t="str">
        <f t="shared" si="22"/>
        <v>1Q</v>
      </c>
      <c r="C265" s="217">
        <f t="shared" si="26"/>
        <v>1</v>
      </c>
      <c r="D265" s="217" t="str">
        <f t="shared" si="23"/>
        <v>15</v>
      </c>
      <c r="E265">
        <f t="shared" si="24"/>
        <v>2015</v>
      </c>
      <c r="F265" s="217" t="str">
        <f t="shared" si="25"/>
        <v>1Q15</v>
      </c>
      <c r="G265" s="218">
        <v>42006</v>
      </c>
      <c r="H265" s="217">
        <v>2.6941000000000002</v>
      </c>
    </row>
    <row r="266" spans="2:8">
      <c r="B266" s="217" t="str">
        <f t="shared" si="22"/>
        <v>1Q</v>
      </c>
      <c r="C266" s="217">
        <f t="shared" si="26"/>
        <v>1</v>
      </c>
      <c r="D266" s="217" t="str">
        <f t="shared" si="23"/>
        <v>15</v>
      </c>
      <c r="E266">
        <f t="shared" si="24"/>
        <v>2015</v>
      </c>
      <c r="F266" s="217" t="str">
        <f t="shared" si="25"/>
        <v>1Q15</v>
      </c>
      <c r="G266" s="218">
        <v>42009</v>
      </c>
      <c r="H266" s="217">
        <v>2.7063999999999999</v>
      </c>
    </row>
    <row r="267" spans="2:8">
      <c r="B267" s="217" t="str">
        <f t="shared" si="22"/>
        <v>1Q</v>
      </c>
      <c r="C267" s="217">
        <f t="shared" si="26"/>
        <v>1</v>
      </c>
      <c r="D267" s="217" t="str">
        <f t="shared" si="23"/>
        <v>15</v>
      </c>
      <c r="E267">
        <f t="shared" si="24"/>
        <v>2015</v>
      </c>
      <c r="F267" s="217" t="str">
        <f t="shared" si="25"/>
        <v>1Q15</v>
      </c>
      <c r="G267" s="218">
        <v>42010</v>
      </c>
      <c r="H267" s="217">
        <v>2.7000999999999999</v>
      </c>
    </row>
    <row r="268" spans="2:8">
      <c r="B268" s="217" t="str">
        <f t="shared" si="22"/>
        <v>1Q</v>
      </c>
      <c r="C268" s="217">
        <f t="shared" si="26"/>
        <v>1</v>
      </c>
      <c r="D268" s="217" t="str">
        <f t="shared" si="23"/>
        <v>15</v>
      </c>
      <c r="E268">
        <f t="shared" si="24"/>
        <v>2015</v>
      </c>
      <c r="F268" s="217" t="str">
        <f t="shared" si="25"/>
        <v>1Q15</v>
      </c>
      <c r="G268" s="218">
        <v>42011</v>
      </c>
      <c r="H268" s="217">
        <v>2.6835</v>
      </c>
    </row>
    <row r="269" spans="2:8">
      <c r="B269" s="217" t="str">
        <f t="shared" si="22"/>
        <v>1Q</v>
      </c>
      <c r="C269" s="217">
        <f t="shared" si="26"/>
        <v>1</v>
      </c>
      <c r="D269" s="217" t="str">
        <f t="shared" si="23"/>
        <v>15</v>
      </c>
      <c r="E269">
        <f t="shared" si="24"/>
        <v>2015</v>
      </c>
      <c r="F269" s="217" t="str">
        <f t="shared" si="25"/>
        <v>1Q15</v>
      </c>
      <c r="G269" s="218">
        <v>42012</v>
      </c>
      <c r="H269" s="217">
        <v>2.6629999999999998</v>
      </c>
    </row>
    <row r="270" spans="2:8">
      <c r="B270" s="217" t="str">
        <f t="shared" si="22"/>
        <v>1Q</v>
      </c>
      <c r="C270" s="217">
        <f t="shared" si="26"/>
        <v>1</v>
      </c>
      <c r="D270" s="217" t="str">
        <f t="shared" si="23"/>
        <v>15</v>
      </c>
      <c r="E270">
        <f t="shared" si="24"/>
        <v>2015</v>
      </c>
      <c r="F270" s="217" t="str">
        <f t="shared" si="25"/>
        <v>1Q15</v>
      </c>
      <c r="G270" s="218">
        <v>42013</v>
      </c>
      <c r="H270" s="217">
        <v>2.6301000000000001</v>
      </c>
    </row>
    <row r="271" spans="2:8">
      <c r="B271" s="217" t="str">
        <f t="shared" si="22"/>
        <v>1Q</v>
      </c>
      <c r="C271" s="217">
        <f t="shared" si="26"/>
        <v>1</v>
      </c>
      <c r="D271" s="217" t="str">
        <f t="shared" si="23"/>
        <v>15</v>
      </c>
      <c r="E271">
        <f t="shared" si="24"/>
        <v>2015</v>
      </c>
      <c r="F271" s="217" t="str">
        <f t="shared" si="25"/>
        <v>1Q15</v>
      </c>
      <c r="G271" s="218">
        <v>42016</v>
      </c>
      <c r="H271" s="217">
        <v>2.6734</v>
      </c>
    </row>
    <row r="272" spans="2:8">
      <c r="B272" s="217" t="str">
        <f t="shared" si="22"/>
        <v>1Q</v>
      </c>
      <c r="C272" s="217">
        <f t="shared" si="26"/>
        <v>1</v>
      </c>
      <c r="D272" s="217" t="str">
        <f t="shared" si="23"/>
        <v>15</v>
      </c>
      <c r="E272">
        <f t="shared" si="24"/>
        <v>2015</v>
      </c>
      <c r="F272" s="217" t="str">
        <f t="shared" si="25"/>
        <v>1Q15</v>
      </c>
      <c r="G272" s="218">
        <v>42017</v>
      </c>
      <c r="H272" s="217">
        <v>2.6429999999999998</v>
      </c>
    </row>
    <row r="273" spans="2:8">
      <c r="B273" s="217" t="str">
        <f t="shared" si="22"/>
        <v>1Q</v>
      </c>
      <c r="C273" s="217">
        <f t="shared" si="26"/>
        <v>1</v>
      </c>
      <c r="D273" s="217" t="str">
        <f t="shared" si="23"/>
        <v>15</v>
      </c>
      <c r="E273">
        <f t="shared" si="24"/>
        <v>2015</v>
      </c>
      <c r="F273" s="217" t="str">
        <f t="shared" si="25"/>
        <v>1Q15</v>
      </c>
      <c r="G273" s="218">
        <v>42018</v>
      </c>
      <c r="H273" s="217">
        <v>2.6158999999999999</v>
      </c>
    </row>
    <row r="274" spans="2:8">
      <c r="B274" s="217" t="str">
        <f t="shared" si="22"/>
        <v>1Q</v>
      </c>
      <c r="C274" s="217">
        <f t="shared" si="26"/>
        <v>1</v>
      </c>
      <c r="D274" s="217" t="str">
        <f t="shared" si="23"/>
        <v>15</v>
      </c>
      <c r="E274">
        <f t="shared" si="24"/>
        <v>2015</v>
      </c>
      <c r="F274" s="217" t="str">
        <f t="shared" si="25"/>
        <v>1Q15</v>
      </c>
      <c r="G274" s="218">
        <v>42019</v>
      </c>
      <c r="H274" s="217">
        <v>2.6421999999999999</v>
      </c>
    </row>
    <row r="275" spans="2:8">
      <c r="B275" s="217" t="str">
        <f t="shared" si="22"/>
        <v>1Q</v>
      </c>
      <c r="C275" s="217">
        <f t="shared" si="26"/>
        <v>1</v>
      </c>
      <c r="D275" s="217" t="str">
        <f t="shared" si="23"/>
        <v>15</v>
      </c>
      <c r="E275">
        <f t="shared" si="24"/>
        <v>2015</v>
      </c>
      <c r="F275" s="217" t="str">
        <f t="shared" si="25"/>
        <v>1Q15</v>
      </c>
      <c r="G275" s="218">
        <v>42020</v>
      </c>
      <c r="H275" s="217">
        <v>2.621</v>
      </c>
    </row>
    <row r="276" spans="2:8">
      <c r="B276" s="217" t="str">
        <f t="shared" si="22"/>
        <v>1Q</v>
      </c>
      <c r="C276" s="217">
        <f t="shared" si="26"/>
        <v>1</v>
      </c>
      <c r="D276" s="217" t="str">
        <f t="shared" si="23"/>
        <v>15</v>
      </c>
      <c r="E276">
        <f t="shared" si="24"/>
        <v>2015</v>
      </c>
      <c r="F276" s="217" t="str">
        <f t="shared" si="25"/>
        <v>1Q15</v>
      </c>
      <c r="G276" s="218">
        <v>42023</v>
      </c>
      <c r="H276" s="217">
        <v>2.6516999999999999</v>
      </c>
    </row>
    <row r="277" spans="2:8">
      <c r="B277" s="217" t="str">
        <f t="shared" si="22"/>
        <v>1Q</v>
      </c>
      <c r="C277" s="217">
        <f t="shared" si="26"/>
        <v>1</v>
      </c>
      <c r="D277" s="217" t="str">
        <f t="shared" si="23"/>
        <v>15</v>
      </c>
      <c r="E277">
        <f t="shared" si="24"/>
        <v>2015</v>
      </c>
      <c r="F277" s="217" t="str">
        <f t="shared" si="25"/>
        <v>1Q15</v>
      </c>
      <c r="G277" s="218">
        <v>42024</v>
      </c>
      <c r="H277" s="217">
        <v>2.6137999999999999</v>
      </c>
    </row>
    <row r="278" spans="2:8">
      <c r="B278" s="217" t="str">
        <f t="shared" si="22"/>
        <v>1Q</v>
      </c>
      <c r="C278" s="217">
        <f t="shared" si="26"/>
        <v>1</v>
      </c>
      <c r="D278" s="217" t="str">
        <f t="shared" si="23"/>
        <v>15</v>
      </c>
      <c r="E278">
        <f t="shared" si="24"/>
        <v>2015</v>
      </c>
      <c r="F278" s="217" t="str">
        <f t="shared" si="25"/>
        <v>1Q15</v>
      </c>
      <c r="G278" s="218">
        <v>42025</v>
      </c>
      <c r="H278" s="217">
        <v>2.6004999999999998</v>
      </c>
    </row>
    <row r="279" spans="2:8">
      <c r="B279" s="217" t="str">
        <f t="shared" si="22"/>
        <v>1Q</v>
      </c>
      <c r="C279" s="217">
        <f t="shared" si="26"/>
        <v>1</v>
      </c>
      <c r="D279" s="217" t="str">
        <f t="shared" si="23"/>
        <v>15</v>
      </c>
      <c r="E279">
        <f t="shared" si="24"/>
        <v>2015</v>
      </c>
      <c r="F279" s="217" t="str">
        <f t="shared" si="25"/>
        <v>1Q15</v>
      </c>
      <c r="G279" s="218">
        <v>42026</v>
      </c>
      <c r="H279" s="217">
        <v>2.5745</v>
      </c>
    </row>
    <row r="280" spans="2:8">
      <c r="B280" s="217" t="str">
        <f t="shared" si="22"/>
        <v>1Q</v>
      </c>
      <c r="C280" s="217">
        <f t="shared" si="26"/>
        <v>1</v>
      </c>
      <c r="D280" s="217" t="str">
        <f t="shared" si="23"/>
        <v>15</v>
      </c>
      <c r="E280">
        <f t="shared" si="24"/>
        <v>2015</v>
      </c>
      <c r="F280" s="217" t="str">
        <f t="shared" si="25"/>
        <v>1Q15</v>
      </c>
      <c r="G280" s="218">
        <v>42027</v>
      </c>
      <c r="H280" s="217">
        <v>2.5796999999999999</v>
      </c>
    </row>
    <row r="281" spans="2:8">
      <c r="B281" s="217" t="str">
        <f t="shared" si="22"/>
        <v>1Q</v>
      </c>
      <c r="C281" s="217">
        <f t="shared" si="26"/>
        <v>1</v>
      </c>
      <c r="D281" s="217" t="str">
        <f t="shared" si="23"/>
        <v>15</v>
      </c>
      <c r="E281">
        <f t="shared" si="24"/>
        <v>2015</v>
      </c>
      <c r="F281" s="217" t="str">
        <f t="shared" si="25"/>
        <v>1Q15</v>
      </c>
      <c r="G281" s="218">
        <v>42030</v>
      </c>
      <c r="H281" s="217">
        <v>2.5834999999999999</v>
      </c>
    </row>
    <row r="282" spans="2:8">
      <c r="B282" s="217" t="str">
        <f t="shared" si="22"/>
        <v>1Q</v>
      </c>
      <c r="C282" s="217">
        <f t="shared" si="26"/>
        <v>1</v>
      </c>
      <c r="D282" s="217" t="str">
        <f t="shared" si="23"/>
        <v>15</v>
      </c>
      <c r="E282">
        <f t="shared" si="24"/>
        <v>2015</v>
      </c>
      <c r="F282" s="217" t="str">
        <f t="shared" si="25"/>
        <v>1Q15</v>
      </c>
      <c r="G282" s="218">
        <v>42031</v>
      </c>
      <c r="H282" s="217">
        <v>2.5724</v>
      </c>
    </row>
    <row r="283" spans="2:8">
      <c r="B283" s="217" t="str">
        <f t="shared" si="22"/>
        <v>1Q</v>
      </c>
      <c r="C283" s="217">
        <f t="shared" si="26"/>
        <v>1</v>
      </c>
      <c r="D283" s="217" t="str">
        <f t="shared" si="23"/>
        <v>15</v>
      </c>
      <c r="E283">
        <f t="shared" si="24"/>
        <v>2015</v>
      </c>
      <c r="F283" s="217" t="str">
        <f t="shared" si="25"/>
        <v>1Q15</v>
      </c>
      <c r="G283" s="218">
        <v>42032</v>
      </c>
      <c r="H283" s="217">
        <v>2.5764</v>
      </c>
    </row>
    <row r="284" spans="2:8">
      <c r="B284" s="217" t="str">
        <f t="shared" si="22"/>
        <v>1Q</v>
      </c>
      <c r="C284" s="217">
        <f t="shared" si="26"/>
        <v>1</v>
      </c>
      <c r="D284" s="217" t="str">
        <f t="shared" si="23"/>
        <v>15</v>
      </c>
      <c r="E284">
        <f t="shared" si="24"/>
        <v>2015</v>
      </c>
      <c r="F284" s="217" t="str">
        <f t="shared" si="25"/>
        <v>1Q15</v>
      </c>
      <c r="G284" s="218">
        <v>42033</v>
      </c>
      <c r="H284" s="217">
        <v>2.6034999999999999</v>
      </c>
    </row>
    <row r="285" spans="2:8">
      <c r="B285" s="217" t="str">
        <f t="shared" si="22"/>
        <v>1Q</v>
      </c>
      <c r="C285" s="217">
        <f t="shared" si="26"/>
        <v>1</v>
      </c>
      <c r="D285" s="217" t="str">
        <f t="shared" si="23"/>
        <v>15</v>
      </c>
      <c r="E285">
        <f t="shared" si="24"/>
        <v>2015</v>
      </c>
      <c r="F285" s="217" t="str">
        <f t="shared" si="25"/>
        <v>1Q15</v>
      </c>
      <c r="G285" s="218">
        <v>42034</v>
      </c>
      <c r="H285" s="217">
        <v>2.6823999999999999</v>
      </c>
    </row>
    <row r="286" spans="2:8">
      <c r="B286" s="217" t="str">
        <f t="shared" si="22"/>
        <v>1Q</v>
      </c>
      <c r="C286" s="217">
        <f t="shared" si="26"/>
        <v>2</v>
      </c>
      <c r="D286" s="217" t="str">
        <f t="shared" si="23"/>
        <v>15</v>
      </c>
      <c r="E286">
        <f t="shared" si="24"/>
        <v>2015</v>
      </c>
      <c r="F286" s="217" t="str">
        <f t="shared" si="25"/>
        <v>1Q15</v>
      </c>
      <c r="G286" s="218">
        <v>42037</v>
      </c>
      <c r="H286" s="217">
        <v>2.7271000000000001</v>
      </c>
    </row>
    <row r="287" spans="2:8">
      <c r="B287" s="217" t="str">
        <f t="shared" si="22"/>
        <v>1Q</v>
      </c>
      <c r="C287" s="217">
        <f t="shared" si="26"/>
        <v>2</v>
      </c>
      <c r="D287" s="217" t="str">
        <f t="shared" si="23"/>
        <v>15</v>
      </c>
      <c r="E287">
        <f t="shared" si="24"/>
        <v>2015</v>
      </c>
      <c r="F287" s="217" t="str">
        <f t="shared" si="25"/>
        <v>1Q15</v>
      </c>
      <c r="G287" s="218">
        <v>42038</v>
      </c>
      <c r="H287" s="217">
        <v>2.6945000000000001</v>
      </c>
    </row>
    <row r="288" spans="2:8">
      <c r="B288" s="217" t="str">
        <f t="shared" si="22"/>
        <v>1Q</v>
      </c>
      <c r="C288" s="217">
        <f t="shared" si="26"/>
        <v>2</v>
      </c>
      <c r="D288" s="217" t="str">
        <f t="shared" si="23"/>
        <v>15</v>
      </c>
      <c r="E288">
        <f t="shared" si="24"/>
        <v>2015</v>
      </c>
      <c r="F288" s="217" t="str">
        <f t="shared" si="25"/>
        <v>1Q15</v>
      </c>
      <c r="G288" s="218">
        <v>42039</v>
      </c>
      <c r="H288" s="217">
        <v>2.7418</v>
      </c>
    </row>
    <row r="289" spans="2:8">
      <c r="B289" s="217" t="str">
        <f t="shared" si="22"/>
        <v>1Q</v>
      </c>
      <c r="C289" s="217">
        <f t="shared" si="26"/>
        <v>2</v>
      </c>
      <c r="D289" s="217" t="str">
        <f t="shared" si="23"/>
        <v>15</v>
      </c>
      <c r="E289">
        <f t="shared" si="24"/>
        <v>2015</v>
      </c>
      <c r="F289" s="217" t="str">
        <f t="shared" si="25"/>
        <v>1Q15</v>
      </c>
      <c r="G289" s="218">
        <v>42040</v>
      </c>
      <c r="H289" s="217">
        <v>2.7450999999999999</v>
      </c>
    </row>
    <row r="290" spans="2:8">
      <c r="B290" s="217" t="str">
        <f t="shared" si="22"/>
        <v>1Q</v>
      </c>
      <c r="C290" s="217">
        <f t="shared" si="26"/>
        <v>2</v>
      </c>
      <c r="D290" s="217" t="str">
        <f t="shared" si="23"/>
        <v>15</v>
      </c>
      <c r="E290">
        <f t="shared" si="24"/>
        <v>2015</v>
      </c>
      <c r="F290" s="217" t="str">
        <f t="shared" si="25"/>
        <v>1Q15</v>
      </c>
      <c r="G290" s="218">
        <v>42041</v>
      </c>
      <c r="H290" s="217">
        <v>2.7825000000000002</v>
      </c>
    </row>
    <row r="291" spans="2:8">
      <c r="B291" s="217" t="str">
        <f t="shared" si="22"/>
        <v>1Q</v>
      </c>
      <c r="C291" s="217">
        <f t="shared" si="26"/>
        <v>2</v>
      </c>
      <c r="D291" s="217" t="str">
        <f t="shared" si="23"/>
        <v>15</v>
      </c>
      <c r="E291">
        <f t="shared" si="24"/>
        <v>2015</v>
      </c>
      <c r="F291" s="217" t="str">
        <f t="shared" si="25"/>
        <v>1Q15</v>
      </c>
      <c r="G291" s="218">
        <v>42044</v>
      </c>
      <c r="H291" s="217">
        <v>2.7698</v>
      </c>
    </row>
    <row r="292" spans="2:8">
      <c r="B292" s="217" t="str">
        <f t="shared" si="22"/>
        <v>1Q</v>
      </c>
      <c r="C292" s="217">
        <f t="shared" si="26"/>
        <v>2</v>
      </c>
      <c r="D292" s="217" t="str">
        <f t="shared" si="23"/>
        <v>15</v>
      </c>
      <c r="E292">
        <f t="shared" si="24"/>
        <v>2015</v>
      </c>
      <c r="F292" s="217" t="str">
        <f t="shared" si="25"/>
        <v>1Q15</v>
      </c>
      <c r="G292" s="218">
        <v>42045</v>
      </c>
      <c r="H292" s="217">
        <v>2.8342999999999998</v>
      </c>
    </row>
    <row r="293" spans="2:8">
      <c r="B293" s="217" t="str">
        <f t="shared" si="22"/>
        <v>1Q</v>
      </c>
      <c r="C293" s="217">
        <f t="shared" si="26"/>
        <v>2</v>
      </c>
      <c r="D293" s="217" t="str">
        <f t="shared" si="23"/>
        <v>15</v>
      </c>
      <c r="E293">
        <f t="shared" si="24"/>
        <v>2015</v>
      </c>
      <c r="F293" s="217" t="str">
        <f t="shared" si="25"/>
        <v>1Q15</v>
      </c>
      <c r="G293" s="218">
        <v>42046</v>
      </c>
      <c r="H293" s="217">
        <v>2.8693</v>
      </c>
    </row>
    <row r="294" spans="2:8">
      <c r="B294" s="217" t="str">
        <f t="shared" si="22"/>
        <v>1Q</v>
      </c>
      <c r="C294" s="217">
        <f t="shared" si="26"/>
        <v>2</v>
      </c>
      <c r="D294" s="217" t="str">
        <f t="shared" si="23"/>
        <v>15</v>
      </c>
      <c r="E294">
        <f t="shared" si="24"/>
        <v>2015</v>
      </c>
      <c r="F294" s="217" t="str">
        <f t="shared" si="25"/>
        <v>1Q15</v>
      </c>
      <c r="G294" s="218">
        <v>42047</v>
      </c>
      <c r="H294" s="217">
        <v>2.8210000000000002</v>
      </c>
    </row>
    <row r="295" spans="2:8">
      <c r="B295" s="217" t="str">
        <f t="shared" si="22"/>
        <v>1Q</v>
      </c>
      <c r="C295" s="217">
        <f t="shared" si="26"/>
        <v>2</v>
      </c>
      <c r="D295" s="217" t="str">
        <f t="shared" si="23"/>
        <v>15</v>
      </c>
      <c r="E295">
        <f t="shared" si="24"/>
        <v>2015</v>
      </c>
      <c r="F295" s="217" t="str">
        <f t="shared" si="25"/>
        <v>1Q15</v>
      </c>
      <c r="G295" s="218">
        <v>42048</v>
      </c>
      <c r="H295" s="217">
        <v>2.8346</v>
      </c>
    </row>
    <row r="296" spans="2:8">
      <c r="B296" s="217" t="str">
        <f t="shared" si="22"/>
        <v>1Q</v>
      </c>
      <c r="C296" s="217">
        <f t="shared" si="26"/>
        <v>2</v>
      </c>
      <c r="D296" s="217" t="str">
        <f t="shared" si="23"/>
        <v>15</v>
      </c>
      <c r="E296">
        <f t="shared" si="24"/>
        <v>2015</v>
      </c>
      <c r="F296" s="217" t="str">
        <f t="shared" si="25"/>
        <v>1Q15</v>
      </c>
      <c r="G296" s="218">
        <v>42051</v>
      </c>
      <c r="H296" s="217">
        <v>2.8346</v>
      </c>
    </row>
    <row r="297" spans="2:8">
      <c r="B297" s="217" t="str">
        <f t="shared" si="22"/>
        <v>1Q</v>
      </c>
      <c r="C297" s="217">
        <f t="shared" si="26"/>
        <v>2</v>
      </c>
      <c r="D297" s="217" t="str">
        <f t="shared" si="23"/>
        <v>15</v>
      </c>
      <c r="E297">
        <f t="shared" si="24"/>
        <v>2015</v>
      </c>
      <c r="F297" s="217" t="str">
        <f t="shared" si="25"/>
        <v>1Q15</v>
      </c>
      <c r="G297" s="218">
        <v>42052</v>
      </c>
      <c r="H297" s="217">
        <v>2.8296000000000001</v>
      </c>
    </row>
    <row r="298" spans="2:8">
      <c r="B298" s="217" t="str">
        <f t="shared" si="22"/>
        <v>1Q</v>
      </c>
      <c r="C298" s="217">
        <f t="shared" si="26"/>
        <v>2</v>
      </c>
      <c r="D298" s="217" t="str">
        <f t="shared" si="23"/>
        <v>15</v>
      </c>
      <c r="E298">
        <f t="shared" si="24"/>
        <v>2015</v>
      </c>
      <c r="F298" s="217" t="str">
        <f t="shared" si="25"/>
        <v>1Q15</v>
      </c>
      <c r="G298" s="218">
        <v>42053</v>
      </c>
      <c r="H298" s="217">
        <v>2.8374000000000001</v>
      </c>
    </row>
    <row r="299" spans="2:8">
      <c r="B299" s="217" t="str">
        <f t="shared" si="22"/>
        <v>1Q</v>
      </c>
      <c r="C299" s="217">
        <f t="shared" si="26"/>
        <v>2</v>
      </c>
      <c r="D299" s="217" t="str">
        <f t="shared" si="23"/>
        <v>15</v>
      </c>
      <c r="E299">
        <f t="shared" si="24"/>
        <v>2015</v>
      </c>
      <c r="F299" s="217" t="str">
        <f t="shared" si="25"/>
        <v>1Q15</v>
      </c>
      <c r="G299" s="218">
        <v>42054</v>
      </c>
      <c r="H299" s="217">
        <v>2.8664999999999998</v>
      </c>
    </row>
    <row r="300" spans="2:8">
      <c r="B300" s="217" t="str">
        <f t="shared" si="22"/>
        <v>1Q</v>
      </c>
      <c r="C300" s="217">
        <f t="shared" si="26"/>
        <v>2</v>
      </c>
      <c r="D300" s="217" t="str">
        <f t="shared" si="23"/>
        <v>15</v>
      </c>
      <c r="E300">
        <f t="shared" si="24"/>
        <v>2015</v>
      </c>
      <c r="F300" s="217" t="str">
        <f t="shared" si="25"/>
        <v>1Q15</v>
      </c>
      <c r="G300" s="218">
        <v>42055</v>
      </c>
      <c r="H300" s="217">
        <v>2.8679999999999999</v>
      </c>
    </row>
    <row r="301" spans="2:8">
      <c r="B301" s="217" t="str">
        <f t="shared" si="22"/>
        <v>1Q</v>
      </c>
      <c r="C301" s="217">
        <f t="shared" si="26"/>
        <v>2</v>
      </c>
      <c r="D301" s="217" t="str">
        <f t="shared" si="23"/>
        <v>15</v>
      </c>
      <c r="E301">
        <f t="shared" si="24"/>
        <v>2015</v>
      </c>
      <c r="F301" s="217" t="str">
        <f t="shared" si="25"/>
        <v>1Q15</v>
      </c>
      <c r="G301" s="218">
        <v>42058</v>
      </c>
      <c r="H301" s="217">
        <v>2.8788</v>
      </c>
    </row>
    <row r="302" spans="2:8">
      <c r="B302" s="217" t="str">
        <f t="shared" si="22"/>
        <v>1Q</v>
      </c>
      <c r="C302" s="217">
        <f t="shared" si="26"/>
        <v>2</v>
      </c>
      <c r="D302" s="217" t="str">
        <f t="shared" si="23"/>
        <v>15</v>
      </c>
      <c r="E302">
        <f t="shared" si="24"/>
        <v>2015</v>
      </c>
      <c r="F302" s="217" t="str">
        <f t="shared" si="25"/>
        <v>1Q15</v>
      </c>
      <c r="G302" s="218">
        <v>42059</v>
      </c>
      <c r="H302" s="217">
        <v>2.8330000000000002</v>
      </c>
    </row>
    <row r="303" spans="2:8">
      <c r="B303" s="217" t="str">
        <f t="shared" si="22"/>
        <v>1Q</v>
      </c>
      <c r="C303" s="217">
        <f t="shared" si="26"/>
        <v>2</v>
      </c>
      <c r="D303" s="217" t="str">
        <f t="shared" si="23"/>
        <v>15</v>
      </c>
      <c r="E303">
        <f t="shared" si="24"/>
        <v>2015</v>
      </c>
      <c r="F303" s="217" t="str">
        <f t="shared" si="25"/>
        <v>1Q15</v>
      </c>
      <c r="G303" s="218">
        <v>42060</v>
      </c>
      <c r="H303" s="217">
        <v>2.875</v>
      </c>
    </row>
    <row r="304" spans="2:8">
      <c r="B304" s="217" t="str">
        <f t="shared" si="22"/>
        <v>1Q</v>
      </c>
      <c r="C304" s="217">
        <f t="shared" si="26"/>
        <v>2</v>
      </c>
      <c r="D304" s="217" t="str">
        <f t="shared" si="23"/>
        <v>15</v>
      </c>
      <c r="E304">
        <f t="shared" si="24"/>
        <v>2015</v>
      </c>
      <c r="F304" s="217" t="str">
        <f t="shared" si="25"/>
        <v>1Q15</v>
      </c>
      <c r="G304" s="218">
        <v>42061</v>
      </c>
      <c r="H304" s="217">
        <v>2.9085000000000001</v>
      </c>
    </row>
    <row r="305" spans="2:8">
      <c r="B305" s="217" t="str">
        <f t="shared" si="22"/>
        <v>1Q</v>
      </c>
      <c r="C305" s="217">
        <f t="shared" si="26"/>
        <v>2</v>
      </c>
      <c r="D305" s="217" t="str">
        <f t="shared" si="23"/>
        <v>15</v>
      </c>
      <c r="E305">
        <f t="shared" si="24"/>
        <v>2015</v>
      </c>
      <c r="F305" s="217" t="str">
        <f t="shared" si="25"/>
        <v>1Q15</v>
      </c>
      <c r="G305" s="218">
        <v>42062</v>
      </c>
      <c r="H305" s="217">
        <v>2.839</v>
      </c>
    </row>
    <row r="306" spans="2:8">
      <c r="B306" s="217" t="str">
        <f t="shared" si="22"/>
        <v>1Q</v>
      </c>
      <c r="C306" s="217">
        <f t="shared" si="26"/>
        <v>3</v>
      </c>
      <c r="D306" s="217" t="str">
        <f t="shared" si="23"/>
        <v>15</v>
      </c>
      <c r="E306">
        <f t="shared" si="24"/>
        <v>2015</v>
      </c>
      <c r="F306" s="217" t="str">
        <f t="shared" si="25"/>
        <v>1Q15</v>
      </c>
      <c r="G306" s="218">
        <v>42065</v>
      </c>
      <c r="H306" s="217">
        <v>2.8965000000000001</v>
      </c>
    </row>
    <row r="307" spans="2:8">
      <c r="B307" s="217" t="str">
        <f t="shared" si="22"/>
        <v>1Q</v>
      </c>
      <c r="C307" s="217">
        <f t="shared" si="26"/>
        <v>3</v>
      </c>
      <c r="D307" s="217" t="str">
        <f t="shared" si="23"/>
        <v>15</v>
      </c>
      <c r="E307">
        <f t="shared" si="24"/>
        <v>2015</v>
      </c>
      <c r="F307" s="217" t="str">
        <f t="shared" si="25"/>
        <v>1Q15</v>
      </c>
      <c r="G307" s="218">
        <v>42066</v>
      </c>
      <c r="H307" s="217">
        <v>2.9310999999999998</v>
      </c>
    </row>
    <row r="308" spans="2:8">
      <c r="B308" s="217" t="str">
        <f t="shared" si="22"/>
        <v>1Q</v>
      </c>
      <c r="C308" s="217">
        <f t="shared" si="26"/>
        <v>3</v>
      </c>
      <c r="D308" s="217" t="str">
        <f t="shared" si="23"/>
        <v>15</v>
      </c>
      <c r="E308">
        <f t="shared" si="24"/>
        <v>2015</v>
      </c>
      <c r="F308" s="217" t="str">
        <f t="shared" si="25"/>
        <v>1Q15</v>
      </c>
      <c r="G308" s="218">
        <v>42067</v>
      </c>
      <c r="H308" s="217">
        <v>2.9765999999999999</v>
      </c>
    </row>
    <row r="309" spans="2:8">
      <c r="B309" s="217" t="str">
        <f t="shared" si="22"/>
        <v>1Q</v>
      </c>
      <c r="C309" s="217">
        <f t="shared" si="26"/>
        <v>3</v>
      </c>
      <c r="D309" s="217" t="str">
        <f t="shared" si="23"/>
        <v>15</v>
      </c>
      <c r="E309">
        <f t="shared" si="24"/>
        <v>2015</v>
      </c>
      <c r="F309" s="217" t="str">
        <f t="shared" si="25"/>
        <v>1Q15</v>
      </c>
      <c r="G309" s="218">
        <v>42068</v>
      </c>
      <c r="H309" s="217">
        <v>3.0034999999999998</v>
      </c>
    </row>
    <row r="310" spans="2:8">
      <c r="B310" s="217" t="str">
        <f t="shared" si="22"/>
        <v>1Q</v>
      </c>
      <c r="C310" s="217">
        <f t="shared" si="26"/>
        <v>3</v>
      </c>
      <c r="D310" s="217" t="str">
        <f t="shared" si="23"/>
        <v>15</v>
      </c>
      <c r="E310">
        <f t="shared" si="24"/>
        <v>2015</v>
      </c>
      <c r="F310" s="217" t="str">
        <f t="shared" si="25"/>
        <v>1Q15</v>
      </c>
      <c r="G310" s="218">
        <v>42069</v>
      </c>
      <c r="H310" s="217">
        <v>3.0617000000000001</v>
      </c>
    </row>
    <row r="311" spans="2:8">
      <c r="B311" s="217" t="str">
        <f t="shared" si="22"/>
        <v>1Q</v>
      </c>
      <c r="C311" s="217">
        <f t="shared" si="26"/>
        <v>3</v>
      </c>
      <c r="D311" s="217" t="str">
        <f t="shared" si="23"/>
        <v>15</v>
      </c>
      <c r="E311">
        <f t="shared" si="24"/>
        <v>2015</v>
      </c>
      <c r="F311" s="217" t="str">
        <f t="shared" si="25"/>
        <v>1Q15</v>
      </c>
      <c r="G311" s="218">
        <v>42072</v>
      </c>
      <c r="H311" s="217">
        <v>3.1223000000000001</v>
      </c>
    </row>
    <row r="312" spans="2:8">
      <c r="B312" s="217" t="str">
        <f t="shared" si="22"/>
        <v>1Q</v>
      </c>
      <c r="C312" s="217">
        <f t="shared" si="26"/>
        <v>3</v>
      </c>
      <c r="D312" s="217" t="str">
        <f t="shared" si="23"/>
        <v>15</v>
      </c>
      <c r="E312">
        <f t="shared" si="24"/>
        <v>2015</v>
      </c>
      <c r="F312" s="217" t="str">
        <f t="shared" si="25"/>
        <v>1Q15</v>
      </c>
      <c r="G312" s="218">
        <v>42073</v>
      </c>
      <c r="H312" s="217">
        <v>3.1021999999999998</v>
      </c>
    </row>
    <row r="313" spans="2:8">
      <c r="B313" s="217" t="str">
        <f t="shared" si="22"/>
        <v>1Q</v>
      </c>
      <c r="C313" s="217">
        <f t="shared" si="26"/>
        <v>3</v>
      </c>
      <c r="D313" s="217" t="str">
        <f t="shared" si="23"/>
        <v>15</v>
      </c>
      <c r="E313">
        <f t="shared" si="24"/>
        <v>2015</v>
      </c>
      <c r="F313" s="217" t="str">
        <f t="shared" si="25"/>
        <v>1Q15</v>
      </c>
      <c r="G313" s="218">
        <v>42074</v>
      </c>
      <c r="H313" s="217">
        <v>3.1257000000000001</v>
      </c>
    </row>
    <row r="314" spans="2:8">
      <c r="B314" s="217" t="str">
        <f t="shared" si="22"/>
        <v>1Q</v>
      </c>
      <c r="C314" s="217">
        <f t="shared" si="26"/>
        <v>3</v>
      </c>
      <c r="D314" s="217" t="str">
        <f t="shared" si="23"/>
        <v>15</v>
      </c>
      <c r="E314">
        <f t="shared" si="24"/>
        <v>2015</v>
      </c>
      <c r="F314" s="217" t="str">
        <f t="shared" si="25"/>
        <v>1Q15</v>
      </c>
      <c r="G314" s="218">
        <v>42075</v>
      </c>
      <c r="H314" s="217">
        <v>3.1661000000000001</v>
      </c>
    </row>
    <row r="315" spans="2:8">
      <c r="B315" s="217" t="str">
        <f t="shared" si="22"/>
        <v>1Q</v>
      </c>
      <c r="C315" s="217">
        <f t="shared" si="26"/>
        <v>3</v>
      </c>
      <c r="D315" s="217" t="str">
        <f t="shared" si="23"/>
        <v>15</v>
      </c>
      <c r="E315">
        <f t="shared" si="24"/>
        <v>2015</v>
      </c>
      <c r="F315" s="217" t="str">
        <f t="shared" si="25"/>
        <v>1Q15</v>
      </c>
      <c r="G315" s="218">
        <v>42076</v>
      </c>
      <c r="H315" s="217">
        <v>3.2492000000000001</v>
      </c>
    </row>
    <row r="316" spans="2:8">
      <c r="B316" s="217" t="str">
        <f t="shared" si="22"/>
        <v>1Q</v>
      </c>
      <c r="C316" s="217">
        <f t="shared" si="26"/>
        <v>3</v>
      </c>
      <c r="D316" s="217" t="str">
        <f t="shared" si="23"/>
        <v>15</v>
      </c>
      <c r="E316">
        <f t="shared" si="24"/>
        <v>2015</v>
      </c>
      <c r="F316" s="217" t="str">
        <f t="shared" si="25"/>
        <v>1Q15</v>
      </c>
      <c r="G316" s="218">
        <v>42079</v>
      </c>
      <c r="H316" s="217">
        <v>3.2488000000000001</v>
      </c>
    </row>
    <row r="317" spans="2:8">
      <c r="B317" s="217" t="str">
        <f t="shared" si="22"/>
        <v>1Q</v>
      </c>
      <c r="C317" s="217">
        <f t="shared" si="26"/>
        <v>3</v>
      </c>
      <c r="D317" s="217" t="str">
        <f t="shared" si="23"/>
        <v>15</v>
      </c>
      <c r="E317">
        <f t="shared" si="24"/>
        <v>2015</v>
      </c>
      <c r="F317" s="217" t="str">
        <f t="shared" si="25"/>
        <v>1Q15</v>
      </c>
      <c r="G317" s="218">
        <v>42080</v>
      </c>
      <c r="H317" s="217">
        <v>3.2395</v>
      </c>
    </row>
    <row r="318" spans="2:8">
      <c r="B318" s="217" t="str">
        <f t="shared" si="22"/>
        <v>1Q</v>
      </c>
      <c r="C318" s="217">
        <f t="shared" si="26"/>
        <v>3</v>
      </c>
      <c r="D318" s="217" t="str">
        <f t="shared" si="23"/>
        <v>15</v>
      </c>
      <c r="E318">
        <f t="shared" si="24"/>
        <v>2015</v>
      </c>
      <c r="F318" s="217" t="str">
        <f t="shared" si="25"/>
        <v>1Q15</v>
      </c>
      <c r="G318" s="218">
        <v>42081</v>
      </c>
      <c r="H318" s="217">
        <v>3.2097000000000002</v>
      </c>
    </row>
    <row r="319" spans="2:8">
      <c r="B319" s="217" t="str">
        <f t="shared" si="22"/>
        <v>1Q</v>
      </c>
      <c r="C319" s="217">
        <f t="shared" si="26"/>
        <v>3</v>
      </c>
      <c r="D319" s="217" t="str">
        <f t="shared" si="23"/>
        <v>15</v>
      </c>
      <c r="E319">
        <f t="shared" si="24"/>
        <v>2015</v>
      </c>
      <c r="F319" s="217" t="str">
        <f t="shared" si="25"/>
        <v>1Q15</v>
      </c>
      <c r="G319" s="218">
        <v>42082</v>
      </c>
      <c r="H319" s="217">
        <v>3.2921</v>
      </c>
    </row>
    <row r="320" spans="2:8">
      <c r="B320" s="217" t="str">
        <f t="shared" si="22"/>
        <v>1Q</v>
      </c>
      <c r="C320" s="217">
        <f t="shared" si="26"/>
        <v>3</v>
      </c>
      <c r="D320" s="217" t="str">
        <f t="shared" si="23"/>
        <v>15</v>
      </c>
      <c r="E320">
        <f t="shared" si="24"/>
        <v>2015</v>
      </c>
      <c r="F320" s="217" t="str">
        <f t="shared" si="25"/>
        <v>1Q15</v>
      </c>
      <c r="G320" s="218">
        <v>42083</v>
      </c>
      <c r="H320" s="217">
        <v>3.2292999999999998</v>
      </c>
    </row>
    <row r="321" spans="2:8">
      <c r="B321" s="217" t="str">
        <f t="shared" si="22"/>
        <v>1Q</v>
      </c>
      <c r="C321" s="217">
        <f t="shared" si="26"/>
        <v>3</v>
      </c>
      <c r="D321" s="217" t="str">
        <f t="shared" si="23"/>
        <v>15</v>
      </c>
      <c r="E321">
        <f t="shared" si="24"/>
        <v>2015</v>
      </c>
      <c r="F321" s="217" t="str">
        <f t="shared" si="25"/>
        <v>1Q15</v>
      </c>
      <c r="G321" s="218">
        <v>42086</v>
      </c>
      <c r="H321" s="217">
        <v>3.1322000000000001</v>
      </c>
    </row>
    <row r="322" spans="2:8">
      <c r="B322" s="217" t="str">
        <f t="shared" si="22"/>
        <v>1Q</v>
      </c>
      <c r="C322" s="217">
        <f t="shared" si="26"/>
        <v>3</v>
      </c>
      <c r="D322" s="217" t="str">
        <f t="shared" si="23"/>
        <v>15</v>
      </c>
      <c r="E322">
        <f t="shared" si="24"/>
        <v>2015</v>
      </c>
      <c r="F322" s="217" t="str">
        <f t="shared" si="25"/>
        <v>1Q15</v>
      </c>
      <c r="G322" s="218">
        <v>42087</v>
      </c>
      <c r="H322" s="217">
        <v>3.1398000000000001</v>
      </c>
    </row>
    <row r="323" spans="2:8">
      <c r="B323" s="217" t="str">
        <f t="shared" ref="B323:B386" si="27">VLOOKUP(C323,$N$3:$O$14,2,0)</f>
        <v>1Q</v>
      </c>
      <c r="C323" s="217">
        <f t="shared" si="26"/>
        <v>3</v>
      </c>
      <c r="D323" s="217" t="str">
        <f t="shared" ref="D323:D386" si="28">RIGHT(E323,2)</f>
        <v>15</v>
      </c>
      <c r="E323">
        <f t="shared" ref="E323:E386" si="29">YEAR(G323)</f>
        <v>2015</v>
      </c>
      <c r="F323" s="217" t="str">
        <f t="shared" ref="F323:F386" si="30">+B323&amp;D323</f>
        <v>1Q15</v>
      </c>
      <c r="G323" s="218">
        <v>42088</v>
      </c>
      <c r="H323" s="217">
        <v>3.2012</v>
      </c>
    </row>
    <row r="324" spans="2:8">
      <c r="B324" s="217" t="str">
        <f t="shared" si="27"/>
        <v>1Q</v>
      </c>
      <c r="C324" s="217">
        <f t="shared" ref="C324:C387" si="31">MONTH(G324)</f>
        <v>3</v>
      </c>
      <c r="D324" s="217" t="str">
        <f t="shared" si="28"/>
        <v>15</v>
      </c>
      <c r="E324">
        <f t="shared" si="29"/>
        <v>2015</v>
      </c>
      <c r="F324" s="217" t="str">
        <f t="shared" si="30"/>
        <v>1Q15</v>
      </c>
      <c r="G324" s="218">
        <v>42089</v>
      </c>
      <c r="H324" s="217">
        <v>3.1827999999999999</v>
      </c>
    </row>
    <row r="325" spans="2:8">
      <c r="B325" s="217" t="str">
        <f t="shared" si="27"/>
        <v>1Q</v>
      </c>
      <c r="C325" s="217">
        <f t="shared" si="31"/>
        <v>3</v>
      </c>
      <c r="D325" s="217" t="str">
        <f t="shared" si="28"/>
        <v>15</v>
      </c>
      <c r="E325">
        <f t="shared" si="29"/>
        <v>2015</v>
      </c>
      <c r="F325" s="217" t="str">
        <f t="shared" si="30"/>
        <v>1Q15</v>
      </c>
      <c r="G325" s="218">
        <v>42090</v>
      </c>
      <c r="H325" s="217">
        <v>3.2496</v>
      </c>
    </row>
    <row r="326" spans="2:8">
      <c r="B326" s="217" t="str">
        <f t="shared" si="27"/>
        <v>1Q</v>
      </c>
      <c r="C326" s="217">
        <f t="shared" si="31"/>
        <v>3</v>
      </c>
      <c r="D326" s="217" t="str">
        <f t="shared" si="28"/>
        <v>15</v>
      </c>
      <c r="E326">
        <f t="shared" si="29"/>
        <v>2015</v>
      </c>
      <c r="F326" s="217" t="str">
        <f t="shared" si="30"/>
        <v>1Q15</v>
      </c>
      <c r="G326" s="218">
        <v>42093</v>
      </c>
      <c r="H326" s="217">
        <v>3.2305999999999999</v>
      </c>
    </row>
    <row r="327" spans="2:8">
      <c r="B327" s="217" t="str">
        <f t="shared" si="27"/>
        <v>1Q</v>
      </c>
      <c r="C327" s="217">
        <f t="shared" si="31"/>
        <v>3</v>
      </c>
      <c r="D327" s="217" t="str">
        <f t="shared" si="28"/>
        <v>15</v>
      </c>
      <c r="E327">
        <f t="shared" si="29"/>
        <v>2015</v>
      </c>
      <c r="F327" s="217" t="str">
        <f t="shared" si="30"/>
        <v>1Q15</v>
      </c>
      <c r="G327" s="218">
        <v>42094</v>
      </c>
      <c r="H327" s="217">
        <v>3.1958000000000002</v>
      </c>
    </row>
    <row r="328" spans="2:8">
      <c r="B328" s="217" t="str">
        <f t="shared" si="27"/>
        <v>2Q</v>
      </c>
      <c r="C328" s="217">
        <f t="shared" si="31"/>
        <v>4</v>
      </c>
      <c r="D328" s="217" t="str">
        <f t="shared" si="28"/>
        <v>15</v>
      </c>
      <c r="E328">
        <f t="shared" si="29"/>
        <v>2015</v>
      </c>
      <c r="F328" s="217" t="str">
        <f t="shared" si="30"/>
        <v>2Q15</v>
      </c>
      <c r="G328" s="218">
        <v>42095</v>
      </c>
      <c r="H328" s="217">
        <v>3.1655000000000002</v>
      </c>
    </row>
    <row r="329" spans="2:8">
      <c r="B329" s="217" t="str">
        <f t="shared" si="27"/>
        <v>2Q</v>
      </c>
      <c r="C329" s="217">
        <f t="shared" si="31"/>
        <v>4</v>
      </c>
      <c r="D329" s="217" t="str">
        <f t="shared" si="28"/>
        <v>15</v>
      </c>
      <c r="E329">
        <f t="shared" si="29"/>
        <v>2015</v>
      </c>
      <c r="F329" s="217" t="str">
        <f t="shared" si="30"/>
        <v>2Q15</v>
      </c>
      <c r="G329" s="218">
        <v>42096</v>
      </c>
      <c r="H329" s="217">
        <v>3.1204999999999998</v>
      </c>
    </row>
    <row r="330" spans="2:8">
      <c r="B330" s="217" t="str">
        <f t="shared" si="27"/>
        <v>2Q</v>
      </c>
      <c r="C330" s="217">
        <f t="shared" si="31"/>
        <v>4</v>
      </c>
      <c r="D330" s="217" t="str">
        <f t="shared" si="28"/>
        <v>15</v>
      </c>
      <c r="E330">
        <f t="shared" si="29"/>
        <v>2015</v>
      </c>
      <c r="F330" s="217" t="str">
        <f t="shared" si="30"/>
        <v>2Q15</v>
      </c>
      <c r="G330" s="218">
        <v>42097</v>
      </c>
      <c r="H330" s="217">
        <v>3.121</v>
      </c>
    </row>
    <row r="331" spans="2:8">
      <c r="B331" s="217" t="str">
        <f t="shared" si="27"/>
        <v>2Q</v>
      </c>
      <c r="C331" s="217">
        <f t="shared" si="31"/>
        <v>4</v>
      </c>
      <c r="D331" s="217" t="str">
        <f t="shared" si="28"/>
        <v>15</v>
      </c>
      <c r="E331">
        <f t="shared" si="29"/>
        <v>2015</v>
      </c>
      <c r="F331" s="217" t="str">
        <f t="shared" si="30"/>
        <v>2Q15</v>
      </c>
      <c r="G331" s="218">
        <v>42100</v>
      </c>
      <c r="H331" s="217">
        <v>3.1263000000000001</v>
      </c>
    </row>
    <row r="332" spans="2:8">
      <c r="B332" s="217" t="str">
        <f t="shared" si="27"/>
        <v>2Q</v>
      </c>
      <c r="C332" s="217">
        <f t="shared" si="31"/>
        <v>4</v>
      </c>
      <c r="D332" s="217" t="str">
        <f t="shared" si="28"/>
        <v>15</v>
      </c>
      <c r="E332">
        <f t="shared" si="29"/>
        <v>2015</v>
      </c>
      <c r="F332" s="217" t="str">
        <f t="shared" si="30"/>
        <v>2Q15</v>
      </c>
      <c r="G332" s="218">
        <v>42101</v>
      </c>
      <c r="H332" s="217">
        <v>3.1288</v>
      </c>
    </row>
    <row r="333" spans="2:8">
      <c r="B333" s="217" t="str">
        <f t="shared" si="27"/>
        <v>2Q</v>
      </c>
      <c r="C333" s="217">
        <f t="shared" si="31"/>
        <v>4</v>
      </c>
      <c r="D333" s="217" t="str">
        <f t="shared" si="28"/>
        <v>15</v>
      </c>
      <c r="E333">
        <f t="shared" si="29"/>
        <v>2015</v>
      </c>
      <c r="F333" s="217" t="str">
        <f t="shared" si="30"/>
        <v>2Q15</v>
      </c>
      <c r="G333" s="218">
        <v>42102</v>
      </c>
      <c r="H333" s="217">
        <v>3.0495000000000001</v>
      </c>
    </row>
    <row r="334" spans="2:8">
      <c r="B334" s="217" t="str">
        <f t="shared" si="27"/>
        <v>2Q</v>
      </c>
      <c r="C334" s="217">
        <f t="shared" si="31"/>
        <v>4</v>
      </c>
      <c r="D334" s="217" t="str">
        <f t="shared" si="28"/>
        <v>15</v>
      </c>
      <c r="E334">
        <f t="shared" si="29"/>
        <v>2015</v>
      </c>
      <c r="F334" s="217" t="str">
        <f t="shared" si="30"/>
        <v>2Q15</v>
      </c>
      <c r="G334" s="218">
        <v>42103</v>
      </c>
      <c r="H334" s="217">
        <v>3.0590999999999999</v>
      </c>
    </row>
    <row r="335" spans="2:8">
      <c r="B335" s="217" t="str">
        <f t="shared" si="27"/>
        <v>2Q</v>
      </c>
      <c r="C335" s="217">
        <f t="shared" si="31"/>
        <v>4</v>
      </c>
      <c r="D335" s="217" t="str">
        <f t="shared" si="28"/>
        <v>15</v>
      </c>
      <c r="E335">
        <f t="shared" si="29"/>
        <v>2015</v>
      </c>
      <c r="F335" s="217" t="str">
        <f t="shared" si="30"/>
        <v>2Q15</v>
      </c>
      <c r="G335" s="218">
        <v>42104</v>
      </c>
      <c r="H335" s="217">
        <v>3.0756000000000001</v>
      </c>
    </row>
    <row r="336" spans="2:8">
      <c r="B336" s="217" t="str">
        <f t="shared" si="27"/>
        <v>2Q</v>
      </c>
      <c r="C336" s="217">
        <f t="shared" si="31"/>
        <v>4</v>
      </c>
      <c r="D336" s="217" t="str">
        <f t="shared" si="28"/>
        <v>15</v>
      </c>
      <c r="E336">
        <f t="shared" si="29"/>
        <v>2015</v>
      </c>
      <c r="F336" s="217" t="str">
        <f t="shared" si="30"/>
        <v>2Q15</v>
      </c>
      <c r="G336" s="218">
        <v>42107</v>
      </c>
      <c r="H336" s="217">
        <v>3.1212</v>
      </c>
    </row>
    <row r="337" spans="2:8">
      <c r="B337" s="217" t="str">
        <f t="shared" si="27"/>
        <v>2Q</v>
      </c>
      <c r="C337" s="217">
        <f t="shared" si="31"/>
        <v>4</v>
      </c>
      <c r="D337" s="217" t="str">
        <f t="shared" si="28"/>
        <v>15</v>
      </c>
      <c r="E337">
        <f t="shared" si="29"/>
        <v>2015</v>
      </c>
      <c r="F337" s="217" t="str">
        <f t="shared" si="30"/>
        <v>2Q15</v>
      </c>
      <c r="G337" s="218">
        <v>42108</v>
      </c>
      <c r="H337" s="217">
        <v>3.0634000000000001</v>
      </c>
    </row>
    <row r="338" spans="2:8">
      <c r="B338" s="217" t="str">
        <f t="shared" si="27"/>
        <v>2Q</v>
      </c>
      <c r="C338" s="217">
        <f t="shared" si="31"/>
        <v>4</v>
      </c>
      <c r="D338" s="217" t="str">
        <f t="shared" si="28"/>
        <v>15</v>
      </c>
      <c r="E338">
        <f t="shared" si="29"/>
        <v>2015</v>
      </c>
      <c r="F338" s="217" t="str">
        <f t="shared" si="30"/>
        <v>2Q15</v>
      </c>
      <c r="G338" s="218">
        <v>42109</v>
      </c>
      <c r="H338" s="217">
        <v>3.0293999999999999</v>
      </c>
    </row>
    <row r="339" spans="2:8">
      <c r="B339" s="217" t="str">
        <f t="shared" si="27"/>
        <v>2Q</v>
      </c>
      <c r="C339" s="217">
        <f t="shared" si="31"/>
        <v>4</v>
      </c>
      <c r="D339" s="217" t="str">
        <f t="shared" si="28"/>
        <v>15</v>
      </c>
      <c r="E339">
        <f t="shared" si="29"/>
        <v>2015</v>
      </c>
      <c r="F339" s="217" t="str">
        <f t="shared" si="30"/>
        <v>2Q15</v>
      </c>
      <c r="G339" s="218">
        <v>42110</v>
      </c>
      <c r="H339" s="217">
        <v>3.0221</v>
      </c>
    </row>
    <row r="340" spans="2:8">
      <c r="B340" s="217" t="str">
        <f t="shared" si="27"/>
        <v>2Q</v>
      </c>
      <c r="C340" s="217">
        <f t="shared" si="31"/>
        <v>4</v>
      </c>
      <c r="D340" s="217" t="str">
        <f t="shared" si="28"/>
        <v>15</v>
      </c>
      <c r="E340">
        <f t="shared" si="29"/>
        <v>2015</v>
      </c>
      <c r="F340" s="217" t="str">
        <f t="shared" si="30"/>
        <v>2Q15</v>
      </c>
      <c r="G340" s="218">
        <v>42111</v>
      </c>
      <c r="H340" s="217">
        <v>3.0409000000000002</v>
      </c>
    </row>
    <row r="341" spans="2:8">
      <c r="B341" s="217" t="str">
        <f t="shared" si="27"/>
        <v>2Q</v>
      </c>
      <c r="C341" s="217">
        <f t="shared" si="31"/>
        <v>4</v>
      </c>
      <c r="D341" s="217" t="str">
        <f t="shared" si="28"/>
        <v>15</v>
      </c>
      <c r="E341">
        <f t="shared" si="29"/>
        <v>2015</v>
      </c>
      <c r="F341" s="217" t="str">
        <f t="shared" si="30"/>
        <v>2Q15</v>
      </c>
      <c r="G341" s="218">
        <v>42114</v>
      </c>
      <c r="H341" s="217">
        <v>3.0329999999999999</v>
      </c>
    </row>
    <row r="342" spans="2:8">
      <c r="B342" s="217" t="str">
        <f t="shared" si="27"/>
        <v>2Q</v>
      </c>
      <c r="C342" s="217">
        <f t="shared" si="31"/>
        <v>4</v>
      </c>
      <c r="D342" s="217" t="str">
        <f t="shared" si="28"/>
        <v>15</v>
      </c>
      <c r="E342">
        <f t="shared" si="29"/>
        <v>2015</v>
      </c>
      <c r="F342" s="217" t="str">
        <f t="shared" si="30"/>
        <v>2Q15</v>
      </c>
      <c r="G342" s="218">
        <v>42115</v>
      </c>
      <c r="H342" s="217">
        <v>3.0339999999999998</v>
      </c>
    </row>
    <row r="343" spans="2:8">
      <c r="B343" s="217" t="str">
        <f t="shared" si="27"/>
        <v>2Q</v>
      </c>
      <c r="C343" s="217">
        <f t="shared" si="31"/>
        <v>4</v>
      </c>
      <c r="D343" s="217" t="str">
        <f t="shared" si="28"/>
        <v>15</v>
      </c>
      <c r="E343">
        <f t="shared" si="29"/>
        <v>2015</v>
      </c>
      <c r="F343" s="217" t="str">
        <f t="shared" si="30"/>
        <v>2Q15</v>
      </c>
      <c r="G343" s="218">
        <v>42116</v>
      </c>
      <c r="H343" s="217">
        <v>3.0112999999999999</v>
      </c>
    </row>
    <row r="344" spans="2:8">
      <c r="B344" s="217" t="str">
        <f t="shared" si="27"/>
        <v>2Q</v>
      </c>
      <c r="C344" s="217">
        <f t="shared" si="31"/>
        <v>4</v>
      </c>
      <c r="D344" s="217" t="str">
        <f t="shared" si="28"/>
        <v>15</v>
      </c>
      <c r="E344">
        <f t="shared" si="29"/>
        <v>2015</v>
      </c>
      <c r="F344" s="217" t="str">
        <f t="shared" si="30"/>
        <v>2Q15</v>
      </c>
      <c r="G344" s="218">
        <v>42117</v>
      </c>
      <c r="H344" s="217">
        <v>2.9706999999999999</v>
      </c>
    </row>
    <row r="345" spans="2:8">
      <c r="B345" s="217" t="str">
        <f t="shared" si="27"/>
        <v>2Q</v>
      </c>
      <c r="C345" s="217">
        <f t="shared" si="31"/>
        <v>4</v>
      </c>
      <c r="D345" s="217" t="str">
        <f t="shared" si="28"/>
        <v>15</v>
      </c>
      <c r="E345">
        <f t="shared" si="29"/>
        <v>2015</v>
      </c>
      <c r="F345" s="217" t="str">
        <f t="shared" si="30"/>
        <v>2Q15</v>
      </c>
      <c r="G345" s="218">
        <v>42118</v>
      </c>
      <c r="H345" s="217">
        <v>2.9517000000000002</v>
      </c>
    </row>
    <row r="346" spans="2:8">
      <c r="B346" s="217" t="str">
        <f t="shared" si="27"/>
        <v>2Q</v>
      </c>
      <c r="C346" s="217">
        <f t="shared" si="31"/>
        <v>4</v>
      </c>
      <c r="D346" s="217" t="str">
        <f t="shared" si="28"/>
        <v>15</v>
      </c>
      <c r="E346">
        <f t="shared" si="29"/>
        <v>2015</v>
      </c>
      <c r="F346" s="217" t="str">
        <f t="shared" si="30"/>
        <v>2Q15</v>
      </c>
      <c r="G346" s="218">
        <v>42121</v>
      </c>
      <c r="H346" s="217">
        <v>2.9173</v>
      </c>
    </row>
    <row r="347" spans="2:8">
      <c r="B347" s="217" t="str">
        <f t="shared" si="27"/>
        <v>2Q</v>
      </c>
      <c r="C347" s="217">
        <f t="shared" si="31"/>
        <v>4</v>
      </c>
      <c r="D347" s="217" t="str">
        <f t="shared" si="28"/>
        <v>15</v>
      </c>
      <c r="E347">
        <f t="shared" si="29"/>
        <v>2015</v>
      </c>
      <c r="F347" s="217" t="str">
        <f t="shared" si="30"/>
        <v>2Q15</v>
      </c>
      <c r="G347" s="218">
        <v>42122</v>
      </c>
      <c r="H347" s="217">
        <v>2.9363999999999999</v>
      </c>
    </row>
    <row r="348" spans="2:8">
      <c r="B348" s="217" t="str">
        <f t="shared" si="27"/>
        <v>2Q</v>
      </c>
      <c r="C348" s="217">
        <f t="shared" si="31"/>
        <v>4</v>
      </c>
      <c r="D348" s="217" t="str">
        <f t="shared" si="28"/>
        <v>15</v>
      </c>
      <c r="E348">
        <f t="shared" si="29"/>
        <v>2015</v>
      </c>
      <c r="F348" s="217" t="str">
        <f t="shared" si="30"/>
        <v>2Q15</v>
      </c>
      <c r="G348" s="218">
        <v>42123</v>
      </c>
      <c r="H348" s="217">
        <v>2.9611999999999998</v>
      </c>
    </row>
    <row r="349" spans="2:8">
      <c r="B349" s="217" t="str">
        <f t="shared" si="27"/>
        <v>2Q</v>
      </c>
      <c r="C349" s="217">
        <f t="shared" si="31"/>
        <v>4</v>
      </c>
      <c r="D349" s="217" t="str">
        <f t="shared" si="28"/>
        <v>15</v>
      </c>
      <c r="E349">
        <f t="shared" si="29"/>
        <v>2015</v>
      </c>
      <c r="F349" s="217" t="str">
        <f t="shared" si="30"/>
        <v>2Q15</v>
      </c>
      <c r="G349" s="218">
        <v>42124</v>
      </c>
      <c r="H349" s="217">
        <v>3.0145</v>
      </c>
    </row>
    <row r="350" spans="2:8">
      <c r="B350" s="217" t="str">
        <f t="shared" si="27"/>
        <v>2Q</v>
      </c>
      <c r="C350" s="217">
        <f t="shared" si="31"/>
        <v>5</v>
      </c>
      <c r="D350" s="217" t="str">
        <f t="shared" si="28"/>
        <v>15</v>
      </c>
      <c r="E350">
        <f t="shared" si="29"/>
        <v>2015</v>
      </c>
      <c r="F350" s="217" t="str">
        <f t="shared" si="30"/>
        <v>2Q15</v>
      </c>
      <c r="G350" s="218">
        <v>42125</v>
      </c>
      <c r="H350" s="217">
        <v>3.0146000000000002</v>
      </c>
    </row>
    <row r="351" spans="2:8">
      <c r="B351" s="217" t="str">
        <f t="shared" si="27"/>
        <v>2Q</v>
      </c>
      <c r="C351" s="217">
        <f t="shared" si="31"/>
        <v>5</v>
      </c>
      <c r="D351" s="217" t="str">
        <f t="shared" si="28"/>
        <v>15</v>
      </c>
      <c r="E351">
        <f t="shared" si="29"/>
        <v>2015</v>
      </c>
      <c r="F351" s="217" t="str">
        <f t="shared" si="30"/>
        <v>2Q15</v>
      </c>
      <c r="G351" s="218">
        <v>42128</v>
      </c>
      <c r="H351" s="217">
        <v>3.0863999999999998</v>
      </c>
    </row>
    <row r="352" spans="2:8">
      <c r="B352" s="217" t="str">
        <f t="shared" si="27"/>
        <v>2Q</v>
      </c>
      <c r="C352" s="217">
        <f t="shared" si="31"/>
        <v>5</v>
      </c>
      <c r="D352" s="217" t="str">
        <f t="shared" si="28"/>
        <v>15</v>
      </c>
      <c r="E352">
        <f t="shared" si="29"/>
        <v>2015</v>
      </c>
      <c r="F352" s="217" t="str">
        <f t="shared" si="30"/>
        <v>2Q15</v>
      </c>
      <c r="G352" s="218">
        <v>42129</v>
      </c>
      <c r="H352" s="217">
        <v>3.0535999999999999</v>
      </c>
    </row>
    <row r="353" spans="2:8">
      <c r="B353" s="217" t="str">
        <f t="shared" si="27"/>
        <v>2Q</v>
      </c>
      <c r="C353" s="217">
        <f t="shared" si="31"/>
        <v>5</v>
      </c>
      <c r="D353" s="217" t="str">
        <f t="shared" si="28"/>
        <v>15</v>
      </c>
      <c r="E353">
        <f t="shared" si="29"/>
        <v>2015</v>
      </c>
      <c r="F353" s="217" t="str">
        <f t="shared" si="30"/>
        <v>2Q15</v>
      </c>
      <c r="G353" s="218">
        <v>42130</v>
      </c>
      <c r="H353" s="217">
        <v>3.0333000000000001</v>
      </c>
    </row>
    <row r="354" spans="2:8">
      <c r="B354" s="217" t="str">
        <f t="shared" si="27"/>
        <v>2Q</v>
      </c>
      <c r="C354" s="217">
        <f t="shared" si="31"/>
        <v>5</v>
      </c>
      <c r="D354" s="217" t="str">
        <f t="shared" si="28"/>
        <v>15</v>
      </c>
      <c r="E354">
        <f t="shared" si="29"/>
        <v>2015</v>
      </c>
      <c r="F354" s="217" t="str">
        <f t="shared" si="30"/>
        <v>2Q15</v>
      </c>
      <c r="G354" s="218">
        <v>42131</v>
      </c>
      <c r="H354" s="217">
        <v>3.0259999999999998</v>
      </c>
    </row>
    <row r="355" spans="2:8">
      <c r="B355" s="217" t="str">
        <f t="shared" si="27"/>
        <v>2Q</v>
      </c>
      <c r="C355" s="217">
        <f t="shared" si="31"/>
        <v>5</v>
      </c>
      <c r="D355" s="217" t="str">
        <f t="shared" si="28"/>
        <v>15</v>
      </c>
      <c r="E355">
        <f t="shared" si="29"/>
        <v>2015</v>
      </c>
      <c r="F355" s="217" t="str">
        <f t="shared" si="30"/>
        <v>2Q15</v>
      </c>
      <c r="G355" s="218">
        <v>42132</v>
      </c>
      <c r="H355" s="217">
        <v>2.9733000000000001</v>
      </c>
    </row>
    <row r="356" spans="2:8">
      <c r="B356" s="217" t="str">
        <f t="shared" si="27"/>
        <v>2Q</v>
      </c>
      <c r="C356" s="217">
        <f t="shared" si="31"/>
        <v>5</v>
      </c>
      <c r="D356" s="217" t="str">
        <f t="shared" si="28"/>
        <v>15</v>
      </c>
      <c r="E356">
        <f t="shared" si="29"/>
        <v>2015</v>
      </c>
      <c r="F356" s="217" t="str">
        <f t="shared" si="30"/>
        <v>2Q15</v>
      </c>
      <c r="G356" s="218">
        <v>42135</v>
      </c>
      <c r="H356" s="217">
        <v>3.0613999999999999</v>
      </c>
    </row>
    <row r="357" spans="2:8">
      <c r="B357" s="217" t="str">
        <f t="shared" si="27"/>
        <v>2Q</v>
      </c>
      <c r="C357" s="217">
        <f t="shared" si="31"/>
        <v>5</v>
      </c>
      <c r="D357" s="217" t="str">
        <f t="shared" si="28"/>
        <v>15</v>
      </c>
      <c r="E357">
        <f t="shared" si="29"/>
        <v>2015</v>
      </c>
      <c r="F357" s="217" t="str">
        <f t="shared" si="30"/>
        <v>2Q15</v>
      </c>
      <c r="G357" s="218">
        <v>42136</v>
      </c>
      <c r="H357" s="217">
        <v>3.0206</v>
      </c>
    </row>
    <row r="358" spans="2:8">
      <c r="B358" s="217" t="str">
        <f t="shared" si="27"/>
        <v>2Q</v>
      </c>
      <c r="C358" s="217">
        <f t="shared" si="31"/>
        <v>5</v>
      </c>
      <c r="D358" s="217" t="str">
        <f t="shared" si="28"/>
        <v>15</v>
      </c>
      <c r="E358">
        <f t="shared" si="29"/>
        <v>2015</v>
      </c>
      <c r="F358" s="217" t="str">
        <f t="shared" si="30"/>
        <v>2Q15</v>
      </c>
      <c r="G358" s="218">
        <v>42137</v>
      </c>
      <c r="H358" s="217">
        <v>3.0402999999999998</v>
      </c>
    </row>
    <row r="359" spans="2:8">
      <c r="B359" s="217" t="str">
        <f t="shared" si="27"/>
        <v>2Q</v>
      </c>
      <c r="C359" s="217">
        <f t="shared" si="31"/>
        <v>5</v>
      </c>
      <c r="D359" s="217" t="str">
        <f t="shared" si="28"/>
        <v>15</v>
      </c>
      <c r="E359">
        <f t="shared" si="29"/>
        <v>2015</v>
      </c>
      <c r="F359" s="217" t="str">
        <f t="shared" si="30"/>
        <v>2Q15</v>
      </c>
      <c r="G359" s="218">
        <v>42138</v>
      </c>
      <c r="H359" s="217">
        <v>2.9935</v>
      </c>
    </row>
    <row r="360" spans="2:8">
      <c r="B360" s="217" t="str">
        <f t="shared" si="27"/>
        <v>2Q</v>
      </c>
      <c r="C360" s="217">
        <f t="shared" si="31"/>
        <v>5</v>
      </c>
      <c r="D360" s="217" t="str">
        <f t="shared" si="28"/>
        <v>15</v>
      </c>
      <c r="E360">
        <f t="shared" si="29"/>
        <v>2015</v>
      </c>
      <c r="F360" s="217" t="str">
        <f t="shared" si="30"/>
        <v>2Q15</v>
      </c>
      <c r="G360" s="218">
        <v>42139</v>
      </c>
      <c r="H360" s="217">
        <v>2.9971999999999999</v>
      </c>
    </row>
    <row r="361" spans="2:8">
      <c r="B361" s="217" t="str">
        <f t="shared" si="27"/>
        <v>2Q</v>
      </c>
      <c r="C361" s="217">
        <f t="shared" si="31"/>
        <v>5</v>
      </c>
      <c r="D361" s="217" t="str">
        <f t="shared" si="28"/>
        <v>15</v>
      </c>
      <c r="E361">
        <f t="shared" si="29"/>
        <v>2015</v>
      </c>
      <c r="F361" s="217" t="str">
        <f t="shared" si="30"/>
        <v>2Q15</v>
      </c>
      <c r="G361" s="218">
        <v>42142</v>
      </c>
      <c r="H361" s="217">
        <v>3.0076000000000001</v>
      </c>
    </row>
    <row r="362" spans="2:8">
      <c r="B362" s="217" t="str">
        <f t="shared" si="27"/>
        <v>2Q</v>
      </c>
      <c r="C362" s="217">
        <f t="shared" si="31"/>
        <v>5</v>
      </c>
      <c r="D362" s="217" t="str">
        <f t="shared" si="28"/>
        <v>15</v>
      </c>
      <c r="E362">
        <f t="shared" si="29"/>
        <v>2015</v>
      </c>
      <c r="F362" s="217" t="str">
        <f t="shared" si="30"/>
        <v>2Q15</v>
      </c>
      <c r="G362" s="218">
        <v>42143</v>
      </c>
      <c r="H362" s="217">
        <v>3.0394000000000001</v>
      </c>
    </row>
    <row r="363" spans="2:8">
      <c r="B363" s="217" t="str">
        <f t="shared" si="27"/>
        <v>2Q</v>
      </c>
      <c r="C363" s="217">
        <f t="shared" si="31"/>
        <v>5</v>
      </c>
      <c r="D363" s="217" t="str">
        <f t="shared" si="28"/>
        <v>15</v>
      </c>
      <c r="E363">
        <f t="shared" si="29"/>
        <v>2015</v>
      </c>
      <c r="F363" s="217" t="str">
        <f t="shared" si="30"/>
        <v>2Q15</v>
      </c>
      <c r="G363" s="218">
        <v>42144</v>
      </c>
      <c r="H363" s="217">
        <v>3.0026999999999999</v>
      </c>
    </row>
    <row r="364" spans="2:8">
      <c r="B364" s="217" t="str">
        <f t="shared" si="27"/>
        <v>2Q</v>
      </c>
      <c r="C364" s="217">
        <f t="shared" si="31"/>
        <v>5</v>
      </c>
      <c r="D364" s="217" t="str">
        <f t="shared" si="28"/>
        <v>15</v>
      </c>
      <c r="E364">
        <f t="shared" si="29"/>
        <v>2015</v>
      </c>
      <c r="F364" s="217" t="str">
        <f t="shared" si="30"/>
        <v>2Q15</v>
      </c>
      <c r="G364" s="218">
        <v>42145</v>
      </c>
      <c r="H364" s="217">
        <v>3.0379</v>
      </c>
    </row>
    <row r="365" spans="2:8">
      <c r="B365" s="217" t="str">
        <f t="shared" si="27"/>
        <v>2Q</v>
      </c>
      <c r="C365" s="217">
        <f t="shared" si="31"/>
        <v>5</v>
      </c>
      <c r="D365" s="217" t="str">
        <f t="shared" si="28"/>
        <v>15</v>
      </c>
      <c r="E365">
        <f t="shared" si="29"/>
        <v>2015</v>
      </c>
      <c r="F365" s="217" t="str">
        <f t="shared" si="30"/>
        <v>2Q15</v>
      </c>
      <c r="G365" s="218">
        <v>42146</v>
      </c>
      <c r="H365" s="217">
        <v>3.0949</v>
      </c>
    </row>
    <row r="366" spans="2:8">
      <c r="B366" s="217" t="str">
        <f t="shared" si="27"/>
        <v>2Q</v>
      </c>
      <c r="C366" s="217">
        <f t="shared" si="31"/>
        <v>5</v>
      </c>
      <c r="D366" s="217" t="str">
        <f t="shared" si="28"/>
        <v>15</v>
      </c>
      <c r="E366">
        <f t="shared" si="29"/>
        <v>2015</v>
      </c>
      <c r="F366" s="217" t="str">
        <f t="shared" si="30"/>
        <v>2Q15</v>
      </c>
      <c r="G366" s="218">
        <v>42149</v>
      </c>
      <c r="H366" s="217">
        <v>3.0968</v>
      </c>
    </row>
    <row r="367" spans="2:8">
      <c r="B367" s="217" t="str">
        <f t="shared" si="27"/>
        <v>2Q</v>
      </c>
      <c r="C367" s="217">
        <f t="shared" si="31"/>
        <v>5</v>
      </c>
      <c r="D367" s="217" t="str">
        <f t="shared" si="28"/>
        <v>15</v>
      </c>
      <c r="E367">
        <f t="shared" si="29"/>
        <v>2015</v>
      </c>
      <c r="F367" s="217" t="str">
        <f t="shared" si="30"/>
        <v>2Q15</v>
      </c>
      <c r="G367" s="218">
        <v>42150</v>
      </c>
      <c r="H367" s="217">
        <v>3.1536</v>
      </c>
    </row>
    <row r="368" spans="2:8">
      <c r="B368" s="217" t="str">
        <f t="shared" si="27"/>
        <v>2Q</v>
      </c>
      <c r="C368" s="217">
        <f t="shared" si="31"/>
        <v>5</v>
      </c>
      <c r="D368" s="217" t="str">
        <f t="shared" si="28"/>
        <v>15</v>
      </c>
      <c r="E368">
        <f t="shared" si="29"/>
        <v>2015</v>
      </c>
      <c r="F368" s="217" t="str">
        <f t="shared" si="30"/>
        <v>2Q15</v>
      </c>
      <c r="G368" s="218">
        <v>42151</v>
      </c>
      <c r="H368" s="217">
        <v>3.1408999999999998</v>
      </c>
    </row>
    <row r="369" spans="2:8">
      <c r="B369" s="217" t="str">
        <f t="shared" si="27"/>
        <v>2Q</v>
      </c>
      <c r="C369" s="217">
        <f t="shared" si="31"/>
        <v>5</v>
      </c>
      <c r="D369" s="217" t="str">
        <f t="shared" si="28"/>
        <v>15</v>
      </c>
      <c r="E369">
        <f t="shared" si="29"/>
        <v>2015</v>
      </c>
      <c r="F369" s="217" t="str">
        <f t="shared" si="30"/>
        <v>2Q15</v>
      </c>
      <c r="G369" s="218">
        <v>42152</v>
      </c>
      <c r="H369" s="217">
        <v>3.1623999999999999</v>
      </c>
    </row>
    <row r="370" spans="2:8">
      <c r="B370" s="217" t="str">
        <f t="shared" si="27"/>
        <v>2Q</v>
      </c>
      <c r="C370" s="217">
        <f t="shared" si="31"/>
        <v>5</v>
      </c>
      <c r="D370" s="217" t="str">
        <f t="shared" si="28"/>
        <v>15</v>
      </c>
      <c r="E370">
        <f t="shared" si="29"/>
        <v>2015</v>
      </c>
      <c r="F370" s="217" t="str">
        <f t="shared" si="30"/>
        <v>2Q15</v>
      </c>
      <c r="G370" s="218">
        <v>42153</v>
      </c>
      <c r="H370" s="217">
        <v>3.1798000000000002</v>
      </c>
    </row>
    <row r="371" spans="2:8">
      <c r="B371" s="217" t="str">
        <f t="shared" si="27"/>
        <v>2Q</v>
      </c>
      <c r="C371" s="217">
        <f t="shared" si="31"/>
        <v>6</v>
      </c>
      <c r="D371" s="217" t="str">
        <f t="shared" si="28"/>
        <v>15</v>
      </c>
      <c r="E371">
        <f t="shared" si="29"/>
        <v>2015</v>
      </c>
      <c r="F371" s="217" t="str">
        <f t="shared" si="30"/>
        <v>2Q15</v>
      </c>
      <c r="G371" s="218">
        <v>42156</v>
      </c>
      <c r="H371" s="217">
        <v>3.1718000000000002</v>
      </c>
    </row>
    <row r="372" spans="2:8">
      <c r="B372" s="217" t="str">
        <f t="shared" si="27"/>
        <v>2Q</v>
      </c>
      <c r="C372" s="217">
        <f t="shared" si="31"/>
        <v>6</v>
      </c>
      <c r="D372" s="217" t="str">
        <f t="shared" si="28"/>
        <v>15</v>
      </c>
      <c r="E372">
        <f t="shared" si="29"/>
        <v>2015</v>
      </c>
      <c r="F372" s="217" t="str">
        <f t="shared" si="30"/>
        <v>2Q15</v>
      </c>
      <c r="G372" s="218">
        <v>42157</v>
      </c>
      <c r="H372" s="217">
        <v>3.1305999999999998</v>
      </c>
    </row>
    <row r="373" spans="2:8">
      <c r="B373" s="217" t="str">
        <f t="shared" si="27"/>
        <v>2Q</v>
      </c>
      <c r="C373" s="217">
        <f t="shared" si="31"/>
        <v>6</v>
      </c>
      <c r="D373" s="217" t="str">
        <f t="shared" si="28"/>
        <v>15</v>
      </c>
      <c r="E373">
        <f t="shared" si="29"/>
        <v>2015</v>
      </c>
      <c r="F373" s="217" t="str">
        <f t="shared" si="30"/>
        <v>2Q15</v>
      </c>
      <c r="G373" s="218">
        <v>42158</v>
      </c>
      <c r="H373" s="217">
        <v>3.1345000000000001</v>
      </c>
    </row>
    <row r="374" spans="2:8">
      <c r="B374" s="217" t="str">
        <f t="shared" si="27"/>
        <v>2Q</v>
      </c>
      <c r="C374" s="217">
        <f t="shared" si="31"/>
        <v>6</v>
      </c>
      <c r="D374" s="217" t="str">
        <f t="shared" si="28"/>
        <v>15</v>
      </c>
      <c r="E374">
        <f t="shared" si="29"/>
        <v>2015</v>
      </c>
      <c r="F374" s="217" t="str">
        <f t="shared" si="30"/>
        <v>2Q15</v>
      </c>
      <c r="G374" s="218">
        <v>42159</v>
      </c>
      <c r="H374" s="217">
        <v>3.1417999999999999</v>
      </c>
    </row>
    <row r="375" spans="2:8">
      <c r="B375" s="217" t="str">
        <f t="shared" si="27"/>
        <v>2Q</v>
      </c>
      <c r="C375" s="217">
        <f t="shared" si="31"/>
        <v>6</v>
      </c>
      <c r="D375" s="217" t="str">
        <f t="shared" si="28"/>
        <v>15</v>
      </c>
      <c r="E375">
        <f t="shared" si="29"/>
        <v>2015</v>
      </c>
      <c r="F375" s="217" t="str">
        <f t="shared" si="30"/>
        <v>2Q15</v>
      </c>
      <c r="G375" s="218">
        <v>42160</v>
      </c>
      <c r="H375" s="217">
        <v>3.1438999999999999</v>
      </c>
    </row>
    <row r="376" spans="2:8">
      <c r="B376" s="217" t="str">
        <f t="shared" si="27"/>
        <v>2Q</v>
      </c>
      <c r="C376" s="217">
        <f t="shared" si="31"/>
        <v>6</v>
      </c>
      <c r="D376" s="217" t="str">
        <f t="shared" si="28"/>
        <v>15</v>
      </c>
      <c r="E376">
        <f t="shared" si="29"/>
        <v>2015</v>
      </c>
      <c r="F376" s="217" t="str">
        <f t="shared" si="30"/>
        <v>2Q15</v>
      </c>
      <c r="G376" s="218">
        <v>42163</v>
      </c>
      <c r="H376" s="217">
        <v>3.1132</v>
      </c>
    </row>
    <row r="377" spans="2:8">
      <c r="B377" s="217" t="str">
        <f t="shared" si="27"/>
        <v>2Q</v>
      </c>
      <c r="C377" s="217">
        <f t="shared" si="31"/>
        <v>6</v>
      </c>
      <c r="D377" s="217" t="str">
        <f t="shared" si="28"/>
        <v>15</v>
      </c>
      <c r="E377">
        <f t="shared" si="29"/>
        <v>2015</v>
      </c>
      <c r="F377" s="217" t="str">
        <f t="shared" si="30"/>
        <v>2Q15</v>
      </c>
      <c r="G377" s="218">
        <v>42164</v>
      </c>
      <c r="H377" s="217">
        <v>3.0966</v>
      </c>
    </row>
    <row r="378" spans="2:8">
      <c r="B378" s="217" t="str">
        <f t="shared" si="27"/>
        <v>2Q</v>
      </c>
      <c r="C378" s="217">
        <f t="shared" si="31"/>
        <v>6</v>
      </c>
      <c r="D378" s="217" t="str">
        <f t="shared" si="28"/>
        <v>15</v>
      </c>
      <c r="E378">
        <f t="shared" si="29"/>
        <v>2015</v>
      </c>
      <c r="F378" s="217" t="str">
        <f t="shared" si="30"/>
        <v>2Q15</v>
      </c>
      <c r="G378" s="218">
        <v>42165</v>
      </c>
      <c r="H378" s="217">
        <v>3.1187</v>
      </c>
    </row>
    <row r="379" spans="2:8">
      <c r="B379" s="217" t="str">
        <f t="shared" si="27"/>
        <v>2Q</v>
      </c>
      <c r="C379" s="217">
        <f t="shared" si="31"/>
        <v>6</v>
      </c>
      <c r="D379" s="217" t="str">
        <f t="shared" si="28"/>
        <v>15</v>
      </c>
      <c r="E379">
        <f t="shared" si="29"/>
        <v>2015</v>
      </c>
      <c r="F379" s="217" t="str">
        <f t="shared" si="30"/>
        <v>2Q15</v>
      </c>
      <c r="G379" s="218">
        <v>42166</v>
      </c>
      <c r="H379" s="217">
        <v>3.0895999999999999</v>
      </c>
    </row>
    <row r="380" spans="2:8">
      <c r="B380" s="217" t="str">
        <f t="shared" si="27"/>
        <v>2Q</v>
      </c>
      <c r="C380" s="217">
        <f t="shared" si="31"/>
        <v>6</v>
      </c>
      <c r="D380" s="217" t="str">
        <f t="shared" si="28"/>
        <v>15</v>
      </c>
      <c r="E380">
        <f t="shared" si="29"/>
        <v>2015</v>
      </c>
      <c r="F380" s="217" t="str">
        <f t="shared" si="30"/>
        <v>2Q15</v>
      </c>
      <c r="G380" s="218">
        <v>42167</v>
      </c>
      <c r="H380" s="217">
        <v>3.1185</v>
      </c>
    </row>
    <row r="381" spans="2:8">
      <c r="B381" s="217" t="str">
        <f t="shared" si="27"/>
        <v>2Q</v>
      </c>
      <c r="C381" s="217">
        <f t="shared" si="31"/>
        <v>6</v>
      </c>
      <c r="D381" s="217" t="str">
        <f t="shared" si="28"/>
        <v>15</v>
      </c>
      <c r="E381">
        <f t="shared" si="29"/>
        <v>2015</v>
      </c>
      <c r="F381" s="217" t="str">
        <f t="shared" si="30"/>
        <v>2Q15</v>
      </c>
      <c r="G381" s="218">
        <v>42170</v>
      </c>
      <c r="H381" s="217">
        <v>3.13</v>
      </c>
    </row>
    <row r="382" spans="2:8">
      <c r="B382" s="217" t="str">
        <f t="shared" si="27"/>
        <v>2Q</v>
      </c>
      <c r="C382" s="217">
        <f t="shared" si="31"/>
        <v>6</v>
      </c>
      <c r="D382" s="217" t="str">
        <f t="shared" si="28"/>
        <v>15</v>
      </c>
      <c r="E382">
        <f t="shared" si="29"/>
        <v>2015</v>
      </c>
      <c r="F382" s="217" t="str">
        <f t="shared" si="30"/>
        <v>2Q15</v>
      </c>
      <c r="G382" s="218">
        <v>42171</v>
      </c>
      <c r="H382" s="217">
        <v>3.0884999999999998</v>
      </c>
    </row>
    <row r="383" spans="2:8">
      <c r="B383" s="217" t="str">
        <f t="shared" si="27"/>
        <v>2Q</v>
      </c>
      <c r="C383" s="217">
        <f t="shared" si="31"/>
        <v>6</v>
      </c>
      <c r="D383" s="217" t="str">
        <f t="shared" si="28"/>
        <v>15</v>
      </c>
      <c r="E383">
        <f t="shared" si="29"/>
        <v>2015</v>
      </c>
      <c r="F383" s="217" t="str">
        <f t="shared" si="30"/>
        <v>2Q15</v>
      </c>
      <c r="G383" s="218">
        <v>42172</v>
      </c>
      <c r="H383" s="217">
        <v>3.0569999999999999</v>
      </c>
    </row>
    <row r="384" spans="2:8">
      <c r="B384" s="217" t="str">
        <f t="shared" si="27"/>
        <v>2Q</v>
      </c>
      <c r="C384" s="217">
        <f t="shared" si="31"/>
        <v>6</v>
      </c>
      <c r="D384" s="217" t="str">
        <f t="shared" si="28"/>
        <v>15</v>
      </c>
      <c r="E384">
        <f t="shared" si="29"/>
        <v>2015</v>
      </c>
      <c r="F384" s="217" t="str">
        <f t="shared" si="30"/>
        <v>2Q15</v>
      </c>
      <c r="G384" s="218">
        <v>42173</v>
      </c>
      <c r="H384" s="217">
        <v>3.0605000000000002</v>
      </c>
    </row>
    <row r="385" spans="2:8">
      <c r="B385" s="217" t="str">
        <f t="shared" si="27"/>
        <v>2Q</v>
      </c>
      <c r="C385" s="217">
        <f t="shared" si="31"/>
        <v>6</v>
      </c>
      <c r="D385" s="217" t="str">
        <f t="shared" si="28"/>
        <v>15</v>
      </c>
      <c r="E385">
        <f t="shared" si="29"/>
        <v>2015</v>
      </c>
      <c r="F385" s="217" t="str">
        <f t="shared" si="30"/>
        <v>2Q15</v>
      </c>
      <c r="G385" s="218">
        <v>42174</v>
      </c>
      <c r="H385" s="217">
        <v>3.0975999999999999</v>
      </c>
    </row>
    <row r="386" spans="2:8">
      <c r="B386" s="217" t="str">
        <f t="shared" si="27"/>
        <v>2Q</v>
      </c>
      <c r="C386" s="217">
        <f t="shared" si="31"/>
        <v>6</v>
      </c>
      <c r="D386" s="217" t="str">
        <f t="shared" si="28"/>
        <v>15</v>
      </c>
      <c r="E386">
        <f t="shared" si="29"/>
        <v>2015</v>
      </c>
      <c r="F386" s="217" t="str">
        <f t="shared" si="30"/>
        <v>2Q15</v>
      </c>
      <c r="G386" s="218">
        <v>42177</v>
      </c>
      <c r="H386" s="217">
        <v>3.0813999999999999</v>
      </c>
    </row>
    <row r="387" spans="2:8">
      <c r="B387" s="217" t="str">
        <f t="shared" ref="B387:B450" si="32">VLOOKUP(C387,$N$3:$O$14,2,0)</f>
        <v>2Q</v>
      </c>
      <c r="C387" s="217">
        <f t="shared" si="31"/>
        <v>6</v>
      </c>
      <c r="D387" s="217" t="str">
        <f t="shared" ref="D387:D450" si="33">RIGHT(E387,2)</f>
        <v>15</v>
      </c>
      <c r="E387">
        <f t="shared" ref="E387:E450" si="34">YEAR(G387)</f>
        <v>2015</v>
      </c>
      <c r="F387" s="217" t="str">
        <f t="shared" ref="F387:F450" si="35">+B387&amp;D387</f>
        <v>2Q15</v>
      </c>
      <c r="G387" s="218">
        <v>42178</v>
      </c>
      <c r="H387" s="217">
        <v>3.0760000000000001</v>
      </c>
    </row>
    <row r="388" spans="2:8">
      <c r="B388" s="217" t="str">
        <f t="shared" si="32"/>
        <v>2Q</v>
      </c>
      <c r="C388" s="217">
        <f t="shared" ref="C388:C451" si="36">MONTH(G388)</f>
        <v>6</v>
      </c>
      <c r="D388" s="217" t="str">
        <f t="shared" si="33"/>
        <v>15</v>
      </c>
      <c r="E388">
        <f t="shared" si="34"/>
        <v>2015</v>
      </c>
      <c r="F388" s="217" t="str">
        <f t="shared" si="35"/>
        <v>2Q15</v>
      </c>
      <c r="G388" s="218">
        <v>42179</v>
      </c>
      <c r="H388" s="217">
        <v>3.0979000000000001</v>
      </c>
    </row>
    <row r="389" spans="2:8">
      <c r="B389" s="217" t="str">
        <f t="shared" si="32"/>
        <v>2Q</v>
      </c>
      <c r="C389" s="217">
        <f t="shared" si="36"/>
        <v>6</v>
      </c>
      <c r="D389" s="217" t="str">
        <f t="shared" si="33"/>
        <v>15</v>
      </c>
      <c r="E389">
        <f t="shared" si="34"/>
        <v>2015</v>
      </c>
      <c r="F389" s="217" t="str">
        <f t="shared" si="35"/>
        <v>2Q15</v>
      </c>
      <c r="G389" s="218">
        <v>42180</v>
      </c>
      <c r="H389" s="217">
        <v>3.1276999999999999</v>
      </c>
    </row>
    <row r="390" spans="2:8">
      <c r="B390" s="217" t="str">
        <f t="shared" si="32"/>
        <v>2Q</v>
      </c>
      <c r="C390" s="217">
        <f t="shared" si="36"/>
        <v>6</v>
      </c>
      <c r="D390" s="217" t="str">
        <f t="shared" si="33"/>
        <v>15</v>
      </c>
      <c r="E390">
        <f t="shared" si="34"/>
        <v>2015</v>
      </c>
      <c r="F390" s="217" t="str">
        <f t="shared" si="35"/>
        <v>2Q15</v>
      </c>
      <c r="G390" s="218">
        <v>42181</v>
      </c>
      <c r="H390" s="217">
        <v>3.1295000000000002</v>
      </c>
    </row>
    <row r="391" spans="2:8">
      <c r="B391" s="217" t="str">
        <f t="shared" si="32"/>
        <v>2Q</v>
      </c>
      <c r="C391" s="217">
        <f t="shared" si="36"/>
        <v>6</v>
      </c>
      <c r="D391" s="217" t="str">
        <f t="shared" si="33"/>
        <v>15</v>
      </c>
      <c r="E391">
        <f t="shared" si="34"/>
        <v>2015</v>
      </c>
      <c r="F391" s="217" t="str">
        <f t="shared" si="35"/>
        <v>2Q15</v>
      </c>
      <c r="G391" s="218">
        <v>42184</v>
      </c>
      <c r="H391" s="217">
        <v>3.1177999999999999</v>
      </c>
    </row>
    <row r="392" spans="2:8">
      <c r="B392" s="217" t="str">
        <f t="shared" si="32"/>
        <v>2Q</v>
      </c>
      <c r="C392" s="217">
        <f t="shared" si="36"/>
        <v>6</v>
      </c>
      <c r="D392" s="217" t="str">
        <f t="shared" si="33"/>
        <v>15</v>
      </c>
      <c r="E392">
        <f t="shared" si="34"/>
        <v>2015</v>
      </c>
      <c r="F392" s="217" t="str">
        <f t="shared" si="35"/>
        <v>2Q15</v>
      </c>
      <c r="G392" s="218">
        <v>42185</v>
      </c>
      <c r="H392" s="217">
        <v>3.1030000000000002</v>
      </c>
    </row>
    <row r="393" spans="2:8">
      <c r="B393" s="217" t="str">
        <f t="shared" si="32"/>
        <v>3Q</v>
      </c>
      <c r="C393" s="217">
        <f t="shared" si="36"/>
        <v>7</v>
      </c>
      <c r="D393" s="217" t="str">
        <f t="shared" si="33"/>
        <v>15</v>
      </c>
      <c r="E393">
        <f t="shared" si="34"/>
        <v>2015</v>
      </c>
      <c r="F393" s="217" t="str">
        <f t="shared" si="35"/>
        <v>3Q15</v>
      </c>
      <c r="G393" s="218">
        <v>42186</v>
      </c>
      <c r="H393" s="217">
        <v>3.1497999999999999</v>
      </c>
    </row>
    <row r="394" spans="2:8">
      <c r="B394" s="217" t="str">
        <f t="shared" si="32"/>
        <v>3Q</v>
      </c>
      <c r="C394" s="217">
        <f t="shared" si="36"/>
        <v>7</v>
      </c>
      <c r="D394" s="217" t="str">
        <f t="shared" si="33"/>
        <v>15</v>
      </c>
      <c r="E394">
        <f t="shared" si="34"/>
        <v>2015</v>
      </c>
      <c r="F394" s="217" t="str">
        <f t="shared" si="35"/>
        <v>3Q15</v>
      </c>
      <c r="G394" s="218">
        <v>42187</v>
      </c>
      <c r="H394" s="217">
        <v>3.0966999999999998</v>
      </c>
    </row>
    <row r="395" spans="2:8">
      <c r="B395" s="217" t="str">
        <f t="shared" si="32"/>
        <v>3Q</v>
      </c>
      <c r="C395" s="217">
        <f t="shared" si="36"/>
        <v>7</v>
      </c>
      <c r="D395" s="217" t="str">
        <f t="shared" si="33"/>
        <v>15</v>
      </c>
      <c r="E395">
        <f t="shared" si="34"/>
        <v>2015</v>
      </c>
      <c r="F395" s="217" t="str">
        <f t="shared" si="35"/>
        <v>3Q15</v>
      </c>
      <c r="G395" s="218">
        <v>42188</v>
      </c>
      <c r="H395" s="217">
        <v>3.1347</v>
      </c>
    </row>
    <row r="396" spans="2:8">
      <c r="B396" s="217" t="str">
        <f t="shared" si="32"/>
        <v>3Q</v>
      </c>
      <c r="C396" s="217">
        <f t="shared" si="36"/>
        <v>7</v>
      </c>
      <c r="D396" s="217" t="str">
        <f t="shared" si="33"/>
        <v>15</v>
      </c>
      <c r="E396">
        <f t="shared" si="34"/>
        <v>2015</v>
      </c>
      <c r="F396" s="217" t="str">
        <f t="shared" si="35"/>
        <v>3Q15</v>
      </c>
      <c r="G396" s="218">
        <v>42191</v>
      </c>
      <c r="H396" s="217">
        <v>3.1391</v>
      </c>
    </row>
    <row r="397" spans="2:8">
      <c r="B397" s="217" t="str">
        <f t="shared" si="32"/>
        <v>3Q</v>
      </c>
      <c r="C397" s="217">
        <f t="shared" si="36"/>
        <v>7</v>
      </c>
      <c r="D397" s="217" t="str">
        <f t="shared" si="33"/>
        <v>15</v>
      </c>
      <c r="E397">
        <f t="shared" si="34"/>
        <v>2015</v>
      </c>
      <c r="F397" s="217" t="str">
        <f t="shared" si="35"/>
        <v>3Q15</v>
      </c>
      <c r="G397" s="218">
        <v>42192</v>
      </c>
      <c r="H397" s="217">
        <v>3.1867000000000001</v>
      </c>
    </row>
    <row r="398" spans="2:8">
      <c r="B398" s="217" t="str">
        <f t="shared" si="32"/>
        <v>3Q</v>
      </c>
      <c r="C398" s="217">
        <f t="shared" si="36"/>
        <v>7</v>
      </c>
      <c r="D398" s="217" t="str">
        <f t="shared" si="33"/>
        <v>15</v>
      </c>
      <c r="E398">
        <f t="shared" si="34"/>
        <v>2015</v>
      </c>
      <c r="F398" s="217" t="str">
        <f t="shared" si="35"/>
        <v>3Q15</v>
      </c>
      <c r="G398" s="218">
        <v>42193</v>
      </c>
      <c r="H398" s="217">
        <v>3.2345999999999999</v>
      </c>
    </row>
    <row r="399" spans="2:8">
      <c r="B399" s="217" t="str">
        <f t="shared" si="32"/>
        <v>3Q</v>
      </c>
      <c r="C399" s="217">
        <f t="shared" si="36"/>
        <v>7</v>
      </c>
      <c r="D399" s="217" t="str">
        <f t="shared" si="33"/>
        <v>15</v>
      </c>
      <c r="E399">
        <f t="shared" si="34"/>
        <v>2015</v>
      </c>
      <c r="F399" s="217" t="str">
        <f t="shared" si="35"/>
        <v>3Q15</v>
      </c>
      <c r="G399" s="218">
        <v>42194</v>
      </c>
      <c r="H399" s="217">
        <v>3.2202999999999999</v>
      </c>
    </row>
    <row r="400" spans="2:8">
      <c r="B400" s="217" t="str">
        <f t="shared" si="32"/>
        <v>3Q</v>
      </c>
      <c r="C400" s="217">
        <f t="shared" si="36"/>
        <v>7</v>
      </c>
      <c r="D400" s="217" t="str">
        <f t="shared" si="33"/>
        <v>15</v>
      </c>
      <c r="E400">
        <f t="shared" si="34"/>
        <v>2015</v>
      </c>
      <c r="F400" s="217" t="str">
        <f t="shared" si="35"/>
        <v>3Q15</v>
      </c>
      <c r="G400" s="218">
        <v>42195</v>
      </c>
      <c r="H400" s="217">
        <v>3.1593</v>
      </c>
    </row>
    <row r="401" spans="2:8">
      <c r="B401" s="217" t="str">
        <f t="shared" si="32"/>
        <v>3Q</v>
      </c>
      <c r="C401" s="217">
        <f t="shared" si="36"/>
        <v>7</v>
      </c>
      <c r="D401" s="217" t="str">
        <f t="shared" si="33"/>
        <v>15</v>
      </c>
      <c r="E401">
        <f t="shared" si="34"/>
        <v>2015</v>
      </c>
      <c r="F401" s="217" t="str">
        <f t="shared" si="35"/>
        <v>3Q15</v>
      </c>
      <c r="G401" s="218">
        <v>42198</v>
      </c>
      <c r="H401" s="217">
        <v>3.1347999999999998</v>
      </c>
    </row>
    <row r="402" spans="2:8">
      <c r="B402" s="217" t="str">
        <f t="shared" si="32"/>
        <v>3Q</v>
      </c>
      <c r="C402" s="217">
        <f t="shared" si="36"/>
        <v>7</v>
      </c>
      <c r="D402" s="217" t="str">
        <f t="shared" si="33"/>
        <v>15</v>
      </c>
      <c r="E402">
        <f t="shared" si="34"/>
        <v>2015</v>
      </c>
      <c r="F402" s="217" t="str">
        <f t="shared" si="35"/>
        <v>3Q15</v>
      </c>
      <c r="G402" s="218">
        <v>42199</v>
      </c>
      <c r="H402" s="217">
        <v>3.1398999999999999</v>
      </c>
    </row>
    <row r="403" spans="2:8">
      <c r="B403" s="217" t="str">
        <f t="shared" si="32"/>
        <v>3Q</v>
      </c>
      <c r="C403" s="217">
        <f t="shared" si="36"/>
        <v>7</v>
      </c>
      <c r="D403" s="217" t="str">
        <f t="shared" si="33"/>
        <v>15</v>
      </c>
      <c r="E403">
        <f t="shared" si="34"/>
        <v>2015</v>
      </c>
      <c r="F403" s="217" t="str">
        <f t="shared" si="35"/>
        <v>3Q15</v>
      </c>
      <c r="G403" s="218">
        <v>42200</v>
      </c>
      <c r="H403" s="217">
        <v>3.1391</v>
      </c>
    </row>
    <row r="404" spans="2:8">
      <c r="B404" s="217" t="str">
        <f t="shared" si="32"/>
        <v>3Q</v>
      </c>
      <c r="C404" s="217">
        <f t="shared" si="36"/>
        <v>7</v>
      </c>
      <c r="D404" s="217" t="str">
        <f t="shared" si="33"/>
        <v>15</v>
      </c>
      <c r="E404">
        <f t="shared" si="34"/>
        <v>2015</v>
      </c>
      <c r="F404" s="217" t="str">
        <f t="shared" si="35"/>
        <v>3Q15</v>
      </c>
      <c r="G404" s="218">
        <v>42201</v>
      </c>
      <c r="H404" s="217">
        <v>3.1587000000000001</v>
      </c>
    </row>
    <row r="405" spans="2:8">
      <c r="B405" s="217" t="str">
        <f t="shared" si="32"/>
        <v>3Q</v>
      </c>
      <c r="C405" s="217">
        <f t="shared" si="36"/>
        <v>7</v>
      </c>
      <c r="D405" s="217" t="str">
        <f t="shared" si="33"/>
        <v>15</v>
      </c>
      <c r="E405">
        <f t="shared" si="34"/>
        <v>2015</v>
      </c>
      <c r="F405" s="217" t="str">
        <f t="shared" si="35"/>
        <v>3Q15</v>
      </c>
      <c r="G405" s="218">
        <v>42202</v>
      </c>
      <c r="H405" s="217">
        <v>3.1880999999999999</v>
      </c>
    </row>
    <row r="406" spans="2:8">
      <c r="B406" s="217" t="str">
        <f t="shared" si="32"/>
        <v>3Q</v>
      </c>
      <c r="C406" s="217">
        <f t="shared" si="36"/>
        <v>7</v>
      </c>
      <c r="D406" s="217" t="str">
        <f t="shared" si="33"/>
        <v>15</v>
      </c>
      <c r="E406">
        <f t="shared" si="34"/>
        <v>2015</v>
      </c>
      <c r="F406" s="217" t="str">
        <f t="shared" si="35"/>
        <v>3Q15</v>
      </c>
      <c r="G406" s="218">
        <v>42205</v>
      </c>
      <c r="H406" s="217">
        <v>3.1981000000000002</v>
      </c>
    </row>
    <row r="407" spans="2:8">
      <c r="B407" s="217" t="str">
        <f t="shared" si="32"/>
        <v>3Q</v>
      </c>
      <c r="C407" s="217">
        <f t="shared" si="36"/>
        <v>7</v>
      </c>
      <c r="D407" s="217" t="str">
        <f t="shared" si="33"/>
        <v>15</v>
      </c>
      <c r="E407">
        <f t="shared" si="34"/>
        <v>2015</v>
      </c>
      <c r="F407" s="217" t="str">
        <f t="shared" si="35"/>
        <v>3Q15</v>
      </c>
      <c r="G407" s="218">
        <v>42206</v>
      </c>
      <c r="H407" s="217">
        <v>3.1717</v>
      </c>
    </row>
    <row r="408" spans="2:8">
      <c r="B408" s="217" t="str">
        <f t="shared" si="32"/>
        <v>3Q</v>
      </c>
      <c r="C408" s="217">
        <f t="shared" si="36"/>
        <v>7</v>
      </c>
      <c r="D408" s="217" t="str">
        <f t="shared" si="33"/>
        <v>15</v>
      </c>
      <c r="E408">
        <f t="shared" si="34"/>
        <v>2015</v>
      </c>
      <c r="F408" s="217" t="str">
        <f t="shared" si="35"/>
        <v>3Q15</v>
      </c>
      <c r="G408" s="218">
        <v>42207</v>
      </c>
      <c r="H408" s="217">
        <v>3.2239</v>
      </c>
    </row>
    <row r="409" spans="2:8">
      <c r="B409" s="217" t="str">
        <f t="shared" si="32"/>
        <v>3Q</v>
      </c>
      <c r="C409" s="217">
        <f t="shared" si="36"/>
        <v>7</v>
      </c>
      <c r="D409" s="217" t="str">
        <f t="shared" si="33"/>
        <v>15</v>
      </c>
      <c r="E409">
        <f t="shared" si="34"/>
        <v>2015</v>
      </c>
      <c r="F409" s="217" t="str">
        <f t="shared" si="35"/>
        <v>3Q15</v>
      </c>
      <c r="G409" s="218">
        <v>42208</v>
      </c>
      <c r="H409" s="217">
        <v>3.286</v>
      </c>
    </row>
    <row r="410" spans="2:8">
      <c r="B410" s="217" t="str">
        <f t="shared" si="32"/>
        <v>3Q</v>
      </c>
      <c r="C410" s="217">
        <f t="shared" si="36"/>
        <v>7</v>
      </c>
      <c r="D410" s="217" t="str">
        <f t="shared" si="33"/>
        <v>15</v>
      </c>
      <c r="E410">
        <f t="shared" si="34"/>
        <v>2015</v>
      </c>
      <c r="F410" s="217" t="str">
        <f t="shared" si="35"/>
        <v>3Q15</v>
      </c>
      <c r="G410" s="218">
        <v>42209</v>
      </c>
      <c r="H410" s="217">
        <v>3.3555999999999999</v>
      </c>
    </row>
    <row r="411" spans="2:8">
      <c r="B411" s="217" t="str">
        <f t="shared" si="32"/>
        <v>3Q</v>
      </c>
      <c r="C411" s="217">
        <f t="shared" si="36"/>
        <v>7</v>
      </c>
      <c r="D411" s="217" t="str">
        <f t="shared" si="33"/>
        <v>15</v>
      </c>
      <c r="E411">
        <f t="shared" si="34"/>
        <v>2015</v>
      </c>
      <c r="F411" s="217" t="str">
        <f t="shared" si="35"/>
        <v>3Q15</v>
      </c>
      <c r="G411" s="218">
        <v>42212</v>
      </c>
      <c r="H411" s="217">
        <v>3.3639999999999999</v>
      </c>
    </row>
    <row r="412" spans="2:8">
      <c r="B412" s="217" t="str">
        <f t="shared" si="32"/>
        <v>3Q</v>
      </c>
      <c r="C412" s="217">
        <f t="shared" si="36"/>
        <v>7</v>
      </c>
      <c r="D412" s="217" t="str">
        <f t="shared" si="33"/>
        <v>15</v>
      </c>
      <c r="E412">
        <f t="shared" si="34"/>
        <v>2015</v>
      </c>
      <c r="F412" s="217" t="str">
        <f t="shared" si="35"/>
        <v>3Q15</v>
      </c>
      <c r="G412" s="218">
        <v>42213</v>
      </c>
      <c r="H412" s="217">
        <v>3.3576999999999999</v>
      </c>
    </row>
    <row r="413" spans="2:8">
      <c r="B413" s="217" t="str">
        <f t="shared" si="32"/>
        <v>3Q</v>
      </c>
      <c r="C413" s="217">
        <f t="shared" si="36"/>
        <v>7</v>
      </c>
      <c r="D413" s="217" t="str">
        <f t="shared" si="33"/>
        <v>15</v>
      </c>
      <c r="E413">
        <f t="shared" si="34"/>
        <v>2015</v>
      </c>
      <c r="F413" s="217" t="str">
        <f t="shared" si="35"/>
        <v>3Q15</v>
      </c>
      <c r="G413" s="218">
        <v>42214</v>
      </c>
      <c r="H413" s="217">
        <v>3.3308</v>
      </c>
    </row>
    <row r="414" spans="2:8">
      <c r="B414" s="217" t="str">
        <f t="shared" si="32"/>
        <v>3Q</v>
      </c>
      <c r="C414" s="217">
        <f t="shared" si="36"/>
        <v>7</v>
      </c>
      <c r="D414" s="217" t="str">
        <f t="shared" si="33"/>
        <v>15</v>
      </c>
      <c r="E414">
        <f t="shared" si="34"/>
        <v>2015</v>
      </c>
      <c r="F414" s="217" t="str">
        <f t="shared" si="35"/>
        <v>3Q15</v>
      </c>
      <c r="G414" s="218">
        <v>42215</v>
      </c>
      <c r="H414" s="217">
        <v>3.3715000000000002</v>
      </c>
    </row>
    <row r="415" spans="2:8">
      <c r="B415" s="217" t="str">
        <f t="shared" si="32"/>
        <v>3Q</v>
      </c>
      <c r="C415" s="217">
        <f t="shared" si="36"/>
        <v>7</v>
      </c>
      <c r="D415" s="217" t="str">
        <f t="shared" si="33"/>
        <v>15</v>
      </c>
      <c r="E415">
        <f t="shared" si="34"/>
        <v>2015</v>
      </c>
      <c r="F415" s="217" t="str">
        <f t="shared" si="35"/>
        <v>3Q15</v>
      </c>
      <c r="G415" s="218">
        <v>42216</v>
      </c>
      <c r="H415" s="217">
        <v>3.4211999999999998</v>
      </c>
    </row>
    <row r="416" spans="2:8">
      <c r="B416" s="217" t="str">
        <f t="shared" si="32"/>
        <v>3Q</v>
      </c>
      <c r="C416" s="217">
        <f t="shared" si="36"/>
        <v>8</v>
      </c>
      <c r="D416" s="217" t="str">
        <f t="shared" si="33"/>
        <v>15</v>
      </c>
      <c r="E416">
        <f t="shared" si="34"/>
        <v>2015</v>
      </c>
      <c r="F416" s="217" t="str">
        <f t="shared" si="35"/>
        <v>3Q15</v>
      </c>
      <c r="G416" s="218">
        <v>42219</v>
      </c>
      <c r="H416" s="217">
        <v>3.4514</v>
      </c>
    </row>
    <row r="417" spans="2:8">
      <c r="B417" s="217" t="str">
        <f t="shared" si="32"/>
        <v>3Q</v>
      </c>
      <c r="C417" s="217">
        <f t="shared" si="36"/>
        <v>8</v>
      </c>
      <c r="D417" s="217" t="str">
        <f t="shared" si="33"/>
        <v>15</v>
      </c>
      <c r="E417">
        <f t="shared" si="34"/>
        <v>2015</v>
      </c>
      <c r="F417" s="217" t="str">
        <f t="shared" si="35"/>
        <v>3Q15</v>
      </c>
      <c r="G417" s="218">
        <v>42220</v>
      </c>
      <c r="H417" s="217">
        <v>3.4712000000000001</v>
      </c>
    </row>
    <row r="418" spans="2:8">
      <c r="B418" s="217" t="str">
        <f t="shared" si="32"/>
        <v>3Q</v>
      </c>
      <c r="C418" s="217">
        <f t="shared" si="36"/>
        <v>8</v>
      </c>
      <c r="D418" s="217" t="str">
        <f t="shared" si="33"/>
        <v>15</v>
      </c>
      <c r="E418">
        <f t="shared" si="34"/>
        <v>2015</v>
      </c>
      <c r="F418" s="217" t="str">
        <f t="shared" si="35"/>
        <v>3Q15</v>
      </c>
      <c r="G418" s="218">
        <v>42221</v>
      </c>
      <c r="H418" s="217">
        <v>3.4866999999999999</v>
      </c>
    </row>
    <row r="419" spans="2:8">
      <c r="B419" s="217" t="str">
        <f t="shared" si="32"/>
        <v>3Q</v>
      </c>
      <c r="C419" s="217">
        <f t="shared" si="36"/>
        <v>8</v>
      </c>
      <c r="D419" s="217" t="str">
        <f t="shared" si="33"/>
        <v>15</v>
      </c>
      <c r="E419">
        <f t="shared" si="34"/>
        <v>2015</v>
      </c>
      <c r="F419" s="217" t="str">
        <f t="shared" si="35"/>
        <v>3Q15</v>
      </c>
      <c r="G419" s="218">
        <v>42222</v>
      </c>
      <c r="H419" s="217">
        <v>3.5360999999999998</v>
      </c>
    </row>
    <row r="420" spans="2:8">
      <c r="B420" s="217" t="str">
        <f t="shared" si="32"/>
        <v>3Q</v>
      </c>
      <c r="C420" s="217">
        <f t="shared" si="36"/>
        <v>8</v>
      </c>
      <c r="D420" s="217" t="str">
        <f t="shared" si="33"/>
        <v>15</v>
      </c>
      <c r="E420">
        <f t="shared" si="34"/>
        <v>2015</v>
      </c>
      <c r="F420" s="217" t="str">
        <f t="shared" si="35"/>
        <v>3Q15</v>
      </c>
      <c r="G420" s="218">
        <v>42223</v>
      </c>
      <c r="H420" s="217">
        <v>3.5070999999999999</v>
      </c>
    </row>
    <row r="421" spans="2:8">
      <c r="B421" s="217" t="str">
        <f t="shared" si="32"/>
        <v>3Q</v>
      </c>
      <c r="C421" s="217">
        <f t="shared" si="36"/>
        <v>8</v>
      </c>
      <c r="D421" s="217" t="str">
        <f t="shared" si="33"/>
        <v>15</v>
      </c>
      <c r="E421">
        <f t="shared" si="34"/>
        <v>2015</v>
      </c>
      <c r="F421" s="217" t="str">
        <f t="shared" si="35"/>
        <v>3Q15</v>
      </c>
      <c r="G421" s="218">
        <v>42226</v>
      </c>
      <c r="H421" s="217">
        <v>3.4344999999999999</v>
      </c>
    </row>
    <row r="422" spans="2:8">
      <c r="B422" s="217" t="str">
        <f t="shared" si="32"/>
        <v>3Q</v>
      </c>
      <c r="C422" s="217">
        <f t="shared" si="36"/>
        <v>8</v>
      </c>
      <c r="D422" s="217" t="str">
        <f t="shared" si="33"/>
        <v>15</v>
      </c>
      <c r="E422">
        <f t="shared" si="34"/>
        <v>2015</v>
      </c>
      <c r="F422" s="217" t="str">
        <f t="shared" si="35"/>
        <v>3Q15</v>
      </c>
      <c r="G422" s="218">
        <v>42227</v>
      </c>
      <c r="H422" s="217">
        <v>3.4750000000000001</v>
      </c>
    </row>
    <row r="423" spans="2:8">
      <c r="B423" s="217" t="str">
        <f t="shared" si="32"/>
        <v>3Q</v>
      </c>
      <c r="C423" s="217">
        <f t="shared" si="36"/>
        <v>8</v>
      </c>
      <c r="D423" s="217" t="str">
        <f t="shared" si="33"/>
        <v>15</v>
      </c>
      <c r="E423">
        <f t="shared" si="34"/>
        <v>2015</v>
      </c>
      <c r="F423" s="217" t="str">
        <f t="shared" si="35"/>
        <v>3Q15</v>
      </c>
      <c r="G423" s="218">
        <v>42228</v>
      </c>
      <c r="H423" s="217">
        <v>3.4809999999999999</v>
      </c>
    </row>
    <row r="424" spans="2:8">
      <c r="B424" s="217" t="str">
        <f t="shared" si="32"/>
        <v>3Q</v>
      </c>
      <c r="C424" s="217">
        <f t="shared" si="36"/>
        <v>8</v>
      </c>
      <c r="D424" s="217" t="str">
        <f t="shared" si="33"/>
        <v>15</v>
      </c>
      <c r="E424">
        <f t="shared" si="34"/>
        <v>2015</v>
      </c>
      <c r="F424" s="217" t="str">
        <f t="shared" si="35"/>
        <v>3Q15</v>
      </c>
      <c r="G424" s="218">
        <v>42229</v>
      </c>
      <c r="H424" s="217">
        <v>3.5194000000000001</v>
      </c>
    </row>
    <row r="425" spans="2:8">
      <c r="B425" s="217" t="str">
        <f t="shared" si="32"/>
        <v>3Q</v>
      </c>
      <c r="C425" s="217">
        <f t="shared" si="36"/>
        <v>8</v>
      </c>
      <c r="D425" s="217" t="str">
        <f t="shared" si="33"/>
        <v>15</v>
      </c>
      <c r="E425">
        <f t="shared" si="34"/>
        <v>2015</v>
      </c>
      <c r="F425" s="217" t="str">
        <f t="shared" si="35"/>
        <v>3Q15</v>
      </c>
      <c r="G425" s="218">
        <v>42230</v>
      </c>
      <c r="H425" s="217">
        <v>3.4845000000000002</v>
      </c>
    </row>
    <row r="426" spans="2:8">
      <c r="B426" s="217" t="str">
        <f t="shared" si="32"/>
        <v>3Q</v>
      </c>
      <c r="C426" s="217">
        <f t="shared" si="36"/>
        <v>8</v>
      </c>
      <c r="D426" s="217" t="str">
        <f t="shared" si="33"/>
        <v>15</v>
      </c>
      <c r="E426">
        <f t="shared" si="34"/>
        <v>2015</v>
      </c>
      <c r="F426" s="217" t="str">
        <f t="shared" si="35"/>
        <v>3Q15</v>
      </c>
      <c r="G426" s="218">
        <v>42233</v>
      </c>
      <c r="H426" s="217">
        <v>3.4811999999999999</v>
      </c>
    </row>
    <row r="427" spans="2:8">
      <c r="B427" s="217" t="str">
        <f t="shared" si="32"/>
        <v>3Q</v>
      </c>
      <c r="C427" s="217">
        <f t="shared" si="36"/>
        <v>8</v>
      </c>
      <c r="D427" s="217" t="str">
        <f t="shared" si="33"/>
        <v>15</v>
      </c>
      <c r="E427">
        <f t="shared" si="34"/>
        <v>2015</v>
      </c>
      <c r="F427" s="217" t="str">
        <f t="shared" si="35"/>
        <v>3Q15</v>
      </c>
      <c r="G427" s="218">
        <v>42234</v>
      </c>
      <c r="H427" s="217">
        <v>3.4681000000000002</v>
      </c>
    </row>
    <row r="428" spans="2:8">
      <c r="B428" s="217" t="str">
        <f t="shared" si="32"/>
        <v>3Q</v>
      </c>
      <c r="C428" s="217">
        <f t="shared" si="36"/>
        <v>8</v>
      </c>
      <c r="D428" s="217" t="str">
        <f t="shared" si="33"/>
        <v>15</v>
      </c>
      <c r="E428">
        <f t="shared" si="34"/>
        <v>2015</v>
      </c>
      <c r="F428" s="217" t="str">
        <f t="shared" si="35"/>
        <v>3Q15</v>
      </c>
      <c r="G428" s="218">
        <v>42235</v>
      </c>
      <c r="H428" s="217">
        <v>3.4931999999999999</v>
      </c>
    </row>
    <row r="429" spans="2:8">
      <c r="B429" s="217" t="str">
        <f t="shared" si="32"/>
        <v>3Q</v>
      </c>
      <c r="C429" s="217">
        <f t="shared" si="36"/>
        <v>8</v>
      </c>
      <c r="D429" s="217" t="str">
        <f t="shared" si="33"/>
        <v>15</v>
      </c>
      <c r="E429">
        <f t="shared" si="34"/>
        <v>2015</v>
      </c>
      <c r="F429" s="217" t="str">
        <f t="shared" si="35"/>
        <v>3Q15</v>
      </c>
      <c r="G429" s="218">
        <v>42236</v>
      </c>
      <c r="H429" s="217">
        <v>3.4569999999999999</v>
      </c>
    </row>
    <row r="430" spans="2:8">
      <c r="B430" s="217" t="str">
        <f t="shared" si="32"/>
        <v>3Q</v>
      </c>
      <c r="C430" s="217">
        <f t="shared" si="36"/>
        <v>8</v>
      </c>
      <c r="D430" s="217" t="str">
        <f t="shared" si="33"/>
        <v>15</v>
      </c>
      <c r="E430">
        <f t="shared" si="34"/>
        <v>2015</v>
      </c>
      <c r="F430" s="217" t="str">
        <f t="shared" si="35"/>
        <v>3Q15</v>
      </c>
      <c r="G430" s="218">
        <v>42237</v>
      </c>
      <c r="H430" s="217">
        <v>3.5007000000000001</v>
      </c>
    </row>
    <row r="431" spans="2:8">
      <c r="B431" s="217" t="str">
        <f t="shared" si="32"/>
        <v>3Q</v>
      </c>
      <c r="C431" s="217">
        <f t="shared" si="36"/>
        <v>8</v>
      </c>
      <c r="D431" s="217" t="str">
        <f t="shared" si="33"/>
        <v>15</v>
      </c>
      <c r="E431">
        <f t="shared" si="34"/>
        <v>2015</v>
      </c>
      <c r="F431" s="217" t="str">
        <f t="shared" si="35"/>
        <v>3Q15</v>
      </c>
      <c r="G431" s="218">
        <v>42240</v>
      </c>
      <c r="H431" s="217">
        <v>3.5533999999999999</v>
      </c>
    </row>
    <row r="432" spans="2:8">
      <c r="B432" s="217" t="str">
        <f t="shared" si="32"/>
        <v>3Q</v>
      </c>
      <c r="C432" s="217">
        <f t="shared" si="36"/>
        <v>8</v>
      </c>
      <c r="D432" s="217" t="str">
        <f t="shared" si="33"/>
        <v>15</v>
      </c>
      <c r="E432">
        <f t="shared" si="34"/>
        <v>2015</v>
      </c>
      <c r="F432" s="217" t="str">
        <f t="shared" si="35"/>
        <v>3Q15</v>
      </c>
      <c r="G432" s="218">
        <v>42241</v>
      </c>
      <c r="H432" s="217">
        <v>3.6175000000000002</v>
      </c>
    </row>
    <row r="433" spans="2:8">
      <c r="B433" s="217" t="str">
        <f t="shared" si="32"/>
        <v>3Q</v>
      </c>
      <c r="C433" s="217">
        <f t="shared" si="36"/>
        <v>8</v>
      </c>
      <c r="D433" s="217" t="str">
        <f t="shared" si="33"/>
        <v>15</v>
      </c>
      <c r="E433">
        <f t="shared" si="34"/>
        <v>2015</v>
      </c>
      <c r="F433" s="217" t="str">
        <f t="shared" si="35"/>
        <v>3Q15</v>
      </c>
      <c r="G433" s="218">
        <v>42242</v>
      </c>
      <c r="H433" s="217">
        <v>3.5962999999999998</v>
      </c>
    </row>
    <row r="434" spans="2:8">
      <c r="B434" s="217" t="str">
        <f t="shared" si="32"/>
        <v>3Q</v>
      </c>
      <c r="C434" s="217">
        <f t="shared" si="36"/>
        <v>8</v>
      </c>
      <c r="D434" s="217" t="str">
        <f t="shared" si="33"/>
        <v>15</v>
      </c>
      <c r="E434">
        <f t="shared" si="34"/>
        <v>2015</v>
      </c>
      <c r="F434" s="217" t="str">
        <f t="shared" si="35"/>
        <v>3Q15</v>
      </c>
      <c r="G434" s="218">
        <v>42243</v>
      </c>
      <c r="H434" s="217">
        <v>3.5510000000000002</v>
      </c>
    </row>
    <row r="435" spans="2:8">
      <c r="B435" s="217" t="str">
        <f t="shared" si="32"/>
        <v>3Q</v>
      </c>
      <c r="C435" s="217">
        <f t="shared" si="36"/>
        <v>8</v>
      </c>
      <c r="D435" s="217" t="str">
        <f t="shared" si="33"/>
        <v>15</v>
      </c>
      <c r="E435">
        <f t="shared" si="34"/>
        <v>2015</v>
      </c>
      <c r="F435" s="217" t="str">
        <f t="shared" si="35"/>
        <v>3Q15</v>
      </c>
      <c r="G435" s="218">
        <v>42244</v>
      </c>
      <c r="H435" s="217">
        <v>3.5823</v>
      </c>
    </row>
    <row r="436" spans="2:8">
      <c r="B436" s="217" t="str">
        <f t="shared" si="32"/>
        <v>3Q</v>
      </c>
      <c r="C436" s="217">
        <f t="shared" si="36"/>
        <v>8</v>
      </c>
      <c r="D436" s="217" t="str">
        <f t="shared" si="33"/>
        <v>15</v>
      </c>
      <c r="E436">
        <f t="shared" si="34"/>
        <v>2015</v>
      </c>
      <c r="F436" s="217" t="str">
        <f t="shared" si="35"/>
        <v>3Q15</v>
      </c>
      <c r="G436" s="218">
        <v>42247</v>
      </c>
      <c r="H436" s="217">
        <v>3.6193</v>
      </c>
    </row>
    <row r="437" spans="2:8">
      <c r="B437" s="217" t="str">
        <f t="shared" si="32"/>
        <v>3Q</v>
      </c>
      <c r="C437" s="217">
        <f t="shared" si="36"/>
        <v>9</v>
      </c>
      <c r="D437" s="217" t="str">
        <f t="shared" si="33"/>
        <v>15</v>
      </c>
      <c r="E437">
        <f t="shared" si="34"/>
        <v>2015</v>
      </c>
      <c r="F437" s="217" t="str">
        <f t="shared" si="35"/>
        <v>3Q15</v>
      </c>
      <c r="G437" s="218">
        <v>42248</v>
      </c>
      <c r="H437" s="217">
        <v>3.702</v>
      </c>
    </row>
    <row r="438" spans="2:8">
      <c r="B438" s="217" t="str">
        <f t="shared" si="32"/>
        <v>3Q</v>
      </c>
      <c r="C438" s="217">
        <f t="shared" si="36"/>
        <v>9</v>
      </c>
      <c r="D438" s="217" t="str">
        <f t="shared" si="33"/>
        <v>15</v>
      </c>
      <c r="E438">
        <f t="shared" si="34"/>
        <v>2015</v>
      </c>
      <c r="F438" s="217" t="str">
        <f t="shared" si="35"/>
        <v>3Q15</v>
      </c>
      <c r="G438" s="218">
        <v>42249</v>
      </c>
      <c r="H438" s="217">
        <v>3.7591000000000001</v>
      </c>
    </row>
    <row r="439" spans="2:8">
      <c r="B439" s="217" t="str">
        <f t="shared" si="32"/>
        <v>3Q</v>
      </c>
      <c r="C439" s="217">
        <f t="shared" si="36"/>
        <v>9</v>
      </c>
      <c r="D439" s="217" t="str">
        <f t="shared" si="33"/>
        <v>15</v>
      </c>
      <c r="E439">
        <f t="shared" si="34"/>
        <v>2015</v>
      </c>
      <c r="F439" s="217" t="str">
        <f t="shared" si="35"/>
        <v>3Q15</v>
      </c>
      <c r="G439" s="218">
        <v>42250</v>
      </c>
      <c r="H439" s="217">
        <v>3.738</v>
      </c>
    </row>
    <row r="440" spans="2:8">
      <c r="B440" s="217" t="str">
        <f t="shared" si="32"/>
        <v>3Q</v>
      </c>
      <c r="C440" s="217">
        <f t="shared" si="36"/>
        <v>9</v>
      </c>
      <c r="D440" s="217" t="str">
        <f t="shared" si="33"/>
        <v>15</v>
      </c>
      <c r="E440">
        <f t="shared" si="34"/>
        <v>2015</v>
      </c>
      <c r="F440" s="217" t="str">
        <f t="shared" si="35"/>
        <v>3Q15</v>
      </c>
      <c r="G440" s="218">
        <v>42251</v>
      </c>
      <c r="H440" s="217">
        <v>3.8441999999999998</v>
      </c>
    </row>
    <row r="441" spans="2:8">
      <c r="B441" s="217" t="str">
        <f t="shared" si="32"/>
        <v>3Q</v>
      </c>
      <c r="C441" s="217">
        <f t="shared" si="36"/>
        <v>9</v>
      </c>
      <c r="D441" s="217" t="str">
        <f t="shared" si="33"/>
        <v>15</v>
      </c>
      <c r="E441">
        <f t="shared" si="34"/>
        <v>2015</v>
      </c>
      <c r="F441" s="217" t="str">
        <f t="shared" si="35"/>
        <v>3Q15</v>
      </c>
      <c r="G441" s="218">
        <v>42254</v>
      </c>
      <c r="H441" s="217">
        <v>3.8386999999999998</v>
      </c>
    </row>
    <row r="442" spans="2:8">
      <c r="B442" s="217" t="str">
        <f t="shared" si="32"/>
        <v>3Q</v>
      </c>
      <c r="C442" s="217">
        <f t="shared" si="36"/>
        <v>9</v>
      </c>
      <c r="D442" s="217" t="str">
        <f t="shared" si="33"/>
        <v>15</v>
      </c>
      <c r="E442">
        <f t="shared" si="34"/>
        <v>2015</v>
      </c>
      <c r="F442" s="217" t="str">
        <f t="shared" si="35"/>
        <v>3Q15</v>
      </c>
      <c r="G442" s="218">
        <v>42255</v>
      </c>
      <c r="H442" s="217">
        <v>3.82</v>
      </c>
    </row>
    <row r="443" spans="2:8">
      <c r="B443" s="217" t="str">
        <f t="shared" si="32"/>
        <v>3Q</v>
      </c>
      <c r="C443" s="217">
        <f t="shared" si="36"/>
        <v>9</v>
      </c>
      <c r="D443" s="217" t="str">
        <f t="shared" si="33"/>
        <v>15</v>
      </c>
      <c r="E443">
        <f t="shared" si="34"/>
        <v>2015</v>
      </c>
      <c r="F443" s="217" t="str">
        <f t="shared" si="35"/>
        <v>3Q15</v>
      </c>
      <c r="G443" s="218">
        <v>42256</v>
      </c>
      <c r="H443" s="217">
        <v>3.7783000000000002</v>
      </c>
    </row>
    <row r="444" spans="2:8">
      <c r="B444" s="217" t="str">
        <f t="shared" si="32"/>
        <v>3Q</v>
      </c>
      <c r="C444" s="217">
        <f t="shared" si="36"/>
        <v>9</v>
      </c>
      <c r="D444" s="217" t="str">
        <f t="shared" si="33"/>
        <v>15</v>
      </c>
      <c r="E444">
        <f t="shared" si="34"/>
        <v>2015</v>
      </c>
      <c r="F444" s="217" t="str">
        <f t="shared" si="35"/>
        <v>3Q15</v>
      </c>
      <c r="G444" s="218">
        <v>42257</v>
      </c>
      <c r="H444" s="217">
        <v>3.8498000000000001</v>
      </c>
    </row>
    <row r="445" spans="2:8">
      <c r="B445" s="217" t="str">
        <f t="shared" si="32"/>
        <v>3Q</v>
      </c>
      <c r="C445" s="217">
        <f t="shared" si="36"/>
        <v>9</v>
      </c>
      <c r="D445" s="217" t="str">
        <f t="shared" si="33"/>
        <v>15</v>
      </c>
      <c r="E445">
        <f t="shared" si="34"/>
        <v>2015</v>
      </c>
      <c r="F445" s="217" t="str">
        <f t="shared" si="35"/>
        <v>3Q15</v>
      </c>
      <c r="G445" s="218">
        <v>42258</v>
      </c>
      <c r="H445" s="217">
        <v>3.8704999999999998</v>
      </c>
    </row>
    <row r="446" spans="2:8">
      <c r="B446" s="217" t="str">
        <f t="shared" si="32"/>
        <v>3Q</v>
      </c>
      <c r="C446" s="217">
        <f t="shared" si="36"/>
        <v>9</v>
      </c>
      <c r="D446" s="217" t="str">
        <f t="shared" si="33"/>
        <v>15</v>
      </c>
      <c r="E446">
        <f t="shared" si="34"/>
        <v>2015</v>
      </c>
      <c r="F446" s="217" t="str">
        <f t="shared" si="35"/>
        <v>3Q15</v>
      </c>
      <c r="G446" s="218">
        <v>42261</v>
      </c>
      <c r="H446" s="217">
        <v>3.8149999999999999</v>
      </c>
    </row>
    <row r="447" spans="2:8">
      <c r="B447" s="217" t="str">
        <f t="shared" si="32"/>
        <v>3Q</v>
      </c>
      <c r="C447" s="217">
        <f t="shared" si="36"/>
        <v>9</v>
      </c>
      <c r="D447" s="217" t="str">
        <f t="shared" si="33"/>
        <v>15</v>
      </c>
      <c r="E447">
        <f t="shared" si="34"/>
        <v>2015</v>
      </c>
      <c r="F447" s="217" t="str">
        <f t="shared" si="35"/>
        <v>3Q15</v>
      </c>
      <c r="G447" s="218">
        <v>42262</v>
      </c>
      <c r="H447" s="217">
        <v>3.8633999999999999</v>
      </c>
    </row>
    <row r="448" spans="2:8">
      <c r="B448" s="217" t="str">
        <f t="shared" si="32"/>
        <v>3Q</v>
      </c>
      <c r="C448" s="217">
        <f t="shared" si="36"/>
        <v>9</v>
      </c>
      <c r="D448" s="217" t="str">
        <f t="shared" si="33"/>
        <v>15</v>
      </c>
      <c r="E448">
        <f t="shared" si="34"/>
        <v>2015</v>
      </c>
      <c r="F448" s="217" t="str">
        <f t="shared" si="35"/>
        <v>3Q15</v>
      </c>
      <c r="G448" s="218">
        <v>42263</v>
      </c>
      <c r="H448" s="217">
        <v>3.8289</v>
      </c>
    </row>
    <row r="449" spans="2:8">
      <c r="B449" s="217" t="str">
        <f t="shared" si="32"/>
        <v>3Q</v>
      </c>
      <c r="C449" s="217">
        <f t="shared" si="36"/>
        <v>9</v>
      </c>
      <c r="D449" s="217" t="str">
        <f t="shared" si="33"/>
        <v>15</v>
      </c>
      <c r="E449">
        <f t="shared" si="34"/>
        <v>2015</v>
      </c>
      <c r="F449" s="217" t="str">
        <f t="shared" si="35"/>
        <v>3Q15</v>
      </c>
      <c r="G449" s="218">
        <v>42264</v>
      </c>
      <c r="H449" s="217">
        <v>3.899</v>
      </c>
    </row>
    <row r="450" spans="2:8">
      <c r="B450" s="217" t="str">
        <f t="shared" si="32"/>
        <v>3Q</v>
      </c>
      <c r="C450" s="217">
        <f t="shared" si="36"/>
        <v>9</v>
      </c>
      <c r="D450" s="217" t="str">
        <f t="shared" si="33"/>
        <v>15</v>
      </c>
      <c r="E450">
        <f t="shared" si="34"/>
        <v>2015</v>
      </c>
      <c r="F450" s="217" t="str">
        <f t="shared" si="35"/>
        <v>3Q15</v>
      </c>
      <c r="G450" s="218">
        <v>42265</v>
      </c>
      <c r="H450" s="217">
        <v>3.9459</v>
      </c>
    </row>
    <row r="451" spans="2:8">
      <c r="B451" s="217" t="str">
        <f t="shared" ref="B451:B514" si="37">VLOOKUP(C451,$N$3:$O$14,2,0)</f>
        <v>3Q</v>
      </c>
      <c r="C451" s="217">
        <f t="shared" si="36"/>
        <v>9</v>
      </c>
      <c r="D451" s="217" t="str">
        <f t="shared" ref="D451:D514" si="38">RIGHT(E451,2)</f>
        <v>15</v>
      </c>
      <c r="E451">
        <f t="shared" ref="E451:E514" si="39">YEAR(G451)</f>
        <v>2015</v>
      </c>
      <c r="F451" s="217" t="str">
        <f t="shared" ref="F451:F514" si="40">+B451&amp;D451</f>
        <v>3Q15</v>
      </c>
      <c r="G451" s="218">
        <v>42268</v>
      </c>
      <c r="H451" s="217">
        <v>3.9857</v>
      </c>
    </row>
    <row r="452" spans="2:8">
      <c r="B452" s="217" t="str">
        <f t="shared" si="37"/>
        <v>3Q</v>
      </c>
      <c r="C452" s="217">
        <f t="shared" ref="C452:C515" si="41">MONTH(G452)</f>
        <v>9</v>
      </c>
      <c r="D452" s="217" t="str">
        <f t="shared" si="38"/>
        <v>15</v>
      </c>
      <c r="E452">
        <f t="shared" si="39"/>
        <v>2015</v>
      </c>
      <c r="F452" s="217" t="str">
        <f t="shared" si="40"/>
        <v>3Q15</v>
      </c>
      <c r="G452" s="218">
        <v>42269</v>
      </c>
      <c r="H452" s="217">
        <v>4.0496999999999996</v>
      </c>
    </row>
    <row r="453" spans="2:8">
      <c r="B453" s="217" t="str">
        <f t="shared" si="37"/>
        <v>3Q</v>
      </c>
      <c r="C453" s="217">
        <f t="shared" si="41"/>
        <v>9</v>
      </c>
      <c r="D453" s="217" t="str">
        <f t="shared" si="38"/>
        <v>15</v>
      </c>
      <c r="E453">
        <f t="shared" si="39"/>
        <v>2015</v>
      </c>
      <c r="F453" s="217" t="str">
        <f t="shared" si="40"/>
        <v>3Q15</v>
      </c>
      <c r="G453" s="218">
        <v>42270</v>
      </c>
      <c r="H453" s="217">
        <v>4.1779999999999999</v>
      </c>
    </row>
    <row r="454" spans="2:8">
      <c r="B454" s="217" t="str">
        <f t="shared" si="37"/>
        <v>3Q</v>
      </c>
      <c r="C454" s="217">
        <f t="shared" si="41"/>
        <v>9</v>
      </c>
      <c r="D454" s="217" t="str">
        <f t="shared" si="38"/>
        <v>15</v>
      </c>
      <c r="E454">
        <f t="shared" si="39"/>
        <v>2015</v>
      </c>
      <c r="F454" s="217" t="str">
        <f t="shared" si="40"/>
        <v>3Q15</v>
      </c>
      <c r="G454" s="218">
        <v>42271</v>
      </c>
      <c r="H454" s="217">
        <v>3.9367999999999999</v>
      </c>
    </row>
    <row r="455" spans="2:8">
      <c r="B455" s="217" t="str">
        <f t="shared" si="37"/>
        <v>3Q</v>
      </c>
      <c r="C455" s="217">
        <f t="shared" si="41"/>
        <v>9</v>
      </c>
      <c r="D455" s="217" t="str">
        <f t="shared" si="38"/>
        <v>15</v>
      </c>
      <c r="E455">
        <f t="shared" si="39"/>
        <v>2015</v>
      </c>
      <c r="F455" s="217" t="str">
        <f t="shared" si="40"/>
        <v>3Q15</v>
      </c>
      <c r="G455" s="218">
        <v>42272</v>
      </c>
      <c r="H455" s="217">
        <v>3.9777</v>
      </c>
    </row>
    <row r="456" spans="2:8">
      <c r="B456" s="217" t="str">
        <f t="shared" si="37"/>
        <v>3Q</v>
      </c>
      <c r="C456" s="217">
        <f t="shared" si="41"/>
        <v>9</v>
      </c>
      <c r="D456" s="217" t="str">
        <f t="shared" si="38"/>
        <v>15</v>
      </c>
      <c r="E456">
        <f t="shared" si="39"/>
        <v>2015</v>
      </c>
      <c r="F456" s="217" t="str">
        <f t="shared" si="40"/>
        <v>3Q15</v>
      </c>
      <c r="G456" s="218">
        <v>42275</v>
      </c>
      <c r="H456" s="217">
        <v>4.1082999999999998</v>
      </c>
    </row>
    <row r="457" spans="2:8">
      <c r="B457" s="217" t="str">
        <f t="shared" si="37"/>
        <v>3Q</v>
      </c>
      <c r="C457" s="217">
        <f t="shared" si="41"/>
        <v>9</v>
      </c>
      <c r="D457" s="217" t="str">
        <f t="shared" si="38"/>
        <v>15</v>
      </c>
      <c r="E457">
        <f t="shared" si="39"/>
        <v>2015</v>
      </c>
      <c r="F457" s="217" t="str">
        <f t="shared" si="40"/>
        <v>3Q15</v>
      </c>
      <c r="G457" s="218">
        <v>42276</v>
      </c>
      <c r="H457" s="217">
        <v>4.0633999999999997</v>
      </c>
    </row>
    <row r="458" spans="2:8">
      <c r="B458" s="217" t="str">
        <f t="shared" si="37"/>
        <v>3Q</v>
      </c>
      <c r="C458" s="217">
        <f t="shared" si="41"/>
        <v>9</v>
      </c>
      <c r="D458" s="217" t="str">
        <f t="shared" si="38"/>
        <v>15</v>
      </c>
      <c r="E458">
        <f t="shared" si="39"/>
        <v>2015</v>
      </c>
      <c r="F458" s="217" t="str">
        <f t="shared" si="40"/>
        <v>3Q15</v>
      </c>
      <c r="G458" s="218">
        <v>42277</v>
      </c>
      <c r="H458" s="217">
        <v>3.9491000000000001</v>
      </c>
    </row>
    <row r="459" spans="2:8">
      <c r="B459" s="217" t="str">
        <f t="shared" si="37"/>
        <v>4Q</v>
      </c>
      <c r="C459" s="217">
        <f t="shared" si="41"/>
        <v>10</v>
      </c>
      <c r="D459" s="217" t="str">
        <f t="shared" si="38"/>
        <v>15</v>
      </c>
      <c r="E459">
        <f t="shared" si="39"/>
        <v>2015</v>
      </c>
      <c r="F459" s="217" t="str">
        <f t="shared" si="40"/>
        <v>4Q15</v>
      </c>
      <c r="G459" s="218">
        <v>42278</v>
      </c>
      <c r="H459" s="217">
        <v>4.01</v>
      </c>
    </row>
    <row r="460" spans="2:8">
      <c r="B460" s="217" t="str">
        <f t="shared" si="37"/>
        <v>4Q</v>
      </c>
      <c r="C460" s="217">
        <f t="shared" si="41"/>
        <v>10</v>
      </c>
      <c r="D460" s="217" t="str">
        <f t="shared" si="38"/>
        <v>15</v>
      </c>
      <c r="E460">
        <f t="shared" si="39"/>
        <v>2015</v>
      </c>
      <c r="F460" s="217" t="str">
        <f t="shared" si="40"/>
        <v>4Q15</v>
      </c>
      <c r="G460" s="218">
        <v>42279</v>
      </c>
      <c r="H460" s="217">
        <v>3.9331</v>
      </c>
    </row>
    <row r="461" spans="2:8">
      <c r="B461" s="217" t="str">
        <f t="shared" si="37"/>
        <v>4Q</v>
      </c>
      <c r="C461" s="217">
        <f t="shared" si="41"/>
        <v>10</v>
      </c>
      <c r="D461" s="217" t="str">
        <f t="shared" si="38"/>
        <v>15</v>
      </c>
      <c r="E461">
        <f t="shared" si="39"/>
        <v>2015</v>
      </c>
      <c r="F461" s="217" t="str">
        <f t="shared" si="40"/>
        <v>4Q15</v>
      </c>
      <c r="G461" s="218">
        <v>42282</v>
      </c>
      <c r="H461" s="217">
        <v>3.9119999999999999</v>
      </c>
    </row>
    <row r="462" spans="2:8">
      <c r="B462" s="217" t="str">
        <f t="shared" si="37"/>
        <v>4Q</v>
      </c>
      <c r="C462" s="217">
        <f t="shared" si="41"/>
        <v>10</v>
      </c>
      <c r="D462" s="217" t="str">
        <f t="shared" si="38"/>
        <v>15</v>
      </c>
      <c r="E462">
        <f t="shared" si="39"/>
        <v>2015</v>
      </c>
      <c r="F462" s="217" t="str">
        <f t="shared" si="40"/>
        <v>4Q15</v>
      </c>
      <c r="G462" s="218">
        <v>42283</v>
      </c>
      <c r="H462" s="217">
        <v>3.8538999999999999</v>
      </c>
    </row>
    <row r="463" spans="2:8">
      <c r="B463" s="217" t="str">
        <f t="shared" si="37"/>
        <v>4Q</v>
      </c>
      <c r="C463" s="217">
        <f t="shared" si="41"/>
        <v>10</v>
      </c>
      <c r="D463" s="217" t="str">
        <f t="shared" si="38"/>
        <v>15</v>
      </c>
      <c r="E463">
        <f t="shared" si="39"/>
        <v>2015</v>
      </c>
      <c r="F463" s="217" t="str">
        <f t="shared" si="40"/>
        <v>4Q15</v>
      </c>
      <c r="G463" s="218">
        <v>42284</v>
      </c>
      <c r="H463" s="217">
        <v>3.8837999999999999</v>
      </c>
    </row>
    <row r="464" spans="2:8">
      <c r="B464" s="217" t="str">
        <f t="shared" si="37"/>
        <v>4Q</v>
      </c>
      <c r="C464" s="217">
        <f t="shared" si="41"/>
        <v>10</v>
      </c>
      <c r="D464" s="217" t="str">
        <f t="shared" si="38"/>
        <v>15</v>
      </c>
      <c r="E464">
        <f t="shared" si="39"/>
        <v>2015</v>
      </c>
      <c r="F464" s="217" t="str">
        <f t="shared" si="40"/>
        <v>4Q15</v>
      </c>
      <c r="G464" s="218">
        <v>42285</v>
      </c>
      <c r="H464" s="217">
        <v>3.7839</v>
      </c>
    </row>
    <row r="465" spans="2:8">
      <c r="B465" s="217" t="str">
        <f t="shared" si="37"/>
        <v>4Q</v>
      </c>
      <c r="C465" s="217">
        <f t="shared" si="41"/>
        <v>10</v>
      </c>
      <c r="D465" s="217" t="str">
        <f t="shared" si="38"/>
        <v>15</v>
      </c>
      <c r="E465">
        <f t="shared" si="39"/>
        <v>2015</v>
      </c>
      <c r="F465" s="217" t="str">
        <f t="shared" si="40"/>
        <v>4Q15</v>
      </c>
      <c r="G465" s="218">
        <v>42286</v>
      </c>
      <c r="H465" s="217">
        <v>3.766</v>
      </c>
    </row>
    <row r="466" spans="2:8">
      <c r="B466" s="217" t="str">
        <f t="shared" si="37"/>
        <v>4Q</v>
      </c>
      <c r="C466" s="217">
        <f t="shared" si="41"/>
        <v>10</v>
      </c>
      <c r="D466" s="217" t="str">
        <f t="shared" si="38"/>
        <v>15</v>
      </c>
      <c r="E466">
        <f t="shared" si="39"/>
        <v>2015</v>
      </c>
      <c r="F466" s="217" t="str">
        <f t="shared" si="40"/>
        <v>4Q15</v>
      </c>
      <c r="G466" s="218">
        <v>42289</v>
      </c>
      <c r="H466" s="217">
        <v>3.7639</v>
      </c>
    </row>
    <row r="467" spans="2:8">
      <c r="B467" s="217" t="str">
        <f t="shared" si="37"/>
        <v>4Q</v>
      </c>
      <c r="C467" s="217">
        <f t="shared" si="41"/>
        <v>10</v>
      </c>
      <c r="D467" s="217" t="str">
        <f t="shared" si="38"/>
        <v>15</v>
      </c>
      <c r="E467">
        <f t="shared" si="39"/>
        <v>2015</v>
      </c>
      <c r="F467" s="217" t="str">
        <f t="shared" si="40"/>
        <v>4Q15</v>
      </c>
      <c r="G467" s="218">
        <v>42290</v>
      </c>
      <c r="H467" s="217">
        <v>3.8936999999999999</v>
      </c>
    </row>
    <row r="468" spans="2:8">
      <c r="B468" s="217" t="str">
        <f t="shared" si="37"/>
        <v>4Q</v>
      </c>
      <c r="C468" s="217">
        <f t="shared" si="41"/>
        <v>10</v>
      </c>
      <c r="D468" s="217" t="str">
        <f t="shared" si="38"/>
        <v>15</v>
      </c>
      <c r="E468">
        <f t="shared" si="39"/>
        <v>2015</v>
      </c>
      <c r="F468" s="217" t="str">
        <f t="shared" si="40"/>
        <v>4Q15</v>
      </c>
      <c r="G468" s="218">
        <v>42291</v>
      </c>
      <c r="H468" s="217">
        <v>3.8119000000000001</v>
      </c>
    </row>
    <row r="469" spans="2:8">
      <c r="B469" s="217" t="str">
        <f t="shared" si="37"/>
        <v>4Q</v>
      </c>
      <c r="C469" s="217">
        <f t="shared" si="41"/>
        <v>10</v>
      </c>
      <c r="D469" s="217" t="str">
        <f t="shared" si="38"/>
        <v>15</v>
      </c>
      <c r="E469">
        <f t="shared" si="39"/>
        <v>2015</v>
      </c>
      <c r="F469" s="217" t="str">
        <f t="shared" si="40"/>
        <v>4Q15</v>
      </c>
      <c r="G469" s="218">
        <v>42292</v>
      </c>
      <c r="H469" s="217">
        <v>3.8031999999999999</v>
      </c>
    </row>
    <row r="470" spans="2:8">
      <c r="B470" s="217" t="str">
        <f t="shared" si="37"/>
        <v>4Q</v>
      </c>
      <c r="C470" s="217">
        <f t="shared" si="41"/>
        <v>10</v>
      </c>
      <c r="D470" s="217" t="str">
        <f t="shared" si="38"/>
        <v>15</v>
      </c>
      <c r="E470">
        <f t="shared" si="39"/>
        <v>2015</v>
      </c>
      <c r="F470" s="217" t="str">
        <f t="shared" si="40"/>
        <v>4Q15</v>
      </c>
      <c r="G470" s="218">
        <v>42293</v>
      </c>
      <c r="H470" s="217">
        <v>3.9245000000000001</v>
      </c>
    </row>
    <row r="471" spans="2:8">
      <c r="B471" s="217" t="str">
        <f t="shared" si="37"/>
        <v>4Q</v>
      </c>
      <c r="C471" s="217">
        <f t="shared" si="41"/>
        <v>10</v>
      </c>
      <c r="D471" s="217" t="str">
        <f t="shared" si="38"/>
        <v>15</v>
      </c>
      <c r="E471">
        <f t="shared" si="39"/>
        <v>2015</v>
      </c>
      <c r="F471" s="217" t="str">
        <f t="shared" si="40"/>
        <v>4Q15</v>
      </c>
      <c r="G471" s="218">
        <v>42296</v>
      </c>
      <c r="H471" s="217">
        <v>3.8856999999999999</v>
      </c>
    </row>
    <row r="472" spans="2:8">
      <c r="B472" s="217" t="str">
        <f t="shared" si="37"/>
        <v>4Q</v>
      </c>
      <c r="C472" s="217">
        <f t="shared" si="41"/>
        <v>10</v>
      </c>
      <c r="D472" s="217" t="str">
        <f t="shared" si="38"/>
        <v>15</v>
      </c>
      <c r="E472">
        <f t="shared" si="39"/>
        <v>2015</v>
      </c>
      <c r="F472" s="217" t="str">
        <f t="shared" si="40"/>
        <v>4Q15</v>
      </c>
      <c r="G472" s="218">
        <v>42297</v>
      </c>
      <c r="H472" s="217">
        <v>3.9073000000000002</v>
      </c>
    </row>
    <row r="473" spans="2:8">
      <c r="B473" s="217" t="str">
        <f t="shared" si="37"/>
        <v>4Q</v>
      </c>
      <c r="C473" s="217">
        <f t="shared" si="41"/>
        <v>10</v>
      </c>
      <c r="D473" s="217" t="str">
        <f t="shared" si="38"/>
        <v>15</v>
      </c>
      <c r="E473">
        <f t="shared" si="39"/>
        <v>2015</v>
      </c>
      <c r="F473" s="217" t="str">
        <f t="shared" si="40"/>
        <v>4Q15</v>
      </c>
      <c r="G473" s="218">
        <v>42298</v>
      </c>
      <c r="H473" s="217">
        <v>3.9413999999999998</v>
      </c>
    </row>
    <row r="474" spans="2:8">
      <c r="B474" s="217" t="str">
        <f t="shared" si="37"/>
        <v>4Q</v>
      </c>
      <c r="C474" s="217">
        <f t="shared" si="41"/>
        <v>10</v>
      </c>
      <c r="D474" s="217" t="str">
        <f t="shared" si="38"/>
        <v>15</v>
      </c>
      <c r="E474">
        <f t="shared" si="39"/>
        <v>2015</v>
      </c>
      <c r="F474" s="217" t="str">
        <f t="shared" si="40"/>
        <v>4Q15</v>
      </c>
      <c r="G474" s="218">
        <v>42299</v>
      </c>
      <c r="H474" s="217">
        <v>3.9087999999999998</v>
      </c>
    </row>
    <row r="475" spans="2:8">
      <c r="B475" s="217" t="str">
        <f t="shared" si="37"/>
        <v>4Q</v>
      </c>
      <c r="C475" s="217">
        <f t="shared" si="41"/>
        <v>10</v>
      </c>
      <c r="D475" s="217" t="str">
        <f t="shared" si="38"/>
        <v>15</v>
      </c>
      <c r="E475">
        <f t="shared" si="39"/>
        <v>2015</v>
      </c>
      <c r="F475" s="217" t="str">
        <f t="shared" si="40"/>
        <v>4Q15</v>
      </c>
      <c r="G475" s="218">
        <v>42300</v>
      </c>
      <c r="H475" s="217">
        <v>3.8807</v>
      </c>
    </row>
    <row r="476" spans="2:8">
      <c r="B476" s="217" t="str">
        <f t="shared" si="37"/>
        <v>4Q</v>
      </c>
      <c r="C476" s="217">
        <f t="shared" si="41"/>
        <v>10</v>
      </c>
      <c r="D476" s="217" t="str">
        <f t="shared" si="38"/>
        <v>15</v>
      </c>
      <c r="E476">
        <f t="shared" si="39"/>
        <v>2015</v>
      </c>
      <c r="F476" s="217" t="str">
        <f t="shared" si="40"/>
        <v>4Q15</v>
      </c>
      <c r="G476" s="218">
        <v>42303</v>
      </c>
      <c r="H476" s="217">
        <v>3.9060000000000001</v>
      </c>
    </row>
    <row r="477" spans="2:8">
      <c r="B477" s="217" t="str">
        <f t="shared" si="37"/>
        <v>4Q</v>
      </c>
      <c r="C477" s="217">
        <f t="shared" si="41"/>
        <v>10</v>
      </c>
      <c r="D477" s="217" t="str">
        <f t="shared" si="38"/>
        <v>15</v>
      </c>
      <c r="E477">
        <f t="shared" si="39"/>
        <v>2015</v>
      </c>
      <c r="F477" s="217" t="str">
        <f t="shared" si="40"/>
        <v>4Q15</v>
      </c>
      <c r="G477" s="218">
        <v>42304</v>
      </c>
      <c r="H477" s="217">
        <v>3.8883000000000001</v>
      </c>
    </row>
    <row r="478" spans="2:8">
      <c r="B478" s="217" t="str">
        <f t="shared" si="37"/>
        <v>4Q</v>
      </c>
      <c r="C478" s="217">
        <f t="shared" si="41"/>
        <v>10</v>
      </c>
      <c r="D478" s="217" t="str">
        <f t="shared" si="38"/>
        <v>15</v>
      </c>
      <c r="E478">
        <f t="shared" si="39"/>
        <v>2015</v>
      </c>
      <c r="F478" s="217" t="str">
        <f t="shared" si="40"/>
        <v>4Q15</v>
      </c>
      <c r="G478" s="218">
        <v>42305</v>
      </c>
      <c r="H478" s="217">
        <v>3.9094000000000002</v>
      </c>
    </row>
    <row r="479" spans="2:8">
      <c r="B479" s="217" t="str">
        <f t="shared" si="37"/>
        <v>4Q</v>
      </c>
      <c r="C479" s="217">
        <f t="shared" si="41"/>
        <v>10</v>
      </c>
      <c r="D479" s="217" t="str">
        <f t="shared" si="38"/>
        <v>15</v>
      </c>
      <c r="E479">
        <f t="shared" si="39"/>
        <v>2015</v>
      </c>
      <c r="F479" s="217" t="str">
        <f t="shared" si="40"/>
        <v>4Q15</v>
      </c>
      <c r="G479" s="218">
        <v>42306</v>
      </c>
      <c r="H479" s="217">
        <v>3.8509000000000002</v>
      </c>
    </row>
    <row r="480" spans="2:8">
      <c r="B480" s="217" t="str">
        <f t="shared" si="37"/>
        <v>4Q</v>
      </c>
      <c r="C480" s="217">
        <f t="shared" si="41"/>
        <v>10</v>
      </c>
      <c r="D480" s="217" t="str">
        <f t="shared" si="38"/>
        <v>15</v>
      </c>
      <c r="E480">
        <f t="shared" si="39"/>
        <v>2015</v>
      </c>
      <c r="F480" s="217" t="str">
        <f t="shared" si="40"/>
        <v>4Q15</v>
      </c>
      <c r="G480" s="218">
        <v>42307</v>
      </c>
      <c r="H480" s="217">
        <v>3.8563999999999998</v>
      </c>
    </row>
    <row r="481" spans="2:8">
      <c r="B481" s="217" t="str">
        <f t="shared" si="37"/>
        <v>4Q</v>
      </c>
      <c r="C481" s="217">
        <f t="shared" si="41"/>
        <v>11</v>
      </c>
      <c r="D481" s="217" t="str">
        <f t="shared" si="38"/>
        <v>15</v>
      </c>
      <c r="E481">
        <f t="shared" si="39"/>
        <v>2015</v>
      </c>
      <c r="F481" s="217" t="str">
        <f t="shared" si="40"/>
        <v>4Q15</v>
      </c>
      <c r="G481" s="218">
        <v>42310</v>
      </c>
      <c r="H481" s="217">
        <v>3.8506999999999998</v>
      </c>
    </row>
    <row r="482" spans="2:8">
      <c r="B482" s="217" t="str">
        <f t="shared" si="37"/>
        <v>4Q</v>
      </c>
      <c r="C482" s="217">
        <f t="shared" si="41"/>
        <v>11</v>
      </c>
      <c r="D482" s="217" t="str">
        <f t="shared" si="38"/>
        <v>15</v>
      </c>
      <c r="E482">
        <f t="shared" si="39"/>
        <v>2015</v>
      </c>
      <c r="F482" s="217" t="str">
        <f t="shared" si="40"/>
        <v>4Q15</v>
      </c>
      <c r="G482" s="218">
        <v>42311</v>
      </c>
      <c r="H482" s="217">
        <v>3.7711999999999999</v>
      </c>
    </row>
    <row r="483" spans="2:8">
      <c r="B483" s="217" t="str">
        <f t="shared" si="37"/>
        <v>4Q</v>
      </c>
      <c r="C483" s="217">
        <f t="shared" si="41"/>
        <v>11</v>
      </c>
      <c r="D483" s="217" t="str">
        <f t="shared" si="38"/>
        <v>15</v>
      </c>
      <c r="E483">
        <f t="shared" si="39"/>
        <v>2015</v>
      </c>
      <c r="F483" s="217" t="str">
        <f t="shared" si="40"/>
        <v>4Q15</v>
      </c>
      <c r="G483" s="218">
        <v>42312</v>
      </c>
      <c r="H483" s="217">
        <v>3.8003</v>
      </c>
    </row>
    <row r="484" spans="2:8">
      <c r="B484" s="217" t="str">
        <f t="shared" si="37"/>
        <v>4Q</v>
      </c>
      <c r="C484" s="217">
        <f t="shared" si="41"/>
        <v>11</v>
      </c>
      <c r="D484" s="217" t="str">
        <f t="shared" si="38"/>
        <v>15</v>
      </c>
      <c r="E484">
        <f t="shared" si="39"/>
        <v>2015</v>
      </c>
      <c r="F484" s="217" t="str">
        <f t="shared" si="40"/>
        <v>4Q15</v>
      </c>
      <c r="G484" s="218">
        <v>42313</v>
      </c>
      <c r="H484" s="217">
        <v>3.7812999999999999</v>
      </c>
    </row>
    <row r="485" spans="2:8">
      <c r="B485" s="217" t="str">
        <f t="shared" si="37"/>
        <v>4Q</v>
      </c>
      <c r="C485" s="217">
        <f t="shared" si="41"/>
        <v>11</v>
      </c>
      <c r="D485" s="217" t="str">
        <f t="shared" si="38"/>
        <v>15</v>
      </c>
      <c r="E485">
        <f t="shared" si="39"/>
        <v>2015</v>
      </c>
      <c r="F485" s="217" t="str">
        <f t="shared" si="40"/>
        <v>4Q15</v>
      </c>
      <c r="G485" s="218">
        <v>42314</v>
      </c>
      <c r="H485" s="217">
        <v>3.7713000000000001</v>
      </c>
    </row>
    <row r="486" spans="2:8">
      <c r="B486" s="217" t="str">
        <f t="shared" si="37"/>
        <v>4Q</v>
      </c>
      <c r="C486" s="217">
        <f t="shared" si="41"/>
        <v>11</v>
      </c>
      <c r="D486" s="217" t="str">
        <f t="shared" si="38"/>
        <v>15</v>
      </c>
      <c r="E486">
        <f t="shared" si="39"/>
        <v>2015</v>
      </c>
      <c r="F486" s="217" t="str">
        <f t="shared" si="40"/>
        <v>4Q15</v>
      </c>
      <c r="G486" s="218">
        <v>42317</v>
      </c>
      <c r="H486" s="217">
        <v>3.7989999999999999</v>
      </c>
    </row>
    <row r="487" spans="2:8">
      <c r="B487" s="217" t="str">
        <f t="shared" si="37"/>
        <v>4Q</v>
      </c>
      <c r="C487" s="217">
        <f t="shared" si="41"/>
        <v>11</v>
      </c>
      <c r="D487" s="217" t="str">
        <f t="shared" si="38"/>
        <v>15</v>
      </c>
      <c r="E487">
        <f t="shared" si="39"/>
        <v>2015</v>
      </c>
      <c r="F487" s="217" t="str">
        <f t="shared" si="40"/>
        <v>4Q15</v>
      </c>
      <c r="G487" s="218">
        <v>42318</v>
      </c>
      <c r="H487" s="217">
        <v>3.7509999999999999</v>
      </c>
    </row>
    <row r="488" spans="2:8">
      <c r="B488" s="217" t="str">
        <f t="shared" si="37"/>
        <v>4Q</v>
      </c>
      <c r="C488" s="217">
        <f t="shared" si="41"/>
        <v>11</v>
      </c>
      <c r="D488" s="217" t="str">
        <f t="shared" si="38"/>
        <v>15</v>
      </c>
      <c r="E488">
        <f t="shared" si="39"/>
        <v>2015</v>
      </c>
      <c r="F488" s="217" t="str">
        <f t="shared" si="40"/>
        <v>4Q15</v>
      </c>
      <c r="G488" s="218">
        <v>42319</v>
      </c>
      <c r="H488" s="217">
        <v>3.7639</v>
      </c>
    </row>
    <row r="489" spans="2:8">
      <c r="B489" s="217" t="str">
        <f t="shared" si="37"/>
        <v>4Q</v>
      </c>
      <c r="C489" s="217">
        <f t="shared" si="41"/>
        <v>11</v>
      </c>
      <c r="D489" s="217" t="str">
        <f t="shared" si="38"/>
        <v>15</v>
      </c>
      <c r="E489">
        <f t="shared" si="39"/>
        <v>2015</v>
      </c>
      <c r="F489" s="217" t="str">
        <f t="shared" si="40"/>
        <v>4Q15</v>
      </c>
      <c r="G489" s="218">
        <v>42320</v>
      </c>
      <c r="H489" s="217">
        <v>3.7709999999999999</v>
      </c>
    </row>
    <row r="490" spans="2:8">
      <c r="B490" s="217" t="str">
        <f t="shared" si="37"/>
        <v>4Q</v>
      </c>
      <c r="C490" s="217">
        <f t="shared" si="41"/>
        <v>11</v>
      </c>
      <c r="D490" s="217" t="str">
        <f t="shared" si="38"/>
        <v>15</v>
      </c>
      <c r="E490">
        <f t="shared" si="39"/>
        <v>2015</v>
      </c>
      <c r="F490" s="217" t="str">
        <f t="shared" si="40"/>
        <v>4Q15</v>
      </c>
      <c r="G490" s="218">
        <v>42321</v>
      </c>
      <c r="H490" s="217">
        <v>3.8456000000000001</v>
      </c>
    </row>
    <row r="491" spans="2:8">
      <c r="B491" s="217" t="str">
        <f t="shared" si="37"/>
        <v>4Q</v>
      </c>
      <c r="C491" s="217">
        <f t="shared" si="41"/>
        <v>11</v>
      </c>
      <c r="D491" s="217" t="str">
        <f t="shared" si="38"/>
        <v>15</v>
      </c>
      <c r="E491">
        <f t="shared" si="39"/>
        <v>2015</v>
      </c>
      <c r="F491" s="217" t="str">
        <f t="shared" si="40"/>
        <v>4Q15</v>
      </c>
      <c r="G491" s="218">
        <v>42324</v>
      </c>
      <c r="H491" s="217">
        <v>3.8193999999999999</v>
      </c>
    </row>
    <row r="492" spans="2:8">
      <c r="B492" s="217" t="str">
        <f t="shared" si="37"/>
        <v>4Q</v>
      </c>
      <c r="C492" s="217">
        <f t="shared" si="41"/>
        <v>11</v>
      </c>
      <c r="D492" s="217" t="str">
        <f t="shared" si="38"/>
        <v>15</v>
      </c>
      <c r="E492">
        <f t="shared" si="39"/>
        <v>2015</v>
      </c>
      <c r="F492" s="217" t="str">
        <f t="shared" si="40"/>
        <v>4Q15</v>
      </c>
      <c r="G492" s="218">
        <v>42325</v>
      </c>
      <c r="H492" s="217">
        <v>3.8105000000000002</v>
      </c>
    </row>
    <row r="493" spans="2:8">
      <c r="B493" s="217" t="str">
        <f t="shared" si="37"/>
        <v>4Q</v>
      </c>
      <c r="C493" s="217">
        <f t="shared" si="41"/>
        <v>11</v>
      </c>
      <c r="D493" s="217" t="str">
        <f t="shared" si="38"/>
        <v>15</v>
      </c>
      <c r="E493">
        <f t="shared" si="39"/>
        <v>2015</v>
      </c>
      <c r="F493" s="217" t="str">
        <f t="shared" si="40"/>
        <v>4Q15</v>
      </c>
      <c r="G493" s="218">
        <v>42326</v>
      </c>
      <c r="H493" s="217">
        <v>3.7667999999999999</v>
      </c>
    </row>
    <row r="494" spans="2:8">
      <c r="B494" s="217" t="str">
        <f t="shared" si="37"/>
        <v>4Q</v>
      </c>
      <c r="C494" s="217">
        <f t="shared" si="41"/>
        <v>11</v>
      </c>
      <c r="D494" s="217" t="str">
        <f t="shared" si="38"/>
        <v>15</v>
      </c>
      <c r="E494">
        <f t="shared" si="39"/>
        <v>2015</v>
      </c>
      <c r="F494" s="217" t="str">
        <f t="shared" si="40"/>
        <v>4Q15</v>
      </c>
      <c r="G494" s="218">
        <v>42327</v>
      </c>
      <c r="H494" s="217">
        <v>3.7181000000000002</v>
      </c>
    </row>
    <row r="495" spans="2:8">
      <c r="B495" s="217" t="str">
        <f t="shared" si="37"/>
        <v>4Q</v>
      </c>
      <c r="C495" s="217">
        <f t="shared" si="41"/>
        <v>11</v>
      </c>
      <c r="D495" s="217" t="str">
        <f t="shared" si="38"/>
        <v>15</v>
      </c>
      <c r="E495">
        <f t="shared" si="39"/>
        <v>2015</v>
      </c>
      <c r="F495" s="217" t="str">
        <f t="shared" si="40"/>
        <v>4Q15</v>
      </c>
      <c r="G495" s="218">
        <v>42328</v>
      </c>
      <c r="H495" s="217">
        <v>3.7052</v>
      </c>
    </row>
    <row r="496" spans="2:8">
      <c r="B496" s="217" t="str">
        <f t="shared" si="37"/>
        <v>4Q</v>
      </c>
      <c r="C496" s="217">
        <f t="shared" si="41"/>
        <v>11</v>
      </c>
      <c r="D496" s="217" t="str">
        <f t="shared" si="38"/>
        <v>15</v>
      </c>
      <c r="E496">
        <f t="shared" si="39"/>
        <v>2015</v>
      </c>
      <c r="F496" s="217" t="str">
        <f t="shared" si="40"/>
        <v>4Q15</v>
      </c>
      <c r="G496" s="218">
        <v>42331</v>
      </c>
      <c r="H496" s="217">
        <v>3.7330000000000001</v>
      </c>
    </row>
    <row r="497" spans="2:8">
      <c r="B497" s="217" t="str">
        <f t="shared" si="37"/>
        <v>4Q</v>
      </c>
      <c r="C497" s="217">
        <f t="shared" si="41"/>
        <v>11</v>
      </c>
      <c r="D497" s="217" t="str">
        <f t="shared" si="38"/>
        <v>15</v>
      </c>
      <c r="E497">
        <f t="shared" si="39"/>
        <v>2015</v>
      </c>
      <c r="F497" s="217" t="str">
        <f t="shared" si="40"/>
        <v>4Q15</v>
      </c>
      <c r="G497" s="218">
        <v>42332</v>
      </c>
      <c r="H497" s="217">
        <v>3.7</v>
      </c>
    </row>
    <row r="498" spans="2:8">
      <c r="B498" s="217" t="str">
        <f t="shared" si="37"/>
        <v>4Q</v>
      </c>
      <c r="C498" s="217">
        <f t="shared" si="41"/>
        <v>11</v>
      </c>
      <c r="D498" s="217" t="str">
        <f t="shared" si="38"/>
        <v>15</v>
      </c>
      <c r="E498">
        <f t="shared" si="39"/>
        <v>2015</v>
      </c>
      <c r="F498" s="217" t="str">
        <f t="shared" si="40"/>
        <v>4Q15</v>
      </c>
      <c r="G498" s="218">
        <v>42333</v>
      </c>
      <c r="H498" s="217">
        <v>3.7425000000000002</v>
      </c>
    </row>
    <row r="499" spans="2:8">
      <c r="B499" s="217" t="str">
        <f t="shared" si="37"/>
        <v>4Q</v>
      </c>
      <c r="C499" s="217">
        <f t="shared" si="41"/>
        <v>11</v>
      </c>
      <c r="D499" s="217" t="str">
        <f t="shared" si="38"/>
        <v>15</v>
      </c>
      <c r="E499">
        <f t="shared" si="39"/>
        <v>2015</v>
      </c>
      <c r="F499" s="217" t="str">
        <f t="shared" si="40"/>
        <v>4Q15</v>
      </c>
      <c r="G499" s="218">
        <v>42334</v>
      </c>
      <c r="H499" s="217">
        <v>3.7431000000000001</v>
      </c>
    </row>
    <row r="500" spans="2:8">
      <c r="B500" s="217" t="str">
        <f t="shared" si="37"/>
        <v>4Q</v>
      </c>
      <c r="C500" s="217">
        <f t="shared" si="41"/>
        <v>11</v>
      </c>
      <c r="D500" s="217" t="str">
        <f t="shared" si="38"/>
        <v>15</v>
      </c>
      <c r="E500">
        <f t="shared" si="39"/>
        <v>2015</v>
      </c>
      <c r="F500" s="217" t="str">
        <f t="shared" si="40"/>
        <v>4Q15</v>
      </c>
      <c r="G500" s="218">
        <v>42335</v>
      </c>
      <c r="H500" s="217">
        <v>3.8464</v>
      </c>
    </row>
    <row r="501" spans="2:8">
      <c r="B501" s="217" t="str">
        <f t="shared" si="37"/>
        <v>4Q</v>
      </c>
      <c r="C501" s="217">
        <f t="shared" si="41"/>
        <v>11</v>
      </c>
      <c r="D501" s="217" t="str">
        <f t="shared" si="38"/>
        <v>15</v>
      </c>
      <c r="E501">
        <f t="shared" si="39"/>
        <v>2015</v>
      </c>
      <c r="F501" s="217" t="str">
        <f t="shared" si="40"/>
        <v>4Q15</v>
      </c>
      <c r="G501" s="218">
        <v>42338</v>
      </c>
      <c r="H501" s="217">
        <v>3.8690000000000002</v>
      </c>
    </row>
    <row r="502" spans="2:8">
      <c r="B502" s="217" t="str">
        <f t="shared" si="37"/>
        <v>4Q</v>
      </c>
      <c r="C502" s="217">
        <f t="shared" si="41"/>
        <v>12</v>
      </c>
      <c r="D502" s="217" t="str">
        <f t="shared" si="38"/>
        <v>15</v>
      </c>
      <c r="E502">
        <f t="shared" si="39"/>
        <v>2015</v>
      </c>
      <c r="F502" s="217" t="str">
        <f t="shared" si="40"/>
        <v>4Q15</v>
      </c>
      <c r="G502" s="218">
        <v>42339</v>
      </c>
      <c r="H502" s="217">
        <v>3.8574999999999999</v>
      </c>
    </row>
    <row r="503" spans="2:8">
      <c r="B503" s="217" t="str">
        <f t="shared" si="37"/>
        <v>4Q</v>
      </c>
      <c r="C503" s="217">
        <f t="shared" si="41"/>
        <v>12</v>
      </c>
      <c r="D503" s="217" t="str">
        <f t="shared" si="38"/>
        <v>15</v>
      </c>
      <c r="E503">
        <f t="shared" si="39"/>
        <v>2015</v>
      </c>
      <c r="F503" s="217" t="str">
        <f t="shared" si="40"/>
        <v>4Q15</v>
      </c>
      <c r="G503" s="218">
        <v>42340</v>
      </c>
      <c r="H503" s="217">
        <v>3.8351999999999999</v>
      </c>
    </row>
    <row r="504" spans="2:8">
      <c r="B504" s="217" t="str">
        <f t="shared" si="37"/>
        <v>4Q</v>
      </c>
      <c r="C504" s="217">
        <f t="shared" si="41"/>
        <v>12</v>
      </c>
      <c r="D504" s="217" t="str">
        <f t="shared" si="38"/>
        <v>15</v>
      </c>
      <c r="E504">
        <f t="shared" si="39"/>
        <v>2015</v>
      </c>
      <c r="F504" s="217" t="str">
        <f t="shared" si="40"/>
        <v>4Q15</v>
      </c>
      <c r="G504" s="218">
        <v>42341</v>
      </c>
      <c r="H504" s="217">
        <v>3.7595999999999998</v>
      </c>
    </row>
    <row r="505" spans="2:8">
      <c r="B505" s="217" t="str">
        <f t="shared" si="37"/>
        <v>4Q</v>
      </c>
      <c r="C505" s="217">
        <f t="shared" si="41"/>
        <v>12</v>
      </c>
      <c r="D505" s="217" t="str">
        <f t="shared" si="38"/>
        <v>15</v>
      </c>
      <c r="E505">
        <f t="shared" si="39"/>
        <v>2015</v>
      </c>
      <c r="F505" s="217" t="str">
        <f t="shared" si="40"/>
        <v>4Q15</v>
      </c>
      <c r="G505" s="218">
        <v>42342</v>
      </c>
      <c r="H505" s="217">
        <v>3.7521</v>
      </c>
    </row>
    <row r="506" spans="2:8">
      <c r="B506" s="217" t="str">
        <f t="shared" si="37"/>
        <v>4Q</v>
      </c>
      <c r="C506" s="217">
        <f t="shared" si="41"/>
        <v>12</v>
      </c>
      <c r="D506" s="217" t="str">
        <f t="shared" si="38"/>
        <v>15</v>
      </c>
      <c r="E506">
        <f t="shared" si="39"/>
        <v>2015</v>
      </c>
      <c r="F506" s="217" t="str">
        <f t="shared" si="40"/>
        <v>4Q15</v>
      </c>
      <c r="G506" s="218">
        <v>42345</v>
      </c>
      <c r="H506" s="217">
        <v>3.7681</v>
      </c>
    </row>
    <row r="507" spans="2:8">
      <c r="B507" s="217" t="str">
        <f t="shared" si="37"/>
        <v>4Q</v>
      </c>
      <c r="C507" s="217">
        <f t="shared" si="41"/>
        <v>12</v>
      </c>
      <c r="D507" s="217" t="str">
        <f t="shared" si="38"/>
        <v>15</v>
      </c>
      <c r="E507">
        <f t="shared" si="39"/>
        <v>2015</v>
      </c>
      <c r="F507" s="217" t="str">
        <f t="shared" si="40"/>
        <v>4Q15</v>
      </c>
      <c r="G507" s="218">
        <v>42346</v>
      </c>
      <c r="H507" s="217">
        <v>3.7961999999999998</v>
      </c>
    </row>
    <row r="508" spans="2:8">
      <c r="B508" s="217" t="str">
        <f t="shared" si="37"/>
        <v>4Q</v>
      </c>
      <c r="C508" s="217">
        <f t="shared" si="41"/>
        <v>12</v>
      </c>
      <c r="D508" s="217" t="str">
        <f t="shared" si="38"/>
        <v>15</v>
      </c>
      <c r="E508">
        <f t="shared" si="39"/>
        <v>2015</v>
      </c>
      <c r="F508" s="217" t="str">
        <f t="shared" si="40"/>
        <v>4Q15</v>
      </c>
      <c r="G508" s="218">
        <v>42347</v>
      </c>
      <c r="H508" s="217">
        <v>3.7502</v>
      </c>
    </row>
    <row r="509" spans="2:8">
      <c r="B509" s="217" t="str">
        <f t="shared" si="37"/>
        <v>4Q</v>
      </c>
      <c r="C509" s="217">
        <f t="shared" si="41"/>
        <v>12</v>
      </c>
      <c r="D509" s="217" t="str">
        <f t="shared" si="38"/>
        <v>15</v>
      </c>
      <c r="E509">
        <f t="shared" si="39"/>
        <v>2015</v>
      </c>
      <c r="F509" s="217" t="str">
        <f t="shared" si="40"/>
        <v>4Q15</v>
      </c>
      <c r="G509" s="218">
        <v>42348</v>
      </c>
      <c r="H509" s="217">
        <v>3.8126000000000002</v>
      </c>
    </row>
    <row r="510" spans="2:8">
      <c r="B510" s="217" t="str">
        <f t="shared" si="37"/>
        <v>4Q</v>
      </c>
      <c r="C510" s="217">
        <f t="shared" si="41"/>
        <v>12</v>
      </c>
      <c r="D510" s="217" t="str">
        <f t="shared" si="38"/>
        <v>15</v>
      </c>
      <c r="E510">
        <f t="shared" si="39"/>
        <v>2015</v>
      </c>
      <c r="F510" s="217" t="str">
        <f t="shared" si="40"/>
        <v>4Q15</v>
      </c>
      <c r="G510" s="218">
        <v>42349</v>
      </c>
      <c r="H510" s="217">
        <v>3.8730000000000002</v>
      </c>
    </row>
    <row r="511" spans="2:8">
      <c r="B511" s="217" t="str">
        <f t="shared" si="37"/>
        <v>4Q</v>
      </c>
      <c r="C511" s="217">
        <f t="shared" si="41"/>
        <v>12</v>
      </c>
      <c r="D511" s="217" t="str">
        <f t="shared" si="38"/>
        <v>15</v>
      </c>
      <c r="E511">
        <f t="shared" si="39"/>
        <v>2015</v>
      </c>
      <c r="F511" s="217" t="str">
        <f t="shared" si="40"/>
        <v>4Q15</v>
      </c>
      <c r="G511" s="218">
        <v>42352</v>
      </c>
      <c r="H511" s="217">
        <v>3.8778999999999999</v>
      </c>
    </row>
    <row r="512" spans="2:8">
      <c r="B512" s="217" t="str">
        <f t="shared" si="37"/>
        <v>4Q</v>
      </c>
      <c r="C512" s="217">
        <f t="shared" si="41"/>
        <v>12</v>
      </c>
      <c r="D512" s="217" t="str">
        <f t="shared" si="38"/>
        <v>15</v>
      </c>
      <c r="E512">
        <f t="shared" si="39"/>
        <v>2015</v>
      </c>
      <c r="F512" s="217" t="str">
        <f t="shared" si="40"/>
        <v>4Q15</v>
      </c>
      <c r="G512" s="218">
        <v>42353</v>
      </c>
      <c r="H512" s="217">
        <v>3.8730000000000002</v>
      </c>
    </row>
    <row r="513" spans="2:8">
      <c r="B513" s="217" t="str">
        <f t="shared" si="37"/>
        <v>4Q</v>
      </c>
      <c r="C513" s="217">
        <f t="shared" si="41"/>
        <v>12</v>
      </c>
      <c r="D513" s="217" t="str">
        <f t="shared" si="38"/>
        <v>15</v>
      </c>
      <c r="E513">
        <f t="shared" si="39"/>
        <v>2015</v>
      </c>
      <c r="F513" s="217" t="str">
        <f t="shared" si="40"/>
        <v>4Q15</v>
      </c>
      <c r="G513" s="218">
        <v>42354</v>
      </c>
      <c r="H513" s="217">
        <v>3.8847999999999998</v>
      </c>
    </row>
    <row r="514" spans="2:8">
      <c r="B514" s="217" t="str">
        <f t="shared" si="37"/>
        <v>4Q</v>
      </c>
      <c r="C514" s="217">
        <f t="shared" si="41"/>
        <v>12</v>
      </c>
      <c r="D514" s="217" t="str">
        <f t="shared" si="38"/>
        <v>15</v>
      </c>
      <c r="E514">
        <f t="shared" si="39"/>
        <v>2015</v>
      </c>
      <c r="F514" s="217" t="str">
        <f t="shared" si="40"/>
        <v>4Q15</v>
      </c>
      <c r="G514" s="218">
        <v>42355</v>
      </c>
      <c r="H514" s="217">
        <v>3.8795999999999999</v>
      </c>
    </row>
    <row r="515" spans="2:8">
      <c r="B515" s="217" t="str">
        <f t="shared" ref="B515:B578" si="42">VLOOKUP(C515,$N$3:$O$14,2,0)</f>
        <v>4Q</v>
      </c>
      <c r="C515" s="217">
        <f t="shared" si="41"/>
        <v>12</v>
      </c>
      <c r="D515" s="217" t="str">
        <f t="shared" ref="D515:D578" si="43">RIGHT(E515,2)</f>
        <v>15</v>
      </c>
      <c r="E515">
        <f t="shared" ref="E515:E578" si="44">YEAR(G515)</f>
        <v>2015</v>
      </c>
      <c r="F515" s="217" t="str">
        <f t="shared" ref="F515:F578" si="45">+B515&amp;D515</f>
        <v>4Q15</v>
      </c>
      <c r="G515" s="218">
        <v>42356</v>
      </c>
      <c r="H515" s="217">
        <v>3.9824000000000002</v>
      </c>
    </row>
    <row r="516" spans="2:8">
      <c r="B516" s="217" t="str">
        <f t="shared" si="42"/>
        <v>4Q</v>
      </c>
      <c r="C516" s="217">
        <f t="shared" ref="C516:C579" si="46">MONTH(G516)</f>
        <v>12</v>
      </c>
      <c r="D516" s="217" t="str">
        <f t="shared" si="43"/>
        <v>15</v>
      </c>
      <c r="E516">
        <f t="shared" si="44"/>
        <v>2015</v>
      </c>
      <c r="F516" s="217" t="str">
        <f t="shared" si="45"/>
        <v>4Q15</v>
      </c>
      <c r="G516" s="218">
        <v>42359</v>
      </c>
      <c r="H516" s="217">
        <v>4.0133999999999999</v>
      </c>
    </row>
    <row r="517" spans="2:8">
      <c r="B517" s="217" t="str">
        <f t="shared" si="42"/>
        <v>4Q</v>
      </c>
      <c r="C517" s="217">
        <f t="shared" si="46"/>
        <v>12</v>
      </c>
      <c r="D517" s="217" t="str">
        <f t="shared" si="43"/>
        <v>15</v>
      </c>
      <c r="E517">
        <f t="shared" si="44"/>
        <v>2015</v>
      </c>
      <c r="F517" s="217" t="str">
        <f t="shared" si="45"/>
        <v>4Q15</v>
      </c>
      <c r="G517" s="218">
        <v>42360</v>
      </c>
      <c r="H517" s="217">
        <v>3.9899</v>
      </c>
    </row>
    <row r="518" spans="2:8">
      <c r="B518" s="217" t="str">
        <f t="shared" si="42"/>
        <v>4Q</v>
      </c>
      <c r="C518" s="217">
        <f t="shared" si="46"/>
        <v>12</v>
      </c>
      <c r="D518" s="217" t="str">
        <f t="shared" si="43"/>
        <v>15</v>
      </c>
      <c r="E518">
        <f t="shared" si="44"/>
        <v>2015</v>
      </c>
      <c r="F518" s="217" t="str">
        <f t="shared" si="45"/>
        <v>4Q15</v>
      </c>
      <c r="G518" s="218">
        <v>42361</v>
      </c>
      <c r="H518" s="217">
        <v>3.9419</v>
      </c>
    </row>
    <row r="519" spans="2:8">
      <c r="B519" s="217" t="str">
        <f t="shared" si="42"/>
        <v>4Q</v>
      </c>
      <c r="C519" s="217">
        <f t="shared" si="46"/>
        <v>12</v>
      </c>
      <c r="D519" s="217" t="str">
        <f t="shared" si="43"/>
        <v>15</v>
      </c>
      <c r="E519">
        <f t="shared" si="44"/>
        <v>2015</v>
      </c>
      <c r="F519" s="217" t="str">
        <f t="shared" si="45"/>
        <v>4Q15</v>
      </c>
      <c r="G519" s="218">
        <v>42362</v>
      </c>
      <c r="H519" s="217">
        <v>3.9529999999999998</v>
      </c>
    </row>
    <row r="520" spans="2:8">
      <c r="B520" s="217" t="str">
        <f t="shared" si="42"/>
        <v>4Q</v>
      </c>
      <c r="C520" s="217">
        <f t="shared" si="46"/>
        <v>12</v>
      </c>
      <c r="D520" s="217" t="str">
        <f t="shared" si="43"/>
        <v>15</v>
      </c>
      <c r="E520">
        <f t="shared" si="44"/>
        <v>2015</v>
      </c>
      <c r="F520" s="217" t="str">
        <f t="shared" si="45"/>
        <v>4Q15</v>
      </c>
      <c r="G520" s="218">
        <v>42363</v>
      </c>
      <c r="H520" s="217">
        <v>3.9462999999999999</v>
      </c>
    </row>
    <row r="521" spans="2:8">
      <c r="B521" s="217" t="str">
        <f t="shared" si="42"/>
        <v>4Q</v>
      </c>
      <c r="C521" s="217">
        <f t="shared" si="46"/>
        <v>12</v>
      </c>
      <c r="D521" s="217" t="str">
        <f t="shared" si="43"/>
        <v>15</v>
      </c>
      <c r="E521">
        <f t="shared" si="44"/>
        <v>2015</v>
      </c>
      <c r="F521" s="217" t="str">
        <f t="shared" si="45"/>
        <v>4Q15</v>
      </c>
      <c r="G521" s="218">
        <v>42366</v>
      </c>
      <c r="H521" s="217">
        <v>3.8586</v>
      </c>
    </row>
    <row r="522" spans="2:8">
      <c r="B522" s="217" t="str">
        <f t="shared" si="42"/>
        <v>4Q</v>
      </c>
      <c r="C522" s="217">
        <f t="shared" si="46"/>
        <v>12</v>
      </c>
      <c r="D522" s="217" t="str">
        <f t="shared" si="43"/>
        <v>15</v>
      </c>
      <c r="E522">
        <f t="shared" si="44"/>
        <v>2015</v>
      </c>
      <c r="F522" s="217" t="str">
        <f t="shared" si="45"/>
        <v>4Q15</v>
      </c>
      <c r="G522" s="218">
        <v>42367</v>
      </c>
      <c r="H522" s="217">
        <v>3.8654999999999999</v>
      </c>
    </row>
    <row r="523" spans="2:8">
      <c r="B523" s="217" t="str">
        <f t="shared" si="42"/>
        <v>4Q</v>
      </c>
      <c r="C523" s="217">
        <f t="shared" si="46"/>
        <v>12</v>
      </c>
      <c r="D523" s="217" t="str">
        <f t="shared" si="43"/>
        <v>15</v>
      </c>
      <c r="E523">
        <f t="shared" si="44"/>
        <v>2015</v>
      </c>
      <c r="F523" s="217" t="str">
        <f t="shared" si="45"/>
        <v>4Q15</v>
      </c>
      <c r="G523" s="218">
        <v>42368</v>
      </c>
      <c r="H523" s="217">
        <v>3.9607999999999999</v>
      </c>
    </row>
    <row r="524" spans="2:8">
      <c r="B524" s="217" t="str">
        <f t="shared" si="42"/>
        <v>4Q</v>
      </c>
      <c r="C524" s="217">
        <f t="shared" si="46"/>
        <v>12</v>
      </c>
      <c r="D524" s="217" t="str">
        <f t="shared" si="43"/>
        <v>15</v>
      </c>
      <c r="E524">
        <f t="shared" si="44"/>
        <v>2015</v>
      </c>
      <c r="F524" s="217" t="str">
        <f t="shared" si="45"/>
        <v>4Q15</v>
      </c>
      <c r="G524" s="218">
        <v>42369</v>
      </c>
      <c r="H524" s="217">
        <v>3.9607999999999999</v>
      </c>
    </row>
    <row r="525" spans="2:8">
      <c r="B525" s="217" t="str">
        <f t="shared" si="42"/>
        <v>1Q</v>
      </c>
      <c r="C525" s="217">
        <f t="shared" si="46"/>
        <v>1</v>
      </c>
      <c r="D525" s="217" t="str">
        <f t="shared" si="43"/>
        <v>16</v>
      </c>
      <c r="E525">
        <f t="shared" si="44"/>
        <v>2016</v>
      </c>
      <c r="F525" s="217" t="str">
        <f t="shared" si="45"/>
        <v>1Q16</v>
      </c>
      <c r="G525" s="218">
        <v>42370</v>
      </c>
      <c r="H525" s="217">
        <v>3.9607999999999999</v>
      </c>
    </row>
    <row r="526" spans="2:8">
      <c r="B526" s="217" t="str">
        <f t="shared" si="42"/>
        <v>1Q</v>
      </c>
      <c r="C526" s="217">
        <f t="shared" si="46"/>
        <v>1</v>
      </c>
      <c r="D526" s="217" t="str">
        <f t="shared" si="43"/>
        <v>16</v>
      </c>
      <c r="E526">
        <f t="shared" si="44"/>
        <v>2016</v>
      </c>
      <c r="F526" s="217" t="str">
        <f t="shared" si="45"/>
        <v>1Q16</v>
      </c>
      <c r="G526" s="218">
        <v>42373</v>
      </c>
      <c r="H526" s="217">
        <v>4.0401999999999996</v>
      </c>
    </row>
    <row r="527" spans="2:8">
      <c r="B527" s="217" t="str">
        <f t="shared" si="42"/>
        <v>1Q</v>
      </c>
      <c r="C527" s="217">
        <f t="shared" si="46"/>
        <v>1</v>
      </c>
      <c r="D527" s="217" t="str">
        <f t="shared" si="43"/>
        <v>16</v>
      </c>
      <c r="E527">
        <f t="shared" si="44"/>
        <v>2016</v>
      </c>
      <c r="F527" s="217" t="str">
        <f t="shared" si="45"/>
        <v>1Q16</v>
      </c>
      <c r="G527" s="218">
        <v>42374</v>
      </c>
      <c r="H527" s="217">
        <v>4.0076999999999998</v>
      </c>
    </row>
    <row r="528" spans="2:8">
      <c r="B528" s="217" t="str">
        <f t="shared" si="42"/>
        <v>1Q</v>
      </c>
      <c r="C528" s="217">
        <f t="shared" si="46"/>
        <v>1</v>
      </c>
      <c r="D528" s="217" t="str">
        <f t="shared" si="43"/>
        <v>16</v>
      </c>
      <c r="E528">
        <f t="shared" si="44"/>
        <v>2016</v>
      </c>
      <c r="F528" s="217" t="str">
        <f t="shared" si="45"/>
        <v>1Q16</v>
      </c>
      <c r="G528" s="218">
        <v>42375</v>
      </c>
      <c r="H528" s="217">
        <v>4.0244</v>
      </c>
    </row>
    <row r="529" spans="2:8">
      <c r="B529" s="217" t="str">
        <f t="shared" si="42"/>
        <v>1Q</v>
      </c>
      <c r="C529" s="217">
        <f t="shared" si="46"/>
        <v>1</v>
      </c>
      <c r="D529" s="217" t="str">
        <f t="shared" si="43"/>
        <v>16</v>
      </c>
      <c r="E529">
        <f t="shared" si="44"/>
        <v>2016</v>
      </c>
      <c r="F529" s="217" t="str">
        <f t="shared" si="45"/>
        <v>1Q16</v>
      </c>
      <c r="G529" s="218">
        <v>42376</v>
      </c>
      <c r="H529" s="217">
        <v>4.0448000000000004</v>
      </c>
    </row>
    <row r="530" spans="2:8">
      <c r="B530" s="217" t="str">
        <f t="shared" si="42"/>
        <v>1Q</v>
      </c>
      <c r="C530" s="217">
        <f t="shared" si="46"/>
        <v>1</v>
      </c>
      <c r="D530" s="217" t="str">
        <f t="shared" si="43"/>
        <v>16</v>
      </c>
      <c r="E530">
        <f t="shared" si="44"/>
        <v>2016</v>
      </c>
      <c r="F530" s="217" t="str">
        <f t="shared" si="45"/>
        <v>1Q16</v>
      </c>
      <c r="G530" s="218">
        <v>42377</v>
      </c>
      <c r="H530" s="217">
        <v>4.0244999999999997</v>
      </c>
    </row>
    <row r="531" spans="2:8">
      <c r="B531" s="217" t="str">
        <f t="shared" si="42"/>
        <v>1Q</v>
      </c>
      <c r="C531" s="217">
        <f t="shared" si="46"/>
        <v>1</v>
      </c>
      <c r="D531" s="217" t="str">
        <f t="shared" si="43"/>
        <v>16</v>
      </c>
      <c r="E531">
        <f t="shared" si="44"/>
        <v>2016</v>
      </c>
      <c r="F531" s="217" t="str">
        <f t="shared" si="45"/>
        <v>1Q16</v>
      </c>
      <c r="G531" s="218">
        <v>42380</v>
      </c>
      <c r="H531" s="217">
        <v>4.0537000000000001</v>
      </c>
    </row>
    <row r="532" spans="2:8">
      <c r="B532" s="217" t="str">
        <f t="shared" si="42"/>
        <v>1Q</v>
      </c>
      <c r="C532" s="217">
        <f t="shared" si="46"/>
        <v>1</v>
      </c>
      <c r="D532" s="217" t="str">
        <f t="shared" si="43"/>
        <v>16</v>
      </c>
      <c r="E532">
        <f t="shared" si="44"/>
        <v>2016</v>
      </c>
      <c r="F532" s="217" t="str">
        <f t="shared" si="45"/>
        <v>1Q16</v>
      </c>
      <c r="G532" s="218">
        <v>42381</v>
      </c>
      <c r="H532" s="217">
        <v>4.0289999999999999</v>
      </c>
    </row>
    <row r="533" spans="2:8">
      <c r="B533" s="217" t="str">
        <f t="shared" si="42"/>
        <v>1Q</v>
      </c>
      <c r="C533" s="217">
        <f t="shared" si="46"/>
        <v>1</v>
      </c>
      <c r="D533" s="217" t="str">
        <f t="shared" si="43"/>
        <v>16</v>
      </c>
      <c r="E533">
        <f t="shared" si="44"/>
        <v>2016</v>
      </c>
      <c r="F533" s="217" t="str">
        <f t="shared" si="45"/>
        <v>1Q16</v>
      </c>
      <c r="G533" s="218">
        <v>42382</v>
      </c>
      <c r="H533" s="217">
        <v>4.0157999999999996</v>
      </c>
    </row>
    <row r="534" spans="2:8">
      <c r="B534" s="217" t="str">
        <f t="shared" si="42"/>
        <v>1Q</v>
      </c>
      <c r="C534" s="217">
        <f t="shared" si="46"/>
        <v>1</v>
      </c>
      <c r="D534" s="217" t="str">
        <f t="shared" si="43"/>
        <v>16</v>
      </c>
      <c r="E534">
        <f t="shared" si="44"/>
        <v>2016</v>
      </c>
      <c r="F534" s="217" t="str">
        <f t="shared" si="45"/>
        <v>1Q16</v>
      </c>
      <c r="G534" s="218">
        <v>42383</v>
      </c>
      <c r="H534" s="217">
        <v>3.9996</v>
      </c>
    </row>
    <row r="535" spans="2:8">
      <c r="B535" s="217" t="str">
        <f t="shared" si="42"/>
        <v>1Q</v>
      </c>
      <c r="C535" s="217">
        <f t="shared" si="46"/>
        <v>1</v>
      </c>
      <c r="D535" s="217" t="str">
        <f t="shared" si="43"/>
        <v>16</v>
      </c>
      <c r="E535">
        <f t="shared" si="44"/>
        <v>2016</v>
      </c>
      <c r="F535" s="217" t="str">
        <f t="shared" si="45"/>
        <v>1Q16</v>
      </c>
      <c r="G535" s="218">
        <v>42384</v>
      </c>
      <c r="H535" s="217">
        <v>4.0479000000000003</v>
      </c>
    </row>
    <row r="536" spans="2:8">
      <c r="B536" s="217" t="str">
        <f t="shared" si="42"/>
        <v>1Q</v>
      </c>
      <c r="C536" s="217">
        <f t="shared" si="46"/>
        <v>1</v>
      </c>
      <c r="D536" s="217" t="str">
        <f t="shared" si="43"/>
        <v>16</v>
      </c>
      <c r="E536">
        <f t="shared" si="44"/>
        <v>2016</v>
      </c>
      <c r="F536" s="217" t="str">
        <f t="shared" si="45"/>
        <v>1Q16</v>
      </c>
      <c r="G536" s="218">
        <v>42387</v>
      </c>
      <c r="H536" s="217">
        <v>4.0556999999999999</v>
      </c>
    </row>
    <row r="537" spans="2:8">
      <c r="B537" s="217" t="str">
        <f t="shared" si="42"/>
        <v>1Q</v>
      </c>
      <c r="C537" s="217">
        <f t="shared" si="46"/>
        <v>1</v>
      </c>
      <c r="D537" s="217" t="str">
        <f t="shared" si="43"/>
        <v>16</v>
      </c>
      <c r="E537">
        <f t="shared" si="44"/>
        <v>2016</v>
      </c>
      <c r="F537" s="217" t="str">
        <f t="shared" si="45"/>
        <v>1Q16</v>
      </c>
      <c r="G537" s="218">
        <v>42388</v>
      </c>
      <c r="H537" s="217">
        <v>4.0625999999999998</v>
      </c>
    </row>
    <row r="538" spans="2:8">
      <c r="B538" s="217" t="str">
        <f t="shared" si="42"/>
        <v>1Q</v>
      </c>
      <c r="C538" s="217">
        <f t="shared" si="46"/>
        <v>1</v>
      </c>
      <c r="D538" s="217" t="str">
        <f t="shared" si="43"/>
        <v>16</v>
      </c>
      <c r="E538">
        <f t="shared" si="44"/>
        <v>2016</v>
      </c>
      <c r="F538" s="217" t="str">
        <f t="shared" si="45"/>
        <v>1Q16</v>
      </c>
      <c r="G538" s="218">
        <v>42389</v>
      </c>
      <c r="H538" s="217">
        <v>4.0971000000000002</v>
      </c>
    </row>
    <row r="539" spans="2:8">
      <c r="B539" s="217" t="str">
        <f t="shared" si="42"/>
        <v>1Q</v>
      </c>
      <c r="C539" s="217">
        <f t="shared" si="46"/>
        <v>1</v>
      </c>
      <c r="D539" s="217" t="str">
        <f t="shared" si="43"/>
        <v>16</v>
      </c>
      <c r="E539">
        <f t="shared" si="44"/>
        <v>2016</v>
      </c>
      <c r="F539" s="217" t="str">
        <f t="shared" si="45"/>
        <v>1Q16</v>
      </c>
      <c r="G539" s="218">
        <v>42390</v>
      </c>
      <c r="H539" s="217">
        <v>4.1574999999999998</v>
      </c>
    </row>
    <row r="540" spans="2:8">
      <c r="B540" s="217" t="str">
        <f t="shared" si="42"/>
        <v>1Q</v>
      </c>
      <c r="C540" s="217">
        <f t="shared" si="46"/>
        <v>1</v>
      </c>
      <c r="D540" s="217" t="str">
        <f t="shared" si="43"/>
        <v>16</v>
      </c>
      <c r="E540">
        <f t="shared" si="44"/>
        <v>2016</v>
      </c>
      <c r="F540" s="217" t="str">
        <f t="shared" si="45"/>
        <v>1Q16</v>
      </c>
      <c r="G540" s="218">
        <v>42391</v>
      </c>
      <c r="H540" s="217">
        <v>4.0945</v>
      </c>
    </row>
    <row r="541" spans="2:8">
      <c r="B541" s="217" t="str">
        <f t="shared" si="42"/>
        <v>1Q</v>
      </c>
      <c r="C541" s="217">
        <f t="shared" si="46"/>
        <v>1</v>
      </c>
      <c r="D541" s="217" t="str">
        <f t="shared" si="43"/>
        <v>16</v>
      </c>
      <c r="E541">
        <f t="shared" si="44"/>
        <v>2016</v>
      </c>
      <c r="F541" s="217" t="str">
        <f t="shared" si="45"/>
        <v>1Q16</v>
      </c>
      <c r="G541" s="218">
        <v>42394</v>
      </c>
      <c r="H541" s="217">
        <v>4.0903</v>
      </c>
    </row>
    <row r="542" spans="2:8">
      <c r="B542" s="217" t="str">
        <f t="shared" si="42"/>
        <v>1Q</v>
      </c>
      <c r="C542" s="217">
        <f t="shared" si="46"/>
        <v>1</v>
      </c>
      <c r="D542" s="217" t="str">
        <f t="shared" si="43"/>
        <v>16</v>
      </c>
      <c r="E542">
        <f t="shared" si="44"/>
        <v>2016</v>
      </c>
      <c r="F542" s="217" t="str">
        <f t="shared" si="45"/>
        <v>1Q16</v>
      </c>
      <c r="G542" s="218">
        <v>42395</v>
      </c>
      <c r="H542" s="217">
        <v>4.0536000000000003</v>
      </c>
    </row>
    <row r="543" spans="2:8">
      <c r="B543" s="217" t="str">
        <f t="shared" si="42"/>
        <v>1Q</v>
      </c>
      <c r="C543" s="217">
        <f t="shared" si="46"/>
        <v>1</v>
      </c>
      <c r="D543" s="217" t="str">
        <f t="shared" si="43"/>
        <v>16</v>
      </c>
      <c r="E543">
        <f t="shared" si="44"/>
        <v>2016</v>
      </c>
      <c r="F543" s="217" t="str">
        <f t="shared" si="45"/>
        <v>1Q16</v>
      </c>
      <c r="G543" s="218">
        <v>42396</v>
      </c>
      <c r="H543" s="217">
        <v>4.1077000000000004</v>
      </c>
    </row>
    <row r="544" spans="2:8">
      <c r="B544" s="217" t="str">
        <f t="shared" si="42"/>
        <v>1Q</v>
      </c>
      <c r="C544" s="217">
        <f t="shared" si="46"/>
        <v>1</v>
      </c>
      <c r="D544" s="217" t="str">
        <f t="shared" si="43"/>
        <v>16</v>
      </c>
      <c r="E544">
        <f t="shared" si="44"/>
        <v>2016</v>
      </c>
      <c r="F544" s="217" t="str">
        <f t="shared" si="45"/>
        <v>1Q16</v>
      </c>
      <c r="G544" s="218">
        <v>42397</v>
      </c>
      <c r="H544" s="217">
        <v>4.0698999999999996</v>
      </c>
    </row>
    <row r="545" spans="2:8">
      <c r="B545" s="217" t="str">
        <f t="shared" si="42"/>
        <v>1Q</v>
      </c>
      <c r="C545" s="217">
        <f t="shared" si="46"/>
        <v>1</v>
      </c>
      <c r="D545" s="217" t="str">
        <f t="shared" si="43"/>
        <v>16</v>
      </c>
      <c r="E545">
        <f t="shared" si="44"/>
        <v>2016</v>
      </c>
      <c r="F545" s="217" t="str">
        <f t="shared" si="45"/>
        <v>1Q16</v>
      </c>
      <c r="G545" s="218">
        <v>42398</v>
      </c>
      <c r="H545" s="217">
        <v>3.9988000000000001</v>
      </c>
    </row>
    <row r="546" spans="2:8">
      <c r="B546" s="217" t="str">
        <f t="shared" si="42"/>
        <v>1Q</v>
      </c>
      <c r="C546" s="217">
        <f t="shared" si="46"/>
        <v>2</v>
      </c>
      <c r="D546" s="217" t="str">
        <f t="shared" si="43"/>
        <v>16</v>
      </c>
      <c r="E546">
        <f t="shared" si="44"/>
        <v>2016</v>
      </c>
      <c r="F546" s="217" t="str">
        <f t="shared" si="45"/>
        <v>1Q16</v>
      </c>
      <c r="G546" s="218">
        <v>42401</v>
      </c>
      <c r="H546" s="217">
        <v>3.9628999999999999</v>
      </c>
    </row>
    <row r="547" spans="2:8">
      <c r="B547" s="217" t="str">
        <f t="shared" si="42"/>
        <v>1Q</v>
      </c>
      <c r="C547" s="217">
        <f t="shared" si="46"/>
        <v>2</v>
      </c>
      <c r="D547" s="217" t="str">
        <f t="shared" si="43"/>
        <v>16</v>
      </c>
      <c r="E547">
        <f t="shared" si="44"/>
        <v>2016</v>
      </c>
      <c r="F547" s="217" t="str">
        <f t="shared" si="45"/>
        <v>1Q16</v>
      </c>
      <c r="G547" s="218">
        <v>42402</v>
      </c>
      <c r="H547" s="217">
        <v>3.9895</v>
      </c>
    </row>
    <row r="548" spans="2:8">
      <c r="B548" s="217" t="str">
        <f t="shared" si="42"/>
        <v>1Q</v>
      </c>
      <c r="C548" s="217">
        <f t="shared" si="46"/>
        <v>2</v>
      </c>
      <c r="D548" s="217" t="str">
        <f t="shared" si="43"/>
        <v>16</v>
      </c>
      <c r="E548">
        <f t="shared" si="44"/>
        <v>2016</v>
      </c>
      <c r="F548" s="217" t="str">
        <f t="shared" si="45"/>
        <v>1Q16</v>
      </c>
      <c r="G548" s="218">
        <v>42403</v>
      </c>
      <c r="H548" s="217">
        <v>3.8954</v>
      </c>
    </row>
    <row r="549" spans="2:8">
      <c r="B549" s="217" t="str">
        <f t="shared" si="42"/>
        <v>1Q</v>
      </c>
      <c r="C549" s="217">
        <f t="shared" si="46"/>
        <v>2</v>
      </c>
      <c r="D549" s="217" t="str">
        <f t="shared" si="43"/>
        <v>16</v>
      </c>
      <c r="E549">
        <f t="shared" si="44"/>
        <v>2016</v>
      </c>
      <c r="F549" s="217" t="str">
        <f t="shared" si="45"/>
        <v>1Q16</v>
      </c>
      <c r="G549" s="218">
        <v>42404</v>
      </c>
      <c r="H549" s="217">
        <v>3.8896999999999999</v>
      </c>
    </row>
    <row r="550" spans="2:8">
      <c r="B550" s="217" t="str">
        <f t="shared" si="42"/>
        <v>1Q</v>
      </c>
      <c r="C550" s="217">
        <f t="shared" si="46"/>
        <v>2</v>
      </c>
      <c r="D550" s="217" t="str">
        <f t="shared" si="43"/>
        <v>16</v>
      </c>
      <c r="E550">
        <f t="shared" si="44"/>
        <v>2016</v>
      </c>
      <c r="F550" s="217" t="str">
        <f t="shared" si="45"/>
        <v>1Q16</v>
      </c>
      <c r="G550" s="218">
        <v>42405</v>
      </c>
      <c r="H550" s="217">
        <v>3.9035000000000002</v>
      </c>
    </row>
    <row r="551" spans="2:8">
      <c r="B551" s="217" t="str">
        <f t="shared" si="42"/>
        <v>1Q</v>
      </c>
      <c r="C551" s="217">
        <f t="shared" si="46"/>
        <v>2</v>
      </c>
      <c r="D551" s="217" t="str">
        <f t="shared" si="43"/>
        <v>16</v>
      </c>
      <c r="E551">
        <f t="shared" si="44"/>
        <v>2016</v>
      </c>
      <c r="F551" s="217" t="str">
        <f t="shared" si="45"/>
        <v>1Q16</v>
      </c>
      <c r="G551" s="218">
        <v>42408</v>
      </c>
      <c r="H551" s="217">
        <v>3.8954</v>
      </c>
    </row>
    <row r="552" spans="2:8">
      <c r="B552" s="217" t="str">
        <f t="shared" si="42"/>
        <v>1Q</v>
      </c>
      <c r="C552" s="217">
        <f t="shared" si="46"/>
        <v>2</v>
      </c>
      <c r="D552" s="217" t="str">
        <f t="shared" si="43"/>
        <v>16</v>
      </c>
      <c r="E552">
        <f t="shared" si="44"/>
        <v>2016</v>
      </c>
      <c r="F552" s="217" t="str">
        <f t="shared" si="45"/>
        <v>1Q16</v>
      </c>
      <c r="G552" s="218">
        <v>42409</v>
      </c>
      <c r="H552" s="217">
        <v>3.8856000000000002</v>
      </c>
    </row>
    <row r="553" spans="2:8">
      <c r="B553" s="217" t="str">
        <f t="shared" si="42"/>
        <v>1Q</v>
      </c>
      <c r="C553" s="217">
        <f t="shared" si="46"/>
        <v>2</v>
      </c>
      <c r="D553" s="217" t="str">
        <f t="shared" si="43"/>
        <v>16</v>
      </c>
      <c r="E553">
        <f t="shared" si="44"/>
        <v>2016</v>
      </c>
      <c r="F553" s="217" t="str">
        <f t="shared" si="45"/>
        <v>1Q16</v>
      </c>
      <c r="G553" s="218">
        <v>42410</v>
      </c>
      <c r="H553" s="217">
        <v>3.9285000000000001</v>
      </c>
    </row>
    <row r="554" spans="2:8">
      <c r="B554" s="217" t="str">
        <f t="shared" si="42"/>
        <v>1Q</v>
      </c>
      <c r="C554" s="217">
        <f t="shared" si="46"/>
        <v>2</v>
      </c>
      <c r="D554" s="217" t="str">
        <f t="shared" si="43"/>
        <v>16</v>
      </c>
      <c r="E554">
        <f t="shared" si="44"/>
        <v>2016</v>
      </c>
      <c r="F554" s="217" t="str">
        <f t="shared" si="45"/>
        <v>1Q16</v>
      </c>
      <c r="G554" s="218">
        <v>42411</v>
      </c>
      <c r="H554" s="217">
        <v>3.9946000000000002</v>
      </c>
    </row>
    <row r="555" spans="2:8">
      <c r="B555" s="217" t="str">
        <f t="shared" si="42"/>
        <v>1Q</v>
      </c>
      <c r="C555" s="217">
        <f t="shared" si="46"/>
        <v>2</v>
      </c>
      <c r="D555" s="217" t="str">
        <f t="shared" si="43"/>
        <v>16</v>
      </c>
      <c r="E555">
        <f t="shared" si="44"/>
        <v>2016</v>
      </c>
      <c r="F555" s="217" t="str">
        <f t="shared" si="45"/>
        <v>1Q16</v>
      </c>
      <c r="G555" s="218">
        <v>42412</v>
      </c>
      <c r="H555" s="217">
        <v>4.0026999999999999</v>
      </c>
    </row>
    <row r="556" spans="2:8">
      <c r="B556" s="217" t="str">
        <f t="shared" si="42"/>
        <v>1Q</v>
      </c>
      <c r="C556" s="217">
        <f t="shared" si="46"/>
        <v>2</v>
      </c>
      <c r="D556" s="217" t="str">
        <f t="shared" si="43"/>
        <v>16</v>
      </c>
      <c r="E556">
        <f t="shared" si="44"/>
        <v>2016</v>
      </c>
      <c r="F556" s="217" t="str">
        <f t="shared" si="45"/>
        <v>1Q16</v>
      </c>
      <c r="G556" s="218">
        <v>42415</v>
      </c>
      <c r="H556" s="217">
        <v>4.0060000000000002</v>
      </c>
    </row>
    <row r="557" spans="2:8">
      <c r="B557" s="217" t="str">
        <f t="shared" si="42"/>
        <v>1Q</v>
      </c>
      <c r="C557" s="217">
        <f t="shared" si="46"/>
        <v>2</v>
      </c>
      <c r="D557" s="217" t="str">
        <f t="shared" si="43"/>
        <v>16</v>
      </c>
      <c r="E557">
        <f t="shared" si="44"/>
        <v>2016</v>
      </c>
      <c r="F557" s="217" t="str">
        <f t="shared" si="45"/>
        <v>1Q16</v>
      </c>
      <c r="G557" s="218">
        <v>42416</v>
      </c>
      <c r="H557" s="217">
        <v>4.0723000000000003</v>
      </c>
    </row>
    <row r="558" spans="2:8">
      <c r="B558" s="217" t="str">
        <f t="shared" si="42"/>
        <v>1Q</v>
      </c>
      <c r="C558" s="217">
        <f t="shared" si="46"/>
        <v>2</v>
      </c>
      <c r="D558" s="217" t="str">
        <f t="shared" si="43"/>
        <v>16</v>
      </c>
      <c r="E558">
        <f t="shared" si="44"/>
        <v>2016</v>
      </c>
      <c r="F558" s="217" t="str">
        <f t="shared" si="45"/>
        <v>1Q16</v>
      </c>
      <c r="G558" s="218">
        <v>42417</v>
      </c>
      <c r="H558" s="217">
        <v>3.9851000000000001</v>
      </c>
    </row>
    <row r="559" spans="2:8">
      <c r="B559" s="217" t="str">
        <f t="shared" si="42"/>
        <v>1Q</v>
      </c>
      <c r="C559" s="217">
        <f t="shared" si="46"/>
        <v>2</v>
      </c>
      <c r="D559" s="217" t="str">
        <f t="shared" si="43"/>
        <v>16</v>
      </c>
      <c r="E559">
        <f t="shared" si="44"/>
        <v>2016</v>
      </c>
      <c r="F559" s="217" t="str">
        <f t="shared" si="45"/>
        <v>1Q16</v>
      </c>
      <c r="G559" s="218">
        <v>42418</v>
      </c>
      <c r="H559" s="217">
        <v>4.0284000000000004</v>
      </c>
    </row>
    <row r="560" spans="2:8">
      <c r="B560" s="217" t="str">
        <f t="shared" si="42"/>
        <v>1Q</v>
      </c>
      <c r="C560" s="217">
        <f t="shared" si="46"/>
        <v>2</v>
      </c>
      <c r="D560" s="217" t="str">
        <f t="shared" si="43"/>
        <v>16</v>
      </c>
      <c r="E560">
        <f t="shared" si="44"/>
        <v>2016</v>
      </c>
      <c r="F560" s="217" t="str">
        <f t="shared" si="45"/>
        <v>1Q16</v>
      </c>
      <c r="G560" s="218">
        <v>42419</v>
      </c>
      <c r="H560" s="217">
        <v>4.0213999999999999</v>
      </c>
    </row>
    <row r="561" spans="2:8">
      <c r="B561" s="217" t="str">
        <f t="shared" si="42"/>
        <v>1Q</v>
      </c>
      <c r="C561" s="217">
        <f t="shared" si="46"/>
        <v>2</v>
      </c>
      <c r="D561" s="217" t="str">
        <f t="shared" si="43"/>
        <v>16</v>
      </c>
      <c r="E561">
        <f t="shared" si="44"/>
        <v>2016</v>
      </c>
      <c r="F561" s="217" t="str">
        <f t="shared" si="45"/>
        <v>1Q16</v>
      </c>
      <c r="G561" s="218">
        <v>42422</v>
      </c>
      <c r="H561" s="217">
        <v>3.9472999999999998</v>
      </c>
    </row>
    <row r="562" spans="2:8">
      <c r="B562" s="217" t="str">
        <f t="shared" si="42"/>
        <v>1Q</v>
      </c>
      <c r="C562" s="217">
        <f t="shared" si="46"/>
        <v>2</v>
      </c>
      <c r="D562" s="217" t="str">
        <f t="shared" si="43"/>
        <v>16</v>
      </c>
      <c r="E562">
        <f t="shared" si="44"/>
        <v>2016</v>
      </c>
      <c r="F562" s="217" t="str">
        <f t="shared" si="45"/>
        <v>1Q16</v>
      </c>
      <c r="G562" s="218">
        <v>42423</v>
      </c>
      <c r="H562" s="217">
        <v>3.9569000000000001</v>
      </c>
    </row>
    <row r="563" spans="2:8">
      <c r="B563" s="217" t="str">
        <f t="shared" si="42"/>
        <v>1Q</v>
      </c>
      <c r="C563" s="217">
        <f t="shared" si="46"/>
        <v>2</v>
      </c>
      <c r="D563" s="217" t="str">
        <f t="shared" si="43"/>
        <v>16</v>
      </c>
      <c r="E563">
        <f t="shared" si="44"/>
        <v>2016</v>
      </c>
      <c r="F563" s="217" t="str">
        <f t="shared" si="45"/>
        <v>1Q16</v>
      </c>
      <c r="G563" s="218">
        <v>42424</v>
      </c>
      <c r="H563" s="217">
        <v>3.9590999999999998</v>
      </c>
    </row>
    <row r="564" spans="2:8">
      <c r="B564" s="217" t="str">
        <f t="shared" si="42"/>
        <v>1Q</v>
      </c>
      <c r="C564" s="217">
        <f t="shared" si="46"/>
        <v>2</v>
      </c>
      <c r="D564" s="217" t="str">
        <f t="shared" si="43"/>
        <v>16</v>
      </c>
      <c r="E564">
        <f t="shared" si="44"/>
        <v>2016</v>
      </c>
      <c r="F564" s="217" t="str">
        <f t="shared" si="45"/>
        <v>1Q16</v>
      </c>
      <c r="G564" s="218">
        <v>42425</v>
      </c>
      <c r="H564" s="217">
        <v>3.956</v>
      </c>
    </row>
    <row r="565" spans="2:8">
      <c r="B565" s="217" t="str">
        <f t="shared" si="42"/>
        <v>1Q</v>
      </c>
      <c r="C565" s="217">
        <f t="shared" si="46"/>
        <v>2</v>
      </c>
      <c r="D565" s="217" t="str">
        <f t="shared" si="43"/>
        <v>16</v>
      </c>
      <c r="E565">
        <f t="shared" si="44"/>
        <v>2016</v>
      </c>
      <c r="F565" s="217" t="str">
        <f t="shared" si="45"/>
        <v>1Q16</v>
      </c>
      <c r="G565" s="218">
        <v>42426</v>
      </c>
      <c r="H565" s="217">
        <v>3.9933000000000001</v>
      </c>
    </row>
    <row r="566" spans="2:8">
      <c r="B566" s="217" t="str">
        <f t="shared" si="42"/>
        <v>1Q</v>
      </c>
      <c r="C566" s="217">
        <f t="shared" si="46"/>
        <v>2</v>
      </c>
      <c r="D566" s="217" t="str">
        <f t="shared" si="43"/>
        <v>16</v>
      </c>
      <c r="E566">
        <f t="shared" si="44"/>
        <v>2016</v>
      </c>
      <c r="F566" s="217" t="str">
        <f t="shared" si="45"/>
        <v>1Q16</v>
      </c>
      <c r="G566" s="218">
        <v>42429</v>
      </c>
      <c r="H566" s="217">
        <v>4.0171000000000001</v>
      </c>
    </row>
    <row r="567" spans="2:8">
      <c r="B567" s="217" t="str">
        <f t="shared" si="42"/>
        <v>1Q</v>
      </c>
      <c r="C567" s="217">
        <f t="shared" si="46"/>
        <v>3</v>
      </c>
      <c r="D567" s="217" t="str">
        <f t="shared" si="43"/>
        <v>16</v>
      </c>
      <c r="E567">
        <f t="shared" si="44"/>
        <v>2016</v>
      </c>
      <c r="F567" s="217" t="str">
        <f t="shared" si="45"/>
        <v>1Q16</v>
      </c>
      <c r="G567" s="218">
        <v>42430</v>
      </c>
      <c r="H567" s="217">
        <v>3.9275000000000002</v>
      </c>
    </row>
    <row r="568" spans="2:8">
      <c r="B568" s="217" t="str">
        <f t="shared" si="42"/>
        <v>1Q</v>
      </c>
      <c r="C568" s="217">
        <f t="shared" si="46"/>
        <v>3</v>
      </c>
      <c r="D568" s="217" t="str">
        <f t="shared" si="43"/>
        <v>16</v>
      </c>
      <c r="E568">
        <f t="shared" si="44"/>
        <v>2016</v>
      </c>
      <c r="F568" s="217" t="str">
        <f t="shared" si="45"/>
        <v>1Q16</v>
      </c>
      <c r="G568" s="218">
        <v>42431</v>
      </c>
      <c r="H568" s="217">
        <v>3.8932000000000002</v>
      </c>
    </row>
    <row r="569" spans="2:8">
      <c r="B569" s="217" t="str">
        <f t="shared" si="42"/>
        <v>1Q</v>
      </c>
      <c r="C569" s="217">
        <f t="shared" si="46"/>
        <v>3</v>
      </c>
      <c r="D569" s="217" t="str">
        <f t="shared" si="43"/>
        <v>16</v>
      </c>
      <c r="E569">
        <f t="shared" si="44"/>
        <v>2016</v>
      </c>
      <c r="F569" s="217" t="str">
        <f t="shared" si="45"/>
        <v>1Q16</v>
      </c>
      <c r="G569" s="218">
        <v>42432</v>
      </c>
      <c r="H569" s="217">
        <v>3.7991000000000001</v>
      </c>
    </row>
    <row r="570" spans="2:8">
      <c r="B570" s="217" t="str">
        <f t="shared" si="42"/>
        <v>1Q</v>
      </c>
      <c r="C570" s="217">
        <f t="shared" si="46"/>
        <v>3</v>
      </c>
      <c r="D570" s="217" t="str">
        <f t="shared" si="43"/>
        <v>16</v>
      </c>
      <c r="E570">
        <f t="shared" si="44"/>
        <v>2016</v>
      </c>
      <c r="F570" s="217" t="str">
        <f t="shared" si="45"/>
        <v>1Q16</v>
      </c>
      <c r="G570" s="218">
        <v>42433</v>
      </c>
      <c r="H570" s="217">
        <v>3.7593000000000001</v>
      </c>
    </row>
    <row r="571" spans="2:8">
      <c r="B571" s="217" t="str">
        <f t="shared" si="42"/>
        <v>1Q</v>
      </c>
      <c r="C571" s="217">
        <f t="shared" si="46"/>
        <v>3</v>
      </c>
      <c r="D571" s="217" t="str">
        <f t="shared" si="43"/>
        <v>16</v>
      </c>
      <c r="E571">
        <f t="shared" si="44"/>
        <v>2016</v>
      </c>
      <c r="F571" s="217" t="str">
        <f t="shared" si="45"/>
        <v>1Q16</v>
      </c>
      <c r="G571" s="218">
        <v>42436</v>
      </c>
      <c r="H571" s="217">
        <v>3.7829999999999999</v>
      </c>
    </row>
    <row r="572" spans="2:8">
      <c r="B572" s="217" t="str">
        <f t="shared" si="42"/>
        <v>1Q</v>
      </c>
      <c r="C572" s="217">
        <f t="shared" si="46"/>
        <v>3</v>
      </c>
      <c r="D572" s="217" t="str">
        <f t="shared" si="43"/>
        <v>16</v>
      </c>
      <c r="E572">
        <f t="shared" si="44"/>
        <v>2016</v>
      </c>
      <c r="F572" s="217" t="str">
        <f t="shared" si="45"/>
        <v>1Q16</v>
      </c>
      <c r="G572" s="218">
        <v>42437</v>
      </c>
      <c r="H572" s="217">
        <v>3.7555999999999998</v>
      </c>
    </row>
    <row r="573" spans="2:8">
      <c r="B573" s="217" t="str">
        <f t="shared" si="42"/>
        <v>1Q</v>
      </c>
      <c r="C573" s="217">
        <f t="shared" si="46"/>
        <v>3</v>
      </c>
      <c r="D573" s="217" t="str">
        <f t="shared" si="43"/>
        <v>16</v>
      </c>
      <c r="E573">
        <f t="shared" si="44"/>
        <v>2016</v>
      </c>
      <c r="F573" s="217" t="str">
        <f t="shared" si="45"/>
        <v>1Q16</v>
      </c>
      <c r="G573" s="218">
        <v>42438</v>
      </c>
      <c r="H573" s="217">
        <v>3.6848999999999998</v>
      </c>
    </row>
    <row r="574" spans="2:8">
      <c r="B574" s="217" t="str">
        <f t="shared" si="42"/>
        <v>1Q</v>
      </c>
      <c r="C574" s="217">
        <f t="shared" si="46"/>
        <v>3</v>
      </c>
      <c r="D574" s="217" t="str">
        <f t="shared" si="43"/>
        <v>16</v>
      </c>
      <c r="E574">
        <f t="shared" si="44"/>
        <v>2016</v>
      </c>
      <c r="F574" s="217" t="str">
        <f t="shared" si="45"/>
        <v>1Q16</v>
      </c>
      <c r="G574" s="218">
        <v>42439</v>
      </c>
      <c r="H574" s="217">
        <v>3.6215000000000002</v>
      </c>
    </row>
    <row r="575" spans="2:8">
      <c r="B575" s="217" t="str">
        <f t="shared" si="42"/>
        <v>1Q</v>
      </c>
      <c r="C575" s="217">
        <f t="shared" si="46"/>
        <v>3</v>
      </c>
      <c r="D575" s="217" t="str">
        <f t="shared" si="43"/>
        <v>16</v>
      </c>
      <c r="E575">
        <f t="shared" si="44"/>
        <v>2016</v>
      </c>
      <c r="F575" s="217" t="str">
        <f t="shared" si="45"/>
        <v>1Q16</v>
      </c>
      <c r="G575" s="218">
        <v>42440</v>
      </c>
      <c r="H575" s="217">
        <v>3.5819999999999999</v>
      </c>
    </row>
    <row r="576" spans="2:8">
      <c r="B576" s="217" t="str">
        <f t="shared" si="42"/>
        <v>1Q</v>
      </c>
      <c r="C576" s="217">
        <f t="shared" si="46"/>
        <v>3</v>
      </c>
      <c r="D576" s="217" t="str">
        <f t="shared" si="43"/>
        <v>16</v>
      </c>
      <c r="E576">
        <f t="shared" si="44"/>
        <v>2016</v>
      </c>
      <c r="F576" s="217" t="str">
        <f t="shared" si="45"/>
        <v>1Q16</v>
      </c>
      <c r="G576" s="218">
        <v>42443</v>
      </c>
      <c r="H576" s="217">
        <v>3.6617999999999999</v>
      </c>
    </row>
    <row r="577" spans="2:8">
      <c r="B577" s="217" t="str">
        <f t="shared" si="42"/>
        <v>1Q</v>
      </c>
      <c r="C577" s="217">
        <f t="shared" si="46"/>
        <v>3</v>
      </c>
      <c r="D577" s="217" t="str">
        <f t="shared" si="43"/>
        <v>16</v>
      </c>
      <c r="E577">
        <f t="shared" si="44"/>
        <v>2016</v>
      </c>
      <c r="F577" s="217" t="str">
        <f t="shared" si="45"/>
        <v>1Q16</v>
      </c>
      <c r="G577" s="218">
        <v>42444</v>
      </c>
      <c r="H577" s="217">
        <v>3.7656000000000001</v>
      </c>
    </row>
    <row r="578" spans="2:8">
      <c r="B578" s="217" t="str">
        <f t="shared" si="42"/>
        <v>1Q</v>
      </c>
      <c r="C578" s="217">
        <f t="shared" si="46"/>
        <v>3</v>
      </c>
      <c r="D578" s="217" t="str">
        <f t="shared" si="43"/>
        <v>16</v>
      </c>
      <c r="E578">
        <f t="shared" si="44"/>
        <v>2016</v>
      </c>
      <c r="F578" s="217" t="str">
        <f t="shared" si="45"/>
        <v>1Q16</v>
      </c>
      <c r="G578" s="218">
        <v>42445</v>
      </c>
      <c r="H578" s="217">
        <v>3.7422</v>
      </c>
    </row>
    <row r="579" spans="2:8">
      <c r="B579" s="217" t="str">
        <f t="shared" ref="B579:B642" si="47">VLOOKUP(C579,$N$3:$O$14,2,0)</f>
        <v>1Q</v>
      </c>
      <c r="C579" s="217">
        <f t="shared" si="46"/>
        <v>3</v>
      </c>
      <c r="D579" s="217" t="str">
        <f t="shared" ref="D579:D642" si="48">RIGHT(E579,2)</f>
        <v>16</v>
      </c>
      <c r="E579">
        <f t="shared" ref="E579:E642" si="49">YEAR(G579)</f>
        <v>2016</v>
      </c>
      <c r="F579" s="217" t="str">
        <f t="shared" ref="F579:F642" si="50">+B579&amp;D579</f>
        <v>1Q16</v>
      </c>
      <c r="G579" s="218">
        <v>42446</v>
      </c>
      <c r="H579" s="217">
        <v>3.6267</v>
      </c>
    </row>
    <row r="580" spans="2:8">
      <c r="B580" s="217" t="str">
        <f t="shared" si="47"/>
        <v>1Q</v>
      </c>
      <c r="C580" s="217">
        <f t="shared" ref="C580:C643" si="51">MONTH(G580)</f>
        <v>3</v>
      </c>
      <c r="D580" s="217" t="str">
        <f t="shared" si="48"/>
        <v>16</v>
      </c>
      <c r="E580">
        <f t="shared" si="49"/>
        <v>2016</v>
      </c>
      <c r="F580" s="217" t="str">
        <f t="shared" si="50"/>
        <v>1Q16</v>
      </c>
      <c r="G580" s="218">
        <v>42447</v>
      </c>
      <c r="H580" s="217">
        <v>3.6240000000000001</v>
      </c>
    </row>
    <row r="581" spans="2:8">
      <c r="B581" s="217" t="str">
        <f t="shared" si="47"/>
        <v>1Q</v>
      </c>
      <c r="C581" s="217">
        <f t="shared" si="51"/>
        <v>3</v>
      </c>
      <c r="D581" s="217" t="str">
        <f t="shared" si="48"/>
        <v>16</v>
      </c>
      <c r="E581">
        <f t="shared" si="49"/>
        <v>2016</v>
      </c>
      <c r="F581" s="217" t="str">
        <f t="shared" si="50"/>
        <v>1Q16</v>
      </c>
      <c r="G581" s="218">
        <v>42450</v>
      </c>
      <c r="H581" s="217">
        <v>3.6177999999999999</v>
      </c>
    </row>
    <row r="582" spans="2:8">
      <c r="B582" s="217" t="str">
        <f t="shared" si="47"/>
        <v>1Q</v>
      </c>
      <c r="C582" s="217">
        <f t="shared" si="51"/>
        <v>3</v>
      </c>
      <c r="D582" s="217" t="str">
        <f t="shared" si="48"/>
        <v>16</v>
      </c>
      <c r="E582">
        <f t="shared" si="49"/>
        <v>2016</v>
      </c>
      <c r="F582" s="217" t="str">
        <f t="shared" si="50"/>
        <v>1Q16</v>
      </c>
      <c r="G582" s="218">
        <v>42451</v>
      </c>
      <c r="H582" s="217">
        <v>3.5811999999999999</v>
      </c>
    </row>
    <row r="583" spans="2:8">
      <c r="B583" s="217" t="str">
        <f t="shared" si="47"/>
        <v>1Q</v>
      </c>
      <c r="C583" s="217">
        <f t="shared" si="51"/>
        <v>3</v>
      </c>
      <c r="D583" s="217" t="str">
        <f t="shared" si="48"/>
        <v>16</v>
      </c>
      <c r="E583">
        <f t="shared" si="49"/>
        <v>2016</v>
      </c>
      <c r="F583" s="217" t="str">
        <f t="shared" si="50"/>
        <v>1Q16</v>
      </c>
      <c r="G583" s="218">
        <v>42452</v>
      </c>
      <c r="H583" s="217">
        <v>3.6854</v>
      </c>
    </row>
    <row r="584" spans="2:8">
      <c r="B584" s="217" t="str">
        <f t="shared" si="47"/>
        <v>1Q</v>
      </c>
      <c r="C584" s="217">
        <f t="shared" si="51"/>
        <v>3</v>
      </c>
      <c r="D584" s="217" t="str">
        <f t="shared" si="48"/>
        <v>16</v>
      </c>
      <c r="E584">
        <f t="shared" si="49"/>
        <v>2016</v>
      </c>
      <c r="F584" s="217" t="str">
        <f t="shared" si="50"/>
        <v>1Q16</v>
      </c>
      <c r="G584" s="218">
        <v>42453</v>
      </c>
      <c r="H584" s="217">
        <v>3.6770999999999998</v>
      </c>
    </row>
    <row r="585" spans="2:8">
      <c r="B585" s="217" t="str">
        <f t="shared" si="47"/>
        <v>1Q</v>
      </c>
      <c r="C585" s="217">
        <f t="shared" si="51"/>
        <v>3</v>
      </c>
      <c r="D585" s="217" t="str">
        <f t="shared" si="48"/>
        <v>16</v>
      </c>
      <c r="E585">
        <f t="shared" si="49"/>
        <v>2016</v>
      </c>
      <c r="F585" s="217" t="str">
        <f t="shared" si="50"/>
        <v>1Q16</v>
      </c>
      <c r="G585" s="218">
        <v>42454</v>
      </c>
      <c r="H585" s="217">
        <v>3.6835</v>
      </c>
    </row>
    <row r="586" spans="2:8">
      <c r="B586" s="217" t="str">
        <f t="shared" si="47"/>
        <v>1Q</v>
      </c>
      <c r="C586" s="217">
        <f t="shared" si="51"/>
        <v>3</v>
      </c>
      <c r="D586" s="217" t="str">
        <f t="shared" si="48"/>
        <v>16</v>
      </c>
      <c r="E586">
        <f t="shared" si="49"/>
        <v>2016</v>
      </c>
      <c r="F586" s="217" t="str">
        <f t="shared" si="50"/>
        <v>1Q16</v>
      </c>
      <c r="G586" s="218">
        <v>42457</v>
      </c>
      <c r="H586" s="217">
        <v>3.6278000000000001</v>
      </c>
    </row>
    <row r="587" spans="2:8">
      <c r="B587" s="217" t="str">
        <f t="shared" si="47"/>
        <v>1Q</v>
      </c>
      <c r="C587" s="217">
        <f t="shared" si="51"/>
        <v>3</v>
      </c>
      <c r="D587" s="217" t="str">
        <f t="shared" si="48"/>
        <v>16</v>
      </c>
      <c r="E587">
        <f t="shared" si="49"/>
        <v>2016</v>
      </c>
      <c r="F587" s="217" t="str">
        <f t="shared" si="50"/>
        <v>1Q16</v>
      </c>
      <c r="G587" s="218">
        <v>42458</v>
      </c>
      <c r="H587" s="217">
        <v>3.6385999999999998</v>
      </c>
    </row>
    <row r="588" spans="2:8">
      <c r="B588" s="217" t="str">
        <f t="shared" si="47"/>
        <v>1Q</v>
      </c>
      <c r="C588" s="217">
        <f t="shared" si="51"/>
        <v>3</v>
      </c>
      <c r="D588" s="217" t="str">
        <f t="shared" si="48"/>
        <v>16</v>
      </c>
      <c r="E588">
        <f t="shared" si="49"/>
        <v>2016</v>
      </c>
      <c r="F588" s="217" t="str">
        <f t="shared" si="50"/>
        <v>1Q16</v>
      </c>
      <c r="G588" s="218">
        <v>42459</v>
      </c>
      <c r="H588" s="217">
        <v>3.6002000000000001</v>
      </c>
    </row>
    <row r="589" spans="2:8">
      <c r="B589" s="217" t="str">
        <f t="shared" si="47"/>
        <v>1Q</v>
      </c>
      <c r="C589" s="217">
        <f t="shared" si="51"/>
        <v>3</v>
      </c>
      <c r="D589" s="217" t="str">
        <f t="shared" si="48"/>
        <v>16</v>
      </c>
      <c r="E589">
        <f t="shared" si="49"/>
        <v>2016</v>
      </c>
      <c r="F589" s="217" t="str">
        <f t="shared" si="50"/>
        <v>1Q16</v>
      </c>
      <c r="G589" s="218">
        <v>42460</v>
      </c>
      <c r="H589" s="217">
        <v>3.5935000000000001</v>
      </c>
    </row>
    <row r="590" spans="2:8">
      <c r="B590" s="217" t="str">
        <f t="shared" si="47"/>
        <v>2Q</v>
      </c>
      <c r="C590" s="217">
        <f t="shared" si="51"/>
        <v>4</v>
      </c>
      <c r="D590" s="217" t="str">
        <f t="shared" si="48"/>
        <v>16</v>
      </c>
      <c r="E590">
        <f t="shared" si="49"/>
        <v>2016</v>
      </c>
      <c r="F590" s="217" t="str">
        <f t="shared" si="50"/>
        <v>2Q16</v>
      </c>
      <c r="G590" s="218">
        <v>42461</v>
      </c>
      <c r="H590" s="217">
        <v>3.5537999999999998</v>
      </c>
    </row>
    <row r="591" spans="2:8">
      <c r="B591" s="217" t="str">
        <f t="shared" si="47"/>
        <v>2Q</v>
      </c>
      <c r="C591" s="217">
        <f t="shared" si="51"/>
        <v>4</v>
      </c>
      <c r="D591" s="217" t="str">
        <f t="shared" si="48"/>
        <v>16</v>
      </c>
      <c r="E591">
        <f t="shared" si="49"/>
        <v>2016</v>
      </c>
      <c r="F591" s="217" t="str">
        <f t="shared" si="50"/>
        <v>2Q16</v>
      </c>
      <c r="G591" s="218">
        <v>42464</v>
      </c>
      <c r="H591" s="217">
        <v>3.6240000000000001</v>
      </c>
    </row>
    <row r="592" spans="2:8">
      <c r="B592" s="217" t="str">
        <f t="shared" si="47"/>
        <v>2Q</v>
      </c>
      <c r="C592" s="217">
        <f t="shared" si="51"/>
        <v>4</v>
      </c>
      <c r="D592" s="217" t="str">
        <f t="shared" si="48"/>
        <v>16</v>
      </c>
      <c r="E592">
        <f t="shared" si="49"/>
        <v>2016</v>
      </c>
      <c r="F592" s="217" t="str">
        <f t="shared" si="50"/>
        <v>2Q16</v>
      </c>
      <c r="G592" s="218">
        <v>42465</v>
      </c>
      <c r="H592" s="217">
        <v>3.6804999999999999</v>
      </c>
    </row>
    <row r="593" spans="2:8">
      <c r="B593" s="217" t="str">
        <f t="shared" si="47"/>
        <v>2Q</v>
      </c>
      <c r="C593" s="217">
        <f t="shared" si="51"/>
        <v>4</v>
      </c>
      <c r="D593" s="217" t="str">
        <f t="shared" si="48"/>
        <v>16</v>
      </c>
      <c r="E593">
        <f t="shared" si="49"/>
        <v>2016</v>
      </c>
      <c r="F593" s="217" t="str">
        <f t="shared" si="50"/>
        <v>2Q16</v>
      </c>
      <c r="G593" s="218">
        <v>42466</v>
      </c>
      <c r="H593" s="217">
        <v>3.6413000000000002</v>
      </c>
    </row>
    <row r="594" spans="2:8">
      <c r="B594" s="217" t="str">
        <f t="shared" si="47"/>
        <v>2Q</v>
      </c>
      <c r="C594" s="217">
        <f t="shared" si="51"/>
        <v>4</v>
      </c>
      <c r="D594" s="217" t="str">
        <f t="shared" si="48"/>
        <v>16</v>
      </c>
      <c r="E594">
        <f t="shared" si="49"/>
        <v>2016</v>
      </c>
      <c r="F594" s="217" t="str">
        <f t="shared" si="50"/>
        <v>2Q16</v>
      </c>
      <c r="G594" s="218">
        <v>42467</v>
      </c>
      <c r="H594" s="217">
        <v>3.6905000000000001</v>
      </c>
    </row>
    <row r="595" spans="2:8">
      <c r="B595" s="217" t="str">
        <f t="shared" si="47"/>
        <v>2Q</v>
      </c>
      <c r="C595" s="217">
        <f t="shared" si="51"/>
        <v>4</v>
      </c>
      <c r="D595" s="217" t="str">
        <f t="shared" si="48"/>
        <v>16</v>
      </c>
      <c r="E595">
        <f t="shared" si="49"/>
        <v>2016</v>
      </c>
      <c r="F595" s="217" t="str">
        <f t="shared" si="50"/>
        <v>2Q16</v>
      </c>
      <c r="G595" s="218">
        <v>42468</v>
      </c>
      <c r="H595" s="217">
        <v>3.5901000000000001</v>
      </c>
    </row>
    <row r="596" spans="2:8">
      <c r="B596" s="217" t="str">
        <f t="shared" si="47"/>
        <v>2Q</v>
      </c>
      <c r="C596" s="217">
        <f t="shared" si="51"/>
        <v>4</v>
      </c>
      <c r="D596" s="217" t="str">
        <f t="shared" si="48"/>
        <v>16</v>
      </c>
      <c r="E596">
        <f t="shared" si="49"/>
        <v>2016</v>
      </c>
      <c r="F596" s="217" t="str">
        <f t="shared" si="50"/>
        <v>2Q16</v>
      </c>
      <c r="G596" s="218">
        <v>42471</v>
      </c>
      <c r="H596" s="217">
        <v>3.4923999999999999</v>
      </c>
    </row>
    <row r="597" spans="2:8">
      <c r="B597" s="217" t="str">
        <f t="shared" si="47"/>
        <v>2Q</v>
      </c>
      <c r="C597" s="217">
        <f t="shared" si="51"/>
        <v>4</v>
      </c>
      <c r="D597" s="217" t="str">
        <f t="shared" si="48"/>
        <v>16</v>
      </c>
      <c r="E597">
        <f t="shared" si="49"/>
        <v>2016</v>
      </c>
      <c r="F597" s="217" t="str">
        <f t="shared" si="50"/>
        <v>2Q16</v>
      </c>
      <c r="G597" s="218">
        <v>42472</v>
      </c>
      <c r="H597" s="217">
        <v>3.4927999999999999</v>
      </c>
    </row>
    <row r="598" spans="2:8">
      <c r="B598" s="217" t="str">
        <f t="shared" si="47"/>
        <v>2Q</v>
      </c>
      <c r="C598" s="217">
        <f t="shared" si="51"/>
        <v>4</v>
      </c>
      <c r="D598" s="217" t="str">
        <f t="shared" si="48"/>
        <v>16</v>
      </c>
      <c r="E598">
        <f t="shared" si="49"/>
        <v>2016</v>
      </c>
      <c r="F598" s="217" t="str">
        <f t="shared" si="50"/>
        <v>2Q16</v>
      </c>
      <c r="G598" s="218">
        <v>42473</v>
      </c>
      <c r="H598" s="217">
        <v>3.4983</v>
      </c>
    </row>
    <row r="599" spans="2:8">
      <c r="B599" s="217" t="str">
        <f t="shared" si="47"/>
        <v>2Q</v>
      </c>
      <c r="C599" s="217">
        <f t="shared" si="51"/>
        <v>4</v>
      </c>
      <c r="D599" s="217" t="str">
        <f t="shared" si="48"/>
        <v>16</v>
      </c>
      <c r="E599">
        <f t="shared" si="49"/>
        <v>2016</v>
      </c>
      <c r="F599" s="217" t="str">
        <f t="shared" si="50"/>
        <v>2Q16</v>
      </c>
      <c r="G599" s="218">
        <v>42474</v>
      </c>
      <c r="H599" s="217">
        <v>3.4838</v>
      </c>
    </row>
    <row r="600" spans="2:8">
      <c r="B600" s="217" t="str">
        <f t="shared" si="47"/>
        <v>2Q</v>
      </c>
      <c r="C600" s="217">
        <f t="shared" si="51"/>
        <v>4</v>
      </c>
      <c r="D600" s="217" t="str">
        <f t="shared" si="48"/>
        <v>16</v>
      </c>
      <c r="E600">
        <f t="shared" si="49"/>
        <v>2016</v>
      </c>
      <c r="F600" s="217" t="str">
        <f t="shared" si="50"/>
        <v>2Q16</v>
      </c>
      <c r="G600" s="218">
        <v>42475</v>
      </c>
      <c r="H600" s="217">
        <v>3.5331999999999999</v>
      </c>
    </row>
    <row r="601" spans="2:8">
      <c r="B601" s="217" t="str">
        <f t="shared" si="47"/>
        <v>2Q</v>
      </c>
      <c r="C601" s="217">
        <f t="shared" si="51"/>
        <v>4</v>
      </c>
      <c r="D601" s="217" t="str">
        <f t="shared" si="48"/>
        <v>16</v>
      </c>
      <c r="E601">
        <f t="shared" si="49"/>
        <v>2016</v>
      </c>
      <c r="F601" s="217" t="str">
        <f t="shared" si="50"/>
        <v>2Q16</v>
      </c>
      <c r="G601" s="218">
        <v>42478</v>
      </c>
      <c r="H601" s="217">
        <v>3.6154999999999999</v>
      </c>
    </row>
    <row r="602" spans="2:8">
      <c r="B602" s="217" t="str">
        <f t="shared" si="47"/>
        <v>2Q</v>
      </c>
      <c r="C602" s="217">
        <f t="shared" si="51"/>
        <v>4</v>
      </c>
      <c r="D602" s="217" t="str">
        <f t="shared" si="48"/>
        <v>16</v>
      </c>
      <c r="E602">
        <f t="shared" si="49"/>
        <v>2016</v>
      </c>
      <c r="F602" s="217" t="str">
        <f t="shared" si="50"/>
        <v>2Q16</v>
      </c>
      <c r="G602" s="218">
        <v>42479</v>
      </c>
      <c r="H602" s="217">
        <v>3.5341</v>
      </c>
    </row>
    <row r="603" spans="2:8">
      <c r="B603" s="217" t="str">
        <f t="shared" si="47"/>
        <v>2Q</v>
      </c>
      <c r="C603" s="217">
        <f t="shared" si="51"/>
        <v>4</v>
      </c>
      <c r="D603" s="217" t="str">
        <f t="shared" si="48"/>
        <v>16</v>
      </c>
      <c r="E603">
        <f t="shared" si="49"/>
        <v>2016</v>
      </c>
      <c r="F603" s="217" t="str">
        <f t="shared" si="50"/>
        <v>2Q16</v>
      </c>
      <c r="G603" s="218">
        <v>42480</v>
      </c>
      <c r="H603" s="217">
        <v>3.5299</v>
      </c>
    </row>
    <row r="604" spans="2:8">
      <c r="B604" s="217" t="str">
        <f t="shared" si="47"/>
        <v>2Q</v>
      </c>
      <c r="C604" s="217">
        <f t="shared" si="51"/>
        <v>4</v>
      </c>
      <c r="D604" s="217" t="str">
        <f t="shared" si="48"/>
        <v>16</v>
      </c>
      <c r="E604">
        <f t="shared" si="49"/>
        <v>2016</v>
      </c>
      <c r="F604" s="217" t="str">
        <f t="shared" si="50"/>
        <v>2Q16</v>
      </c>
      <c r="G604" s="218">
        <v>42481</v>
      </c>
      <c r="H604" s="217">
        <v>3.5386000000000002</v>
      </c>
    </row>
    <row r="605" spans="2:8">
      <c r="B605" s="217" t="str">
        <f t="shared" si="47"/>
        <v>2Q</v>
      </c>
      <c r="C605" s="217">
        <f t="shared" si="51"/>
        <v>4</v>
      </c>
      <c r="D605" s="217" t="str">
        <f t="shared" si="48"/>
        <v>16</v>
      </c>
      <c r="E605">
        <f t="shared" si="49"/>
        <v>2016</v>
      </c>
      <c r="F605" s="217" t="str">
        <f t="shared" si="50"/>
        <v>2Q16</v>
      </c>
      <c r="G605" s="218">
        <v>42482</v>
      </c>
      <c r="H605" s="217">
        <v>3.5646</v>
      </c>
    </row>
    <row r="606" spans="2:8">
      <c r="B606" s="217" t="str">
        <f t="shared" si="47"/>
        <v>2Q</v>
      </c>
      <c r="C606" s="217">
        <f t="shared" si="51"/>
        <v>4</v>
      </c>
      <c r="D606" s="217" t="str">
        <f t="shared" si="48"/>
        <v>16</v>
      </c>
      <c r="E606">
        <f t="shared" si="49"/>
        <v>2016</v>
      </c>
      <c r="F606" s="217" t="str">
        <f t="shared" si="50"/>
        <v>2Q16</v>
      </c>
      <c r="G606" s="218">
        <v>42485</v>
      </c>
      <c r="H606" s="217">
        <v>3.5558000000000001</v>
      </c>
    </row>
    <row r="607" spans="2:8">
      <c r="B607" s="217" t="str">
        <f t="shared" si="47"/>
        <v>2Q</v>
      </c>
      <c r="C607" s="217">
        <f t="shared" si="51"/>
        <v>4</v>
      </c>
      <c r="D607" s="217" t="str">
        <f t="shared" si="48"/>
        <v>16</v>
      </c>
      <c r="E607">
        <f t="shared" si="49"/>
        <v>2016</v>
      </c>
      <c r="F607" s="217" t="str">
        <f t="shared" si="50"/>
        <v>2Q16</v>
      </c>
      <c r="G607" s="218">
        <v>42486</v>
      </c>
      <c r="H607" s="217">
        <v>3.5297000000000001</v>
      </c>
    </row>
    <row r="608" spans="2:8">
      <c r="B608" s="217" t="str">
        <f t="shared" si="47"/>
        <v>2Q</v>
      </c>
      <c r="C608" s="217">
        <f t="shared" si="51"/>
        <v>4</v>
      </c>
      <c r="D608" s="217" t="str">
        <f t="shared" si="48"/>
        <v>16</v>
      </c>
      <c r="E608">
        <f t="shared" si="49"/>
        <v>2016</v>
      </c>
      <c r="F608" s="217" t="str">
        <f t="shared" si="50"/>
        <v>2Q16</v>
      </c>
      <c r="G608" s="218">
        <v>42487</v>
      </c>
      <c r="H608" s="217">
        <v>3.5266999999999999</v>
      </c>
    </row>
    <row r="609" spans="2:8">
      <c r="B609" s="217" t="str">
        <f t="shared" si="47"/>
        <v>2Q</v>
      </c>
      <c r="C609" s="217">
        <f t="shared" si="51"/>
        <v>4</v>
      </c>
      <c r="D609" s="217" t="str">
        <f t="shared" si="48"/>
        <v>16</v>
      </c>
      <c r="E609">
        <f t="shared" si="49"/>
        <v>2016</v>
      </c>
      <c r="F609" s="217" t="str">
        <f t="shared" si="50"/>
        <v>2Q16</v>
      </c>
      <c r="G609" s="218">
        <v>42488</v>
      </c>
      <c r="H609" s="217">
        <v>3.4878</v>
      </c>
    </row>
    <row r="610" spans="2:8">
      <c r="B610" s="217" t="str">
        <f t="shared" si="47"/>
        <v>2Q</v>
      </c>
      <c r="C610" s="217">
        <f t="shared" si="51"/>
        <v>4</v>
      </c>
      <c r="D610" s="217" t="str">
        <f t="shared" si="48"/>
        <v>16</v>
      </c>
      <c r="E610">
        <f t="shared" si="49"/>
        <v>2016</v>
      </c>
      <c r="F610" s="217" t="str">
        <f t="shared" si="50"/>
        <v>2Q16</v>
      </c>
      <c r="G610" s="218">
        <v>42489</v>
      </c>
      <c r="H610" s="217">
        <v>3.4358</v>
      </c>
    </row>
    <row r="611" spans="2:8">
      <c r="B611" s="217" t="str">
        <f t="shared" si="47"/>
        <v>2Q</v>
      </c>
      <c r="C611" s="217">
        <f t="shared" si="51"/>
        <v>5</v>
      </c>
      <c r="D611" s="217" t="str">
        <f t="shared" si="48"/>
        <v>16</v>
      </c>
      <c r="E611">
        <f t="shared" si="49"/>
        <v>2016</v>
      </c>
      <c r="F611" s="217" t="str">
        <f t="shared" si="50"/>
        <v>2Q16</v>
      </c>
      <c r="G611" s="218">
        <v>42492</v>
      </c>
      <c r="H611" s="217">
        <v>3.5011000000000001</v>
      </c>
    </row>
    <row r="612" spans="2:8">
      <c r="B612" s="217" t="str">
        <f t="shared" si="47"/>
        <v>2Q</v>
      </c>
      <c r="C612" s="217">
        <f t="shared" si="51"/>
        <v>5</v>
      </c>
      <c r="D612" s="217" t="str">
        <f t="shared" si="48"/>
        <v>16</v>
      </c>
      <c r="E612">
        <f t="shared" si="49"/>
        <v>2016</v>
      </c>
      <c r="F612" s="217" t="str">
        <f t="shared" si="50"/>
        <v>2Q16</v>
      </c>
      <c r="G612" s="218">
        <v>42493</v>
      </c>
      <c r="H612" s="217">
        <v>3.5598999999999998</v>
      </c>
    </row>
    <row r="613" spans="2:8">
      <c r="B613" s="217" t="str">
        <f t="shared" si="47"/>
        <v>2Q</v>
      </c>
      <c r="C613" s="217">
        <f t="shared" si="51"/>
        <v>5</v>
      </c>
      <c r="D613" s="217" t="str">
        <f t="shared" si="48"/>
        <v>16</v>
      </c>
      <c r="E613">
        <f t="shared" si="49"/>
        <v>2016</v>
      </c>
      <c r="F613" s="217" t="str">
        <f t="shared" si="50"/>
        <v>2Q16</v>
      </c>
      <c r="G613" s="218">
        <v>42494</v>
      </c>
      <c r="H613" s="217">
        <v>3.5472999999999999</v>
      </c>
    </row>
    <row r="614" spans="2:8">
      <c r="B614" s="217" t="str">
        <f t="shared" si="47"/>
        <v>2Q</v>
      </c>
      <c r="C614" s="217">
        <f t="shared" si="51"/>
        <v>5</v>
      </c>
      <c r="D614" s="217" t="str">
        <f t="shared" si="48"/>
        <v>16</v>
      </c>
      <c r="E614">
        <f t="shared" si="49"/>
        <v>2016</v>
      </c>
      <c r="F614" s="217" t="str">
        <f t="shared" si="50"/>
        <v>2Q16</v>
      </c>
      <c r="G614" s="218">
        <v>42495</v>
      </c>
      <c r="H614" s="217">
        <v>3.5348999999999999</v>
      </c>
    </row>
    <row r="615" spans="2:8">
      <c r="B615" s="217" t="str">
        <f t="shared" si="47"/>
        <v>2Q</v>
      </c>
      <c r="C615" s="217">
        <f t="shared" si="51"/>
        <v>5</v>
      </c>
      <c r="D615" s="217" t="str">
        <f t="shared" si="48"/>
        <v>16</v>
      </c>
      <c r="E615">
        <f t="shared" si="49"/>
        <v>2016</v>
      </c>
      <c r="F615" s="217" t="str">
        <f t="shared" si="50"/>
        <v>2Q16</v>
      </c>
      <c r="G615" s="218">
        <v>42496</v>
      </c>
      <c r="H615" s="217">
        <v>3.5023</v>
      </c>
    </row>
    <row r="616" spans="2:8">
      <c r="B616" s="217" t="str">
        <f t="shared" si="47"/>
        <v>2Q</v>
      </c>
      <c r="C616" s="217">
        <f t="shared" si="51"/>
        <v>5</v>
      </c>
      <c r="D616" s="217" t="str">
        <f t="shared" si="48"/>
        <v>16</v>
      </c>
      <c r="E616">
        <f t="shared" si="49"/>
        <v>2016</v>
      </c>
      <c r="F616" s="217" t="str">
        <f t="shared" si="50"/>
        <v>2Q16</v>
      </c>
      <c r="G616" s="218">
        <v>42499</v>
      </c>
      <c r="H616" s="217">
        <v>3.5164</v>
      </c>
    </row>
    <row r="617" spans="2:8">
      <c r="B617" s="217" t="str">
        <f t="shared" si="47"/>
        <v>2Q</v>
      </c>
      <c r="C617" s="217">
        <f t="shared" si="51"/>
        <v>5</v>
      </c>
      <c r="D617" s="217" t="str">
        <f t="shared" si="48"/>
        <v>16</v>
      </c>
      <c r="E617">
        <f t="shared" si="49"/>
        <v>2016</v>
      </c>
      <c r="F617" s="217" t="str">
        <f t="shared" si="50"/>
        <v>2Q16</v>
      </c>
      <c r="G617" s="218">
        <v>42500</v>
      </c>
      <c r="H617" s="217">
        <v>3.4758</v>
      </c>
    </row>
    <row r="618" spans="2:8">
      <c r="B618" s="217" t="str">
        <f t="shared" si="47"/>
        <v>2Q</v>
      </c>
      <c r="C618" s="217">
        <f t="shared" si="51"/>
        <v>5</v>
      </c>
      <c r="D618" s="217" t="str">
        <f t="shared" si="48"/>
        <v>16</v>
      </c>
      <c r="E618">
        <f t="shared" si="49"/>
        <v>2016</v>
      </c>
      <c r="F618" s="217" t="str">
        <f t="shared" si="50"/>
        <v>2Q16</v>
      </c>
      <c r="G618" s="218">
        <v>42501</v>
      </c>
      <c r="H618" s="217">
        <v>3.4527999999999999</v>
      </c>
    </row>
    <row r="619" spans="2:8">
      <c r="B619" s="217" t="str">
        <f t="shared" si="47"/>
        <v>2Q</v>
      </c>
      <c r="C619" s="217">
        <f t="shared" si="51"/>
        <v>5</v>
      </c>
      <c r="D619" s="217" t="str">
        <f t="shared" si="48"/>
        <v>16</v>
      </c>
      <c r="E619">
        <f t="shared" si="49"/>
        <v>2016</v>
      </c>
      <c r="F619" s="217" t="str">
        <f t="shared" si="50"/>
        <v>2Q16</v>
      </c>
      <c r="G619" s="218">
        <v>42502</v>
      </c>
      <c r="H619" s="217">
        <v>3.4855</v>
      </c>
    </row>
    <row r="620" spans="2:8">
      <c r="B620" s="217" t="str">
        <f t="shared" si="47"/>
        <v>2Q</v>
      </c>
      <c r="C620" s="217">
        <f t="shared" si="51"/>
        <v>5</v>
      </c>
      <c r="D620" s="217" t="str">
        <f t="shared" si="48"/>
        <v>16</v>
      </c>
      <c r="E620">
        <f t="shared" si="49"/>
        <v>2016</v>
      </c>
      <c r="F620" s="217" t="str">
        <f t="shared" si="50"/>
        <v>2Q16</v>
      </c>
      <c r="G620" s="218">
        <v>42503</v>
      </c>
      <c r="H620" s="217">
        <v>3.5339999999999998</v>
      </c>
    </row>
    <row r="621" spans="2:8">
      <c r="B621" s="217" t="str">
        <f t="shared" si="47"/>
        <v>2Q</v>
      </c>
      <c r="C621" s="217">
        <f t="shared" si="51"/>
        <v>5</v>
      </c>
      <c r="D621" s="217" t="str">
        <f t="shared" si="48"/>
        <v>16</v>
      </c>
      <c r="E621">
        <f t="shared" si="49"/>
        <v>2016</v>
      </c>
      <c r="F621" s="217" t="str">
        <f t="shared" si="50"/>
        <v>2Q16</v>
      </c>
      <c r="G621" s="218">
        <v>42506</v>
      </c>
      <c r="H621" s="217">
        <v>3.5001000000000002</v>
      </c>
    </row>
    <row r="622" spans="2:8">
      <c r="B622" s="217" t="str">
        <f t="shared" si="47"/>
        <v>2Q</v>
      </c>
      <c r="C622" s="217">
        <f t="shared" si="51"/>
        <v>5</v>
      </c>
      <c r="D622" s="217" t="str">
        <f t="shared" si="48"/>
        <v>16</v>
      </c>
      <c r="E622">
        <f t="shared" si="49"/>
        <v>2016</v>
      </c>
      <c r="F622" s="217" t="str">
        <f t="shared" si="50"/>
        <v>2Q16</v>
      </c>
      <c r="G622" s="218">
        <v>42507</v>
      </c>
      <c r="H622" s="217">
        <v>3.4887999999999999</v>
      </c>
    </row>
    <row r="623" spans="2:8">
      <c r="B623" s="217" t="str">
        <f t="shared" si="47"/>
        <v>2Q</v>
      </c>
      <c r="C623" s="217">
        <f t="shared" si="51"/>
        <v>5</v>
      </c>
      <c r="D623" s="217" t="str">
        <f t="shared" si="48"/>
        <v>16</v>
      </c>
      <c r="E623">
        <f t="shared" si="49"/>
        <v>2016</v>
      </c>
      <c r="F623" s="217" t="str">
        <f t="shared" si="50"/>
        <v>2Q16</v>
      </c>
      <c r="G623" s="218">
        <v>42508</v>
      </c>
      <c r="H623" s="217">
        <v>3.5682999999999998</v>
      </c>
    </row>
    <row r="624" spans="2:8">
      <c r="B624" s="217" t="str">
        <f t="shared" si="47"/>
        <v>2Q</v>
      </c>
      <c r="C624" s="217">
        <f t="shared" si="51"/>
        <v>5</v>
      </c>
      <c r="D624" s="217" t="str">
        <f t="shared" si="48"/>
        <v>16</v>
      </c>
      <c r="E624">
        <f t="shared" si="49"/>
        <v>2016</v>
      </c>
      <c r="F624" s="217" t="str">
        <f t="shared" si="50"/>
        <v>2Q16</v>
      </c>
      <c r="G624" s="218">
        <v>42509</v>
      </c>
      <c r="H624" s="217">
        <v>3.5644</v>
      </c>
    </row>
    <row r="625" spans="2:8">
      <c r="B625" s="217" t="str">
        <f t="shared" si="47"/>
        <v>2Q</v>
      </c>
      <c r="C625" s="217">
        <f t="shared" si="51"/>
        <v>5</v>
      </c>
      <c r="D625" s="217" t="str">
        <f t="shared" si="48"/>
        <v>16</v>
      </c>
      <c r="E625">
        <f t="shared" si="49"/>
        <v>2016</v>
      </c>
      <c r="F625" s="217" t="str">
        <f t="shared" si="50"/>
        <v>2Q16</v>
      </c>
      <c r="G625" s="218">
        <v>42510</v>
      </c>
      <c r="H625" s="217">
        <v>3.5202</v>
      </c>
    </row>
    <row r="626" spans="2:8">
      <c r="B626" s="217" t="str">
        <f t="shared" si="47"/>
        <v>2Q</v>
      </c>
      <c r="C626" s="217">
        <f t="shared" si="51"/>
        <v>5</v>
      </c>
      <c r="D626" s="217" t="str">
        <f t="shared" si="48"/>
        <v>16</v>
      </c>
      <c r="E626">
        <f t="shared" si="49"/>
        <v>2016</v>
      </c>
      <c r="F626" s="217" t="str">
        <f t="shared" si="50"/>
        <v>2Q16</v>
      </c>
      <c r="G626" s="218">
        <v>42513</v>
      </c>
      <c r="H626" s="217">
        <v>3.5728</v>
      </c>
    </row>
    <row r="627" spans="2:8">
      <c r="B627" s="217" t="str">
        <f t="shared" si="47"/>
        <v>2Q</v>
      </c>
      <c r="C627" s="217">
        <f t="shared" si="51"/>
        <v>5</v>
      </c>
      <c r="D627" s="217" t="str">
        <f t="shared" si="48"/>
        <v>16</v>
      </c>
      <c r="E627">
        <f t="shared" si="49"/>
        <v>2016</v>
      </c>
      <c r="F627" s="217" t="str">
        <f t="shared" si="50"/>
        <v>2Q16</v>
      </c>
      <c r="G627" s="218">
        <v>42514</v>
      </c>
      <c r="H627" s="217">
        <v>3.5712999999999999</v>
      </c>
    </row>
    <row r="628" spans="2:8">
      <c r="B628" s="217" t="str">
        <f t="shared" si="47"/>
        <v>2Q</v>
      </c>
      <c r="C628" s="217">
        <f t="shared" si="51"/>
        <v>5</v>
      </c>
      <c r="D628" s="217" t="str">
        <f t="shared" si="48"/>
        <v>16</v>
      </c>
      <c r="E628">
        <f t="shared" si="49"/>
        <v>2016</v>
      </c>
      <c r="F628" s="217" t="str">
        <f t="shared" si="50"/>
        <v>2Q16</v>
      </c>
      <c r="G628" s="218">
        <v>42515</v>
      </c>
      <c r="H628" s="217">
        <v>3.5836000000000001</v>
      </c>
    </row>
    <row r="629" spans="2:8">
      <c r="B629" s="217" t="str">
        <f t="shared" si="47"/>
        <v>2Q</v>
      </c>
      <c r="C629" s="217">
        <f t="shared" si="51"/>
        <v>5</v>
      </c>
      <c r="D629" s="217" t="str">
        <f t="shared" si="48"/>
        <v>16</v>
      </c>
      <c r="E629">
        <f t="shared" si="49"/>
        <v>2016</v>
      </c>
      <c r="F629" s="217" t="str">
        <f t="shared" si="50"/>
        <v>2Q16</v>
      </c>
      <c r="G629" s="218">
        <v>42516</v>
      </c>
      <c r="H629" s="217">
        <v>3.5825</v>
      </c>
    </row>
    <row r="630" spans="2:8">
      <c r="B630" s="217" t="str">
        <f t="shared" si="47"/>
        <v>2Q</v>
      </c>
      <c r="C630" s="217">
        <f t="shared" si="51"/>
        <v>5</v>
      </c>
      <c r="D630" s="217" t="str">
        <f t="shared" si="48"/>
        <v>16</v>
      </c>
      <c r="E630">
        <f t="shared" si="49"/>
        <v>2016</v>
      </c>
      <c r="F630" s="217" t="str">
        <f t="shared" si="50"/>
        <v>2Q16</v>
      </c>
      <c r="G630" s="218">
        <v>42517</v>
      </c>
      <c r="H630" s="217">
        <v>3.6116000000000001</v>
      </c>
    </row>
    <row r="631" spans="2:8">
      <c r="B631" s="217" t="str">
        <f t="shared" si="47"/>
        <v>2Q</v>
      </c>
      <c r="C631" s="217">
        <f t="shared" si="51"/>
        <v>5</v>
      </c>
      <c r="D631" s="217" t="str">
        <f t="shared" si="48"/>
        <v>16</v>
      </c>
      <c r="E631">
        <f t="shared" si="49"/>
        <v>2016</v>
      </c>
      <c r="F631" s="217" t="str">
        <f t="shared" si="50"/>
        <v>2Q16</v>
      </c>
      <c r="G631" s="218">
        <v>42520</v>
      </c>
      <c r="H631" s="217">
        <v>3.5712999999999999</v>
      </c>
    </row>
    <row r="632" spans="2:8">
      <c r="B632" s="217" t="str">
        <f t="shared" si="47"/>
        <v>2Q</v>
      </c>
      <c r="C632" s="217">
        <f t="shared" si="51"/>
        <v>5</v>
      </c>
      <c r="D632" s="217" t="str">
        <f t="shared" si="48"/>
        <v>16</v>
      </c>
      <c r="E632">
        <f t="shared" si="49"/>
        <v>2016</v>
      </c>
      <c r="F632" s="217" t="str">
        <f t="shared" si="50"/>
        <v>2Q16</v>
      </c>
      <c r="G632" s="218">
        <v>42521</v>
      </c>
      <c r="H632" s="217">
        <v>3.6111</v>
      </c>
    </row>
    <row r="633" spans="2:8">
      <c r="B633" s="217" t="str">
        <f t="shared" si="47"/>
        <v>2Q</v>
      </c>
      <c r="C633" s="217">
        <f t="shared" si="51"/>
        <v>6</v>
      </c>
      <c r="D633" s="217" t="str">
        <f t="shared" si="48"/>
        <v>16</v>
      </c>
      <c r="E633">
        <f t="shared" si="49"/>
        <v>2016</v>
      </c>
      <c r="F633" s="217" t="str">
        <f t="shared" si="50"/>
        <v>2Q16</v>
      </c>
      <c r="G633" s="218">
        <v>42522</v>
      </c>
      <c r="H633" s="217">
        <v>3.6006999999999998</v>
      </c>
    </row>
    <row r="634" spans="2:8">
      <c r="B634" s="217" t="str">
        <f t="shared" si="47"/>
        <v>2Q</v>
      </c>
      <c r="C634" s="217">
        <f t="shared" si="51"/>
        <v>6</v>
      </c>
      <c r="D634" s="217" t="str">
        <f t="shared" si="48"/>
        <v>16</v>
      </c>
      <c r="E634">
        <f t="shared" si="49"/>
        <v>2016</v>
      </c>
      <c r="F634" s="217" t="str">
        <f t="shared" si="50"/>
        <v>2Q16</v>
      </c>
      <c r="G634" s="218">
        <v>42523</v>
      </c>
      <c r="H634" s="217">
        <v>3.5926</v>
      </c>
    </row>
    <row r="635" spans="2:8">
      <c r="B635" s="217" t="str">
        <f t="shared" si="47"/>
        <v>2Q</v>
      </c>
      <c r="C635" s="217">
        <f t="shared" si="51"/>
        <v>6</v>
      </c>
      <c r="D635" s="217" t="str">
        <f t="shared" si="48"/>
        <v>16</v>
      </c>
      <c r="E635">
        <f t="shared" si="49"/>
        <v>2016</v>
      </c>
      <c r="F635" s="217" t="str">
        <f t="shared" si="50"/>
        <v>2Q16</v>
      </c>
      <c r="G635" s="218">
        <v>42524</v>
      </c>
      <c r="H635" s="217">
        <v>3.524</v>
      </c>
    </row>
    <row r="636" spans="2:8">
      <c r="B636" s="217" t="str">
        <f t="shared" si="47"/>
        <v>2Q</v>
      </c>
      <c r="C636" s="217">
        <f t="shared" si="51"/>
        <v>6</v>
      </c>
      <c r="D636" s="217" t="str">
        <f t="shared" si="48"/>
        <v>16</v>
      </c>
      <c r="E636">
        <f t="shared" si="49"/>
        <v>2016</v>
      </c>
      <c r="F636" s="217" t="str">
        <f t="shared" si="50"/>
        <v>2Q16</v>
      </c>
      <c r="G636" s="218">
        <v>42527</v>
      </c>
      <c r="H636" s="217">
        <v>3.4895999999999998</v>
      </c>
    </row>
    <row r="637" spans="2:8">
      <c r="B637" s="217" t="str">
        <f t="shared" si="47"/>
        <v>2Q</v>
      </c>
      <c r="C637" s="217">
        <f t="shared" si="51"/>
        <v>6</v>
      </c>
      <c r="D637" s="217" t="str">
        <f t="shared" si="48"/>
        <v>16</v>
      </c>
      <c r="E637">
        <f t="shared" si="49"/>
        <v>2016</v>
      </c>
      <c r="F637" s="217" t="str">
        <f t="shared" si="50"/>
        <v>2Q16</v>
      </c>
      <c r="G637" s="218">
        <v>42528</v>
      </c>
      <c r="H637" s="217">
        <v>3.4420999999999999</v>
      </c>
    </row>
    <row r="638" spans="2:8">
      <c r="B638" s="217" t="str">
        <f t="shared" si="47"/>
        <v>2Q</v>
      </c>
      <c r="C638" s="217">
        <f t="shared" si="51"/>
        <v>6</v>
      </c>
      <c r="D638" s="217" t="str">
        <f t="shared" si="48"/>
        <v>16</v>
      </c>
      <c r="E638">
        <f t="shared" si="49"/>
        <v>2016</v>
      </c>
      <c r="F638" s="217" t="str">
        <f t="shared" si="50"/>
        <v>2Q16</v>
      </c>
      <c r="G638" s="218">
        <v>42529</v>
      </c>
      <c r="H638" s="217">
        <v>3.363</v>
      </c>
    </row>
    <row r="639" spans="2:8">
      <c r="B639" s="217" t="str">
        <f t="shared" si="47"/>
        <v>2Q</v>
      </c>
      <c r="C639" s="217">
        <f t="shared" si="51"/>
        <v>6</v>
      </c>
      <c r="D639" s="217" t="str">
        <f t="shared" si="48"/>
        <v>16</v>
      </c>
      <c r="E639">
        <f t="shared" si="49"/>
        <v>2016</v>
      </c>
      <c r="F639" s="217" t="str">
        <f t="shared" si="50"/>
        <v>2Q16</v>
      </c>
      <c r="G639" s="218">
        <v>42530</v>
      </c>
      <c r="H639" s="217">
        <v>3.4009999999999998</v>
      </c>
    </row>
    <row r="640" spans="2:8">
      <c r="B640" s="217" t="str">
        <f t="shared" si="47"/>
        <v>2Q</v>
      </c>
      <c r="C640" s="217">
        <f t="shared" si="51"/>
        <v>6</v>
      </c>
      <c r="D640" s="217" t="str">
        <f t="shared" si="48"/>
        <v>16</v>
      </c>
      <c r="E640">
        <f t="shared" si="49"/>
        <v>2016</v>
      </c>
      <c r="F640" s="217" t="str">
        <f t="shared" si="50"/>
        <v>2Q16</v>
      </c>
      <c r="G640" s="218">
        <v>42531</v>
      </c>
      <c r="H640" s="217">
        <v>3.4188000000000001</v>
      </c>
    </row>
    <row r="641" spans="2:8">
      <c r="B641" s="217" t="str">
        <f t="shared" si="47"/>
        <v>2Q</v>
      </c>
      <c r="C641" s="217">
        <f t="shared" si="51"/>
        <v>6</v>
      </c>
      <c r="D641" s="217" t="str">
        <f t="shared" si="48"/>
        <v>16</v>
      </c>
      <c r="E641">
        <f t="shared" si="49"/>
        <v>2016</v>
      </c>
      <c r="F641" s="217" t="str">
        <f t="shared" si="50"/>
        <v>2Q16</v>
      </c>
      <c r="G641" s="218">
        <v>42534</v>
      </c>
      <c r="H641" s="217">
        <v>3.4826999999999999</v>
      </c>
    </row>
    <row r="642" spans="2:8">
      <c r="B642" s="217" t="str">
        <f t="shared" si="47"/>
        <v>2Q</v>
      </c>
      <c r="C642" s="217">
        <f t="shared" si="51"/>
        <v>6</v>
      </c>
      <c r="D642" s="217" t="str">
        <f t="shared" si="48"/>
        <v>16</v>
      </c>
      <c r="E642">
        <f t="shared" si="49"/>
        <v>2016</v>
      </c>
      <c r="F642" s="217" t="str">
        <f t="shared" si="50"/>
        <v>2Q16</v>
      </c>
      <c r="G642" s="218">
        <v>42535</v>
      </c>
      <c r="H642" s="217">
        <v>3.4811999999999999</v>
      </c>
    </row>
    <row r="643" spans="2:8">
      <c r="B643" s="217" t="str">
        <f t="shared" ref="B643:B706" si="52">VLOOKUP(C643,$N$3:$O$14,2,0)</f>
        <v>2Q</v>
      </c>
      <c r="C643" s="217">
        <f t="shared" si="51"/>
        <v>6</v>
      </c>
      <c r="D643" s="217" t="str">
        <f t="shared" ref="D643:D706" si="53">RIGHT(E643,2)</f>
        <v>16</v>
      </c>
      <c r="E643">
        <f t="shared" ref="E643:E706" si="54">YEAR(G643)</f>
        <v>2016</v>
      </c>
      <c r="F643" s="217" t="str">
        <f t="shared" ref="F643:F706" si="55">+B643&amp;D643</f>
        <v>2Q16</v>
      </c>
      <c r="G643" s="218">
        <v>42536</v>
      </c>
      <c r="H643" s="217">
        <v>3.4741</v>
      </c>
    </row>
    <row r="644" spans="2:8">
      <c r="B644" s="217" t="str">
        <f t="shared" si="52"/>
        <v>2Q</v>
      </c>
      <c r="C644" s="217">
        <f t="shared" ref="C644:C707" si="56">MONTH(G644)</f>
        <v>6</v>
      </c>
      <c r="D644" s="217" t="str">
        <f t="shared" si="53"/>
        <v>16</v>
      </c>
      <c r="E644">
        <f t="shared" si="54"/>
        <v>2016</v>
      </c>
      <c r="F644" s="217" t="str">
        <f t="shared" si="55"/>
        <v>2Q16</v>
      </c>
      <c r="G644" s="218">
        <v>42537</v>
      </c>
      <c r="H644" s="217">
        <v>3.4661</v>
      </c>
    </row>
    <row r="645" spans="2:8">
      <c r="B645" s="217" t="str">
        <f t="shared" si="52"/>
        <v>2Q</v>
      </c>
      <c r="C645" s="217">
        <f t="shared" si="56"/>
        <v>6</v>
      </c>
      <c r="D645" s="217" t="str">
        <f t="shared" si="53"/>
        <v>16</v>
      </c>
      <c r="E645">
        <f t="shared" si="54"/>
        <v>2016</v>
      </c>
      <c r="F645" s="217" t="str">
        <f t="shared" si="55"/>
        <v>2Q16</v>
      </c>
      <c r="G645" s="218">
        <v>42538</v>
      </c>
      <c r="H645" s="217">
        <v>3.4163000000000001</v>
      </c>
    </row>
    <row r="646" spans="2:8">
      <c r="B646" s="217" t="str">
        <f t="shared" si="52"/>
        <v>2Q</v>
      </c>
      <c r="C646" s="217">
        <f t="shared" si="56"/>
        <v>6</v>
      </c>
      <c r="D646" s="217" t="str">
        <f t="shared" si="53"/>
        <v>16</v>
      </c>
      <c r="E646">
        <f t="shared" si="54"/>
        <v>2016</v>
      </c>
      <c r="F646" s="217" t="str">
        <f t="shared" si="55"/>
        <v>2Q16</v>
      </c>
      <c r="G646" s="218">
        <v>42541</v>
      </c>
      <c r="H646" s="217">
        <v>3.3944999999999999</v>
      </c>
    </row>
    <row r="647" spans="2:8">
      <c r="B647" s="217" t="str">
        <f t="shared" si="52"/>
        <v>2Q</v>
      </c>
      <c r="C647" s="217">
        <f t="shared" si="56"/>
        <v>6</v>
      </c>
      <c r="D647" s="217" t="str">
        <f t="shared" si="53"/>
        <v>16</v>
      </c>
      <c r="E647">
        <f t="shared" si="54"/>
        <v>2016</v>
      </c>
      <c r="F647" s="217" t="str">
        <f t="shared" si="55"/>
        <v>2Q16</v>
      </c>
      <c r="G647" s="218">
        <v>42542</v>
      </c>
      <c r="H647" s="217">
        <v>3.4157999999999999</v>
      </c>
    </row>
    <row r="648" spans="2:8">
      <c r="B648" s="217" t="str">
        <f t="shared" si="52"/>
        <v>2Q</v>
      </c>
      <c r="C648" s="217">
        <f t="shared" si="56"/>
        <v>6</v>
      </c>
      <c r="D648" s="217" t="str">
        <f t="shared" si="53"/>
        <v>16</v>
      </c>
      <c r="E648">
        <f t="shared" si="54"/>
        <v>2016</v>
      </c>
      <c r="F648" s="217" t="str">
        <f t="shared" si="55"/>
        <v>2Q16</v>
      </c>
      <c r="G648" s="218">
        <v>42543</v>
      </c>
      <c r="H648" s="217">
        <v>3.3769999999999998</v>
      </c>
    </row>
    <row r="649" spans="2:8">
      <c r="B649" s="217" t="str">
        <f t="shared" si="52"/>
        <v>2Q</v>
      </c>
      <c r="C649" s="217">
        <f t="shared" si="56"/>
        <v>6</v>
      </c>
      <c r="D649" s="217" t="str">
        <f t="shared" si="53"/>
        <v>16</v>
      </c>
      <c r="E649">
        <f t="shared" si="54"/>
        <v>2016</v>
      </c>
      <c r="F649" s="217" t="str">
        <f t="shared" si="55"/>
        <v>2Q16</v>
      </c>
      <c r="G649" s="218">
        <v>42544</v>
      </c>
      <c r="H649" s="217">
        <v>3.339</v>
      </c>
    </row>
    <row r="650" spans="2:8">
      <c r="B650" s="217" t="str">
        <f t="shared" si="52"/>
        <v>2Q</v>
      </c>
      <c r="C650" s="217">
        <f t="shared" si="56"/>
        <v>6</v>
      </c>
      <c r="D650" s="217" t="str">
        <f t="shared" si="53"/>
        <v>16</v>
      </c>
      <c r="E650">
        <f t="shared" si="54"/>
        <v>2016</v>
      </c>
      <c r="F650" s="217" t="str">
        <f t="shared" si="55"/>
        <v>2Q16</v>
      </c>
      <c r="G650" s="218">
        <v>42545</v>
      </c>
      <c r="H650" s="217">
        <v>3.3738999999999999</v>
      </c>
    </row>
    <row r="651" spans="2:8">
      <c r="B651" s="217" t="str">
        <f t="shared" si="52"/>
        <v>2Q</v>
      </c>
      <c r="C651" s="217">
        <f t="shared" si="56"/>
        <v>6</v>
      </c>
      <c r="D651" s="217" t="str">
        <f t="shared" si="53"/>
        <v>16</v>
      </c>
      <c r="E651">
        <f t="shared" si="54"/>
        <v>2016</v>
      </c>
      <c r="F651" s="217" t="str">
        <f t="shared" si="55"/>
        <v>2Q16</v>
      </c>
      <c r="G651" s="218">
        <v>42548</v>
      </c>
      <c r="H651" s="217">
        <v>3.3925999999999998</v>
      </c>
    </row>
    <row r="652" spans="2:8">
      <c r="B652" s="217" t="str">
        <f t="shared" si="52"/>
        <v>2Q</v>
      </c>
      <c r="C652" s="217">
        <f t="shared" si="56"/>
        <v>6</v>
      </c>
      <c r="D652" s="217" t="str">
        <f t="shared" si="53"/>
        <v>16</v>
      </c>
      <c r="E652">
        <f t="shared" si="54"/>
        <v>2016</v>
      </c>
      <c r="F652" s="217" t="str">
        <f t="shared" si="55"/>
        <v>2Q16</v>
      </c>
      <c r="G652" s="218">
        <v>42549</v>
      </c>
      <c r="H652" s="217">
        <v>3.3029000000000002</v>
      </c>
    </row>
    <row r="653" spans="2:8">
      <c r="B653" s="217" t="str">
        <f t="shared" si="52"/>
        <v>2Q</v>
      </c>
      <c r="C653" s="217">
        <f t="shared" si="56"/>
        <v>6</v>
      </c>
      <c r="D653" s="217" t="str">
        <f t="shared" si="53"/>
        <v>16</v>
      </c>
      <c r="E653">
        <f t="shared" si="54"/>
        <v>2016</v>
      </c>
      <c r="F653" s="217" t="str">
        <f t="shared" si="55"/>
        <v>2Q16</v>
      </c>
      <c r="G653" s="218">
        <v>42550</v>
      </c>
      <c r="H653" s="217">
        <v>3.222</v>
      </c>
    </row>
    <row r="654" spans="2:8">
      <c r="B654" s="217" t="str">
        <f t="shared" si="52"/>
        <v>2Q</v>
      </c>
      <c r="C654" s="217">
        <f t="shared" si="56"/>
        <v>6</v>
      </c>
      <c r="D654" s="217" t="str">
        <f t="shared" si="53"/>
        <v>16</v>
      </c>
      <c r="E654">
        <f t="shared" si="54"/>
        <v>2016</v>
      </c>
      <c r="F654" s="217" t="str">
        <f t="shared" si="55"/>
        <v>2Q16</v>
      </c>
      <c r="G654" s="218">
        <v>42551</v>
      </c>
      <c r="H654" s="217">
        <v>3.2134</v>
      </c>
    </row>
    <row r="655" spans="2:8">
      <c r="B655" s="217" t="str">
        <f t="shared" si="52"/>
        <v>3Q</v>
      </c>
      <c r="C655" s="217">
        <f t="shared" si="56"/>
        <v>7</v>
      </c>
      <c r="D655" s="217" t="str">
        <f t="shared" si="53"/>
        <v>16</v>
      </c>
      <c r="E655">
        <f t="shared" si="54"/>
        <v>2016</v>
      </c>
      <c r="F655" s="217" t="str">
        <f t="shared" si="55"/>
        <v>3Q16</v>
      </c>
      <c r="G655" s="218">
        <v>42552</v>
      </c>
      <c r="H655" s="217">
        <v>3.2361</v>
      </c>
    </row>
    <row r="656" spans="2:8">
      <c r="B656" s="217" t="str">
        <f t="shared" si="52"/>
        <v>3Q</v>
      </c>
      <c r="C656" s="217">
        <f t="shared" si="56"/>
        <v>7</v>
      </c>
      <c r="D656" s="217" t="str">
        <f t="shared" si="53"/>
        <v>16</v>
      </c>
      <c r="E656">
        <f t="shared" si="54"/>
        <v>2016</v>
      </c>
      <c r="F656" s="217" t="str">
        <f t="shared" si="55"/>
        <v>3Q16</v>
      </c>
      <c r="G656" s="218">
        <v>42555</v>
      </c>
      <c r="H656" s="217">
        <v>3.2694999999999999</v>
      </c>
    </row>
    <row r="657" spans="2:8">
      <c r="B657" s="217" t="str">
        <f t="shared" si="52"/>
        <v>3Q</v>
      </c>
      <c r="C657" s="217">
        <f t="shared" si="56"/>
        <v>7</v>
      </c>
      <c r="D657" s="217" t="str">
        <f t="shared" si="53"/>
        <v>16</v>
      </c>
      <c r="E657">
        <f t="shared" si="54"/>
        <v>2016</v>
      </c>
      <c r="F657" s="217" t="str">
        <f t="shared" si="55"/>
        <v>3Q16</v>
      </c>
      <c r="G657" s="218">
        <v>42556</v>
      </c>
      <c r="H657" s="217">
        <v>3.3024</v>
      </c>
    </row>
    <row r="658" spans="2:8">
      <c r="B658" s="217" t="str">
        <f t="shared" si="52"/>
        <v>3Q</v>
      </c>
      <c r="C658" s="217">
        <f t="shared" si="56"/>
        <v>7</v>
      </c>
      <c r="D658" s="217" t="str">
        <f t="shared" si="53"/>
        <v>16</v>
      </c>
      <c r="E658">
        <f t="shared" si="54"/>
        <v>2016</v>
      </c>
      <c r="F658" s="217" t="str">
        <f t="shared" si="55"/>
        <v>3Q16</v>
      </c>
      <c r="G658" s="218">
        <v>42557</v>
      </c>
      <c r="H658" s="217">
        <v>3.33</v>
      </c>
    </row>
    <row r="659" spans="2:8">
      <c r="B659" s="217" t="str">
        <f t="shared" si="52"/>
        <v>3Q</v>
      </c>
      <c r="C659" s="217">
        <f t="shared" si="56"/>
        <v>7</v>
      </c>
      <c r="D659" s="217" t="str">
        <f t="shared" si="53"/>
        <v>16</v>
      </c>
      <c r="E659">
        <f t="shared" si="54"/>
        <v>2016</v>
      </c>
      <c r="F659" s="217" t="str">
        <f t="shared" si="55"/>
        <v>3Q16</v>
      </c>
      <c r="G659" s="218">
        <v>42558</v>
      </c>
      <c r="H659" s="217">
        <v>3.3677999999999999</v>
      </c>
    </row>
    <row r="660" spans="2:8">
      <c r="B660" s="217" t="str">
        <f t="shared" si="52"/>
        <v>3Q</v>
      </c>
      <c r="C660" s="217">
        <f t="shared" si="56"/>
        <v>7</v>
      </c>
      <c r="D660" s="217" t="str">
        <f t="shared" si="53"/>
        <v>16</v>
      </c>
      <c r="E660">
        <f t="shared" si="54"/>
        <v>2016</v>
      </c>
      <c r="F660" s="217" t="str">
        <f t="shared" si="55"/>
        <v>3Q16</v>
      </c>
      <c r="G660" s="218">
        <v>42559</v>
      </c>
      <c r="H660" s="217">
        <v>3.3006000000000002</v>
      </c>
    </row>
    <row r="661" spans="2:8">
      <c r="B661" s="217" t="str">
        <f t="shared" si="52"/>
        <v>3Q</v>
      </c>
      <c r="C661" s="217">
        <f t="shared" si="56"/>
        <v>7</v>
      </c>
      <c r="D661" s="217" t="str">
        <f t="shared" si="53"/>
        <v>16</v>
      </c>
      <c r="E661">
        <f t="shared" si="54"/>
        <v>2016</v>
      </c>
      <c r="F661" s="217" t="str">
        <f t="shared" si="55"/>
        <v>3Q16</v>
      </c>
      <c r="G661" s="218">
        <v>42562</v>
      </c>
      <c r="H661" s="217">
        <v>3.3094000000000001</v>
      </c>
    </row>
    <row r="662" spans="2:8">
      <c r="B662" s="217" t="str">
        <f t="shared" si="52"/>
        <v>3Q</v>
      </c>
      <c r="C662" s="217">
        <f t="shared" si="56"/>
        <v>7</v>
      </c>
      <c r="D662" s="217" t="str">
        <f t="shared" si="53"/>
        <v>16</v>
      </c>
      <c r="E662">
        <f t="shared" si="54"/>
        <v>2016</v>
      </c>
      <c r="F662" s="217" t="str">
        <f t="shared" si="55"/>
        <v>3Q16</v>
      </c>
      <c r="G662" s="218">
        <v>42563</v>
      </c>
      <c r="H662" s="217">
        <v>3.2959999999999998</v>
      </c>
    </row>
    <row r="663" spans="2:8">
      <c r="B663" s="217" t="str">
        <f t="shared" si="52"/>
        <v>3Q</v>
      </c>
      <c r="C663" s="217">
        <f t="shared" si="56"/>
        <v>7</v>
      </c>
      <c r="D663" s="217" t="str">
        <f t="shared" si="53"/>
        <v>16</v>
      </c>
      <c r="E663">
        <f t="shared" si="54"/>
        <v>2016</v>
      </c>
      <c r="F663" s="217" t="str">
        <f t="shared" si="55"/>
        <v>3Q16</v>
      </c>
      <c r="G663" s="218">
        <v>42564</v>
      </c>
      <c r="H663" s="217">
        <v>3.2637</v>
      </c>
    </row>
    <row r="664" spans="2:8">
      <c r="B664" s="217" t="str">
        <f t="shared" si="52"/>
        <v>3Q</v>
      </c>
      <c r="C664" s="217">
        <f t="shared" si="56"/>
        <v>7</v>
      </c>
      <c r="D664" s="217" t="str">
        <f t="shared" si="53"/>
        <v>16</v>
      </c>
      <c r="E664">
        <f t="shared" si="54"/>
        <v>2016</v>
      </c>
      <c r="F664" s="217" t="str">
        <f t="shared" si="55"/>
        <v>3Q16</v>
      </c>
      <c r="G664" s="218">
        <v>42565</v>
      </c>
      <c r="H664" s="217">
        <v>3.2511000000000001</v>
      </c>
    </row>
    <row r="665" spans="2:8">
      <c r="B665" s="217" t="str">
        <f t="shared" si="52"/>
        <v>3Q</v>
      </c>
      <c r="C665" s="217">
        <f t="shared" si="56"/>
        <v>7</v>
      </c>
      <c r="D665" s="217" t="str">
        <f t="shared" si="53"/>
        <v>16</v>
      </c>
      <c r="E665">
        <f t="shared" si="54"/>
        <v>2016</v>
      </c>
      <c r="F665" s="217" t="str">
        <f t="shared" si="55"/>
        <v>3Q16</v>
      </c>
      <c r="G665" s="218">
        <v>42566</v>
      </c>
      <c r="H665" s="217">
        <v>3.282</v>
      </c>
    </row>
    <row r="666" spans="2:8">
      <c r="B666" s="217" t="str">
        <f t="shared" si="52"/>
        <v>3Q</v>
      </c>
      <c r="C666" s="217">
        <f t="shared" si="56"/>
        <v>7</v>
      </c>
      <c r="D666" s="217" t="str">
        <f t="shared" si="53"/>
        <v>16</v>
      </c>
      <c r="E666">
        <f t="shared" si="54"/>
        <v>2016</v>
      </c>
      <c r="F666" s="217" t="str">
        <f t="shared" si="55"/>
        <v>3Q16</v>
      </c>
      <c r="G666" s="218">
        <v>42569</v>
      </c>
      <c r="H666" s="217">
        <v>3.2532000000000001</v>
      </c>
    </row>
    <row r="667" spans="2:8">
      <c r="B667" s="217" t="str">
        <f t="shared" si="52"/>
        <v>3Q</v>
      </c>
      <c r="C667" s="217">
        <f t="shared" si="56"/>
        <v>7</v>
      </c>
      <c r="D667" s="217" t="str">
        <f t="shared" si="53"/>
        <v>16</v>
      </c>
      <c r="E667">
        <f t="shared" si="54"/>
        <v>2016</v>
      </c>
      <c r="F667" s="217" t="str">
        <f t="shared" si="55"/>
        <v>3Q16</v>
      </c>
      <c r="G667" s="218">
        <v>42570</v>
      </c>
      <c r="H667" s="217">
        <v>3.2490000000000001</v>
      </c>
    </row>
    <row r="668" spans="2:8">
      <c r="B668" s="217" t="str">
        <f t="shared" si="52"/>
        <v>3Q</v>
      </c>
      <c r="C668" s="217">
        <f t="shared" si="56"/>
        <v>7</v>
      </c>
      <c r="D668" s="217" t="str">
        <f t="shared" si="53"/>
        <v>16</v>
      </c>
      <c r="E668">
        <f t="shared" si="54"/>
        <v>2016</v>
      </c>
      <c r="F668" s="217" t="str">
        <f t="shared" si="55"/>
        <v>3Q16</v>
      </c>
      <c r="G668" s="218">
        <v>42571</v>
      </c>
      <c r="H668" s="217">
        <v>3.2591000000000001</v>
      </c>
    </row>
    <row r="669" spans="2:8">
      <c r="B669" s="217" t="str">
        <f t="shared" si="52"/>
        <v>3Q</v>
      </c>
      <c r="C669" s="217">
        <f t="shared" si="56"/>
        <v>7</v>
      </c>
      <c r="D669" s="217" t="str">
        <f t="shared" si="53"/>
        <v>16</v>
      </c>
      <c r="E669">
        <f t="shared" si="54"/>
        <v>2016</v>
      </c>
      <c r="F669" s="217" t="str">
        <f t="shared" si="55"/>
        <v>3Q16</v>
      </c>
      <c r="G669" s="218">
        <v>42572</v>
      </c>
      <c r="H669" s="217">
        <v>3.2722000000000002</v>
      </c>
    </row>
    <row r="670" spans="2:8">
      <c r="B670" s="217" t="str">
        <f t="shared" si="52"/>
        <v>3Q</v>
      </c>
      <c r="C670" s="217">
        <f t="shared" si="56"/>
        <v>7</v>
      </c>
      <c r="D670" s="217" t="str">
        <f t="shared" si="53"/>
        <v>16</v>
      </c>
      <c r="E670">
        <f t="shared" si="54"/>
        <v>2016</v>
      </c>
      <c r="F670" s="217" t="str">
        <f t="shared" si="55"/>
        <v>3Q16</v>
      </c>
      <c r="G670" s="218">
        <v>42573</v>
      </c>
      <c r="H670" s="217">
        <v>3.2565</v>
      </c>
    </row>
    <row r="671" spans="2:8">
      <c r="B671" s="217" t="str">
        <f t="shared" si="52"/>
        <v>3Q</v>
      </c>
      <c r="C671" s="217">
        <f t="shared" si="56"/>
        <v>7</v>
      </c>
      <c r="D671" s="217" t="str">
        <f t="shared" si="53"/>
        <v>16</v>
      </c>
      <c r="E671">
        <f t="shared" si="54"/>
        <v>2016</v>
      </c>
      <c r="F671" s="217" t="str">
        <f t="shared" si="55"/>
        <v>3Q16</v>
      </c>
      <c r="G671" s="218">
        <v>42576</v>
      </c>
      <c r="H671" s="217">
        <v>3.286</v>
      </c>
    </row>
    <row r="672" spans="2:8">
      <c r="B672" s="217" t="str">
        <f t="shared" si="52"/>
        <v>3Q</v>
      </c>
      <c r="C672" s="217">
        <f t="shared" si="56"/>
        <v>7</v>
      </c>
      <c r="D672" s="217" t="str">
        <f t="shared" si="53"/>
        <v>16</v>
      </c>
      <c r="E672">
        <f t="shared" si="54"/>
        <v>2016</v>
      </c>
      <c r="F672" s="217" t="str">
        <f t="shared" si="55"/>
        <v>3Q16</v>
      </c>
      <c r="G672" s="218">
        <v>42577</v>
      </c>
      <c r="H672" s="217">
        <v>3.2768000000000002</v>
      </c>
    </row>
    <row r="673" spans="2:8">
      <c r="B673" s="217" t="str">
        <f t="shared" si="52"/>
        <v>3Q</v>
      </c>
      <c r="C673" s="217">
        <f t="shared" si="56"/>
        <v>7</v>
      </c>
      <c r="D673" s="217" t="str">
        <f t="shared" si="53"/>
        <v>16</v>
      </c>
      <c r="E673">
        <f t="shared" si="54"/>
        <v>2016</v>
      </c>
      <c r="F673" s="217" t="str">
        <f t="shared" si="55"/>
        <v>3Q16</v>
      </c>
      <c r="G673" s="218">
        <v>42578</v>
      </c>
      <c r="H673" s="217">
        <v>3.2637</v>
      </c>
    </row>
    <row r="674" spans="2:8">
      <c r="B674" s="217" t="str">
        <f t="shared" si="52"/>
        <v>3Q</v>
      </c>
      <c r="C674" s="217">
        <f t="shared" si="56"/>
        <v>7</v>
      </c>
      <c r="D674" s="217" t="str">
        <f t="shared" si="53"/>
        <v>16</v>
      </c>
      <c r="E674">
        <f t="shared" si="54"/>
        <v>2016</v>
      </c>
      <c r="F674" s="217" t="str">
        <f t="shared" si="55"/>
        <v>3Q16</v>
      </c>
      <c r="G674" s="218">
        <v>42579</v>
      </c>
      <c r="H674" s="217">
        <v>3.2892000000000001</v>
      </c>
    </row>
    <row r="675" spans="2:8">
      <c r="B675" s="217" t="str">
        <f t="shared" si="52"/>
        <v>3Q</v>
      </c>
      <c r="C675" s="217">
        <f t="shared" si="56"/>
        <v>7</v>
      </c>
      <c r="D675" s="217" t="str">
        <f t="shared" si="53"/>
        <v>16</v>
      </c>
      <c r="E675">
        <f t="shared" si="54"/>
        <v>2016</v>
      </c>
      <c r="F675" s="217" t="str">
        <f t="shared" si="55"/>
        <v>3Q16</v>
      </c>
      <c r="G675" s="218">
        <v>42580</v>
      </c>
      <c r="H675" s="217">
        <v>3.2486000000000002</v>
      </c>
    </row>
    <row r="676" spans="2:8">
      <c r="B676" s="217" t="str">
        <f t="shared" si="52"/>
        <v>3Q</v>
      </c>
      <c r="C676" s="217">
        <f t="shared" si="56"/>
        <v>8</v>
      </c>
      <c r="D676" s="217" t="str">
        <f t="shared" si="53"/>
        <v>16</v>
      </c>
      <c r="E676">
        <f t="shared" si="54"/>
        <v>2016</v>
      </c>
      <c r="F676" s="217" t="str">
        <f t="shared" si="55"/>
        <v>3Q16</v>
      </c>
      <c r="G676" s="218">
        <v>42583</v>
      </c>
      <c r="H676" s="217">
        <v>3.2648999999999999</v>
      </c>
    </row>
    <row r="677" spans="2:8">
      <c r="B677" s="217" t="str">
        <f t="shared" si="52"/>
        <v>3Q</v>
      </c>
      <c r="C677" s="217">
        <f t="shared" si="56"/>
        <v>8</v>
      </c>
      <c r="D677" s="217" t="str">
        <f t="shared" si="53"/>
        <v>16</v>
      </c>
      <c r="E677">
        <f t="shared" si="54"/>
        <v>2016</v>
      </c>
      <c r="F677" s="217" t="str">
        <f t="shared" si="55"/>
        <v>3Q16</v>
      </c>
      <c r="G677" s="218">
        <v>42584</v>
      </c>
      <c r="H677" s="217">
        <v>3.2570999999999999</v>
      </c>
    </row>
    <row r="678" spans="2:8">
      <c r="B678" s="217" t="str">
        <f t="shared" si="52"/>
        <v>3Q</v>
      </c>
      <c r="C678" s="217">
        <f t="shared" si="56"/>
        <v>8</v>
      </c>
      <c r="D678" s="217" t="str">
        <f t="shared" si="53"/>
        <v>16</v>
      </c>
      <c r="E678">
        <f t="shared" si="54"/>
        <v>2016</v>
      </c>
      <c r="F678" s="217" t="str">
        <f t="shared" si="55"/>
        <v>3Q16</v>
      </c>
      <c r="G678" s="218">
        <v>42585</v>
      </c>
      <c r="H678" s="217">
        <v>3.2376999999999998</v>
      </c>
    </row>
    <row r="679" spans="2:8">
      <c r="B679" s="217" t="str">
        <f t="shared" si="52"/>
        <v>3Q</v>
      </c>
      <c r="C679" s="217">
        <f t="shared" si="56"/>
        <v>8</v>
      </c>
      <c r="D679" s="217" t="str">
        <f t="shared" si="53"/>
        <v>16</v>
      </c>
      <c r="E679">
        <f t="shared" si="54"/>
        <v>2016</v>
      </c>
      <c r="F679" s="217" t="str">
        <f t="shared" si="55"/>
        <v>3Q16</v>
      </c>
      <c r="G679" s="218">
        <v>42586</v>
      </c>
      <c r="H679" s="217">
        <v>3.1937000000000002</v>
      </c>
    </row>
    <row r="680" spans="2:8">
      <c r="B680" s="217" t="str">
        <f t="shared" si="52"/>
        <v>3Q</v>
      </c>
      <c r="C680" s="217">
        <f t="shared" si="56"/>
        <v>8</v>
      </c>
      <c r="D680" s="217" t="str">
        <f t="shared" si="53"/>
        <v>16</v>
      </c>
      <c r="E680">
        <f t="shared" si="54"/>
        <v>2016</v>
      </c>
      <c r="F680" s="217" t="str">
        <f t="shared" si="55"/>
        <v>3Q16</v>
      </c>
      <c r="G680" s="218">
        <v>42587</v>
      </c>
      <c r="H680" s="217">
        <v>3.1659999999999999</v>
      </c>
    </row>
    <row r="681" spans="2:8">
      <c r="B681" s="217" t="str">
        <f t="shared" si="52"/>
        <v>3Q</v>
      </c>
      <c r="C681" s="217">
        <f t="shared" si="56"/>
        <v>8</v>
      </c>
      <c r="D681" s="217" t="str">
        <f t="shared" si="53"/>
        <v>16</v>
      </c>
      <c r="E681">
        <f t="shared" si="54"/>
        <v>2016</v>
      </c>
      <c r="F681" s="217" t="str">
        <f t="shared" si="55"/>
        <v>3Q16</v>
      </c>
      <c r="G681" s="218">
        <v>42590</v>
      </c>
      <c r="H681" s="217">
        <v>3.1749000000000001</v>
      </c>
    </row>
    <row r="682" spans="2:8">
      <c r="B682" s="217" t="str">
        <f t="shared" si="52"/>
        <v>3Q</v>
      </c>
      <c r="C682" s="217">
        <f t="shared" si="56"/>
        <v>8</v>
      </c>
      <c r="D682" s="217" t="str">
        <f t="shared" si="53"/>
        <v>16</v>
      </c>
      <c r="E682">
        <f t="shared" si="54"/>
        <v>2016</v>
      </c>
      <c r="F682" s="217" t="str">
        <f t="shared" si="55"/>
        <v>3Q16</v>
      </c>
      <c r="G682" s="218">
        <v>42591</v>
      </c>
      <c r="H682" s="217">
        <v>3.1456</v>
      </c>
    </row>
    <row r="683" spans="2:8">
      <c r="B683" s="217" t="str">
        <f t="shared" si="52"/>
        <v>3Q</v>
      </c>
      <c r="C683" s="217">
        <f t="shared" si="56"/>
        <v>8</v>
      </c>
      <c r="D683" s="217" t="str">
        <f t="shared" si="53"/>
        <v>16</v>
      </c>
      <c r="E683">
        <f t="shared" si="54"/>
        <v>2016</v>
      </c>
      <c r="F683" s="217" t="str">
        <f t="shared" si="55"/>
        <v>3Q16</v>
      </c>
      <c r="G683" s="218">
        <v>42592</v>
      </c>
      <c r="H683" s="217">
        <v>3.1271</v>
      </c>
    </row>
    <row r="684" spans="2:8">
      <c r="B684" s="217" t="str">
        <f t="shared" si="52"/>
        <v>3Q</v>
      </c>
      <c r="C684" s="217">
        <f t="shared" si="56"/>
        <v>8</v>
      </c>
      <c r="D684" s="217" t="str">
        <f t="shared" si="53"/>
        <v>16</v>
      </c>
      <c r="E684">
        <f t="shared" si="54"/>
        <v>2016</v>
      </c>
      <c r="F684" s="217" t="str">
        <f t="shared" si="55"/>
        <v>3Q16</v>
      </c>
      <c r="G684" s="218">
        <v>42593</v>
      </c>
      <c r="H684" s="217">
        <v>3.1448999999999998</v>
      </c>
    </row>
    <row r="685" spans="2:8">
      <c r="B685" s="217" t="str">
        <f t="shared" si="52"/>
        <v>3Q</v>
      </c>
      <c r="C685" s="217">
        <f t="shared" si="56"/>
        <v>8</v>
      </c>
      <c r="D685" s="217" t="str">
        <f t="shared" si="53"/>
        <v>16</v>
      </c>
      <c r="E685">
        <f t="shared" si="54"/>
        <v>2016</v>
      </c>
      <c r="F685" s="217" t="str">
        <f t="shared" si="55"/>
        <v>3Q16</v>
      </c>
      <c r="G685" s="218">
        <v>42594</v>
      </c>
      <c r="H685" s="217">
        <v>3.1924999999999999</v>
      </c>
    </row>
    <row r="686" spans="2:8">
      <c r="B686" s="217" t="str">
        <f t="shared" si="52"/>
        <v>3Q</v>
      </c>
      <c r="C686" s="217">
        <f t="shared" si="56"/>
        <v>8</v>
      </c>
      <c r="D686" s="217" t="str">
        <f t="shared" si="53"/>
        <v>16</v>
      </c>
      <c r="E686">
        <f t="shared" si="54"/>
        <v>2016</v>
      </c>
      <c r="F686" s="217" t="str">
        <f t="shared" si="55"/>
        <v>3Q16</v>
      </c>
      <c r="G686" s="218">
        <v>42597</v>
      </c>
      <c r="H686" s="217">
        <v>3.1861999999999999</v>
      </c>
    </row>
    <row r="687" spans="2:8">
      <c r="B687" s="217" t="str">
        <f t="shared" si="52"/>
        <v>3Q</v>
      </c>
      <c r="C687" s="217">
        <f t="shared" si="56"/>
        <v>8</v>
      </c>
      <c r="D687" s="217" t="str">
        <f t="shared" si="53"/>
        <v>16</v>
      </c>
      <c r="E687">
        <f t="shared" si="54"/>
        <v>2016</v>
      </c>
      <c r="F687" s="217" t="str">
        <f t="shared" si="55"/>
        <v>3Q16</v>
      </c>
      <c r="G687" s="218">
        <v>42598</v>
      </c>
      <c r="H687" s="217">
        <v>3.2027000000000001</v>
      </c>
    </row>
    <row r="688" spans="2:8">
      <c r="B688" s="217" t="str">
        <f t="shared" si="52"/>
        <v>3Q</v>
      </c>
      <c r="C688" s="217">
        <f t="shared" si="56"/>
        <v>8</v>
      </c>
      <c r="D688" s="217" t="str">
        <f t="shared" si="53"/>
        <v>16</v>
      </c>
      <c r="E688">
        <f t="shared" si="54"/>
        <v>2016</v>
      </c>
      <c r="F688" s="217" t="str">
        <f t="shared" si="55"/>
        <v>3Q16</v>
      </c>
      <c r="G688" s="218">
        <v>42599</v>
      </c>
      <c r="H688" s="217">
        <v>3.2035999999999998</v>
      </c>
    </row>
    <row r="689" spans="2:8">
      <c r="B689" s="217" t="str">
        <f t="shared" si="52"/>
        <v>3Q</v>
      </c>
      <c r="C689" s="217">
        <f t="shared" si="56"/>
        <v>8</v>
      </c>
      <c r="D689" s="217" t="str">
        <f t="shared" si="53"/>
        <v>16</v>
      </c>
      <c r="E689">
        <f t="shared" si="54"/>
        <v>2016</v>
      </c>
      <c r="F689" s="217" t="str">
        <f t="shared" si="55"/>
        <v>3Q16</v>
      </c>
      <c r="G689" s="218">
        <v>42600</v>
      </c>
      <c r="H689" s="217">
        <v>3.2393000000000001</v>
      </c>
    </row>
    <row r="690" spans="2:8">
      <c r="B690" s="217" t="str">
        <f t="shared" si="52"/>
        <v>3Q</v>
      </c>
      <c r="C690" s="217">
        <f t="shared" si="56"/>
        <v>8</v>
      </c>
      <c r="D690" s="217" t="str">
        <f t="shared" si="53"/>
        <v>16</v>
      </c>
      <c r="E690">
        <f t="shared" si="54"/>
        <v>2016</v>
      </c>
      <c r="F690" s="217" t="str">
        <f t="shared" si="55"/>
        <v>3Q16</v>
      </c>
      <c r="G690" s="218">
        <v>42601</v>
      </c>
      <c r="H690" s="217">
        <v>3.2038000000000002</v>
      </c>
    </row>
    <row r="691" spans="2:8">
      <c r="B691" s="217" t="str">
        <f t="shared" si="52"/>
        <v>3Q</v>
      </c>
      <c r="C691" s="217">
        <f t="shared" si="56"/>
        <v>8</v>
      </c>
      <c r="D691" s="217" t="str">
        <f t="shared" si="53"/>
        <v>16</v>
      </c>
      <c r="E691">
        <f t="shared" si="54"/>
        <v>2016</v>
      </c>
      <c r="F691" s="217" t="str">
        <f t="shared" si="55"/>
        <v>3Q16</v>
      </c>
      <c r="G691" s="218">
        <v>42604</v>
      </c>
      <c r="H691" s="217">
        <v>3.2014</v>
      </c>
    </row>
    <row r="692" spans="2:8">
      <c r="B692" s="217" t="str">
        <f t="shared" si="52"/>
        <v>3Q</v>
      </c>
      <c r="C692" s="217">
        <f t="shared" si="56"/>
        <v>8</v>
      </c>
      <c r="D692" s="217" t="str">
        <f t="shared" si="53"/>
        <v>16</v>
      </c>
      <c r="E692">
        <f t="shared" si="54"/>
        <v>2016</v>
      </c>
      <c r="F692" s="217" t="str">
        <f t="shared" si="55"/>
        <v>3Q16</v>
      </c>
      <c r="G692" s="218">
        <v>42605</v>
      </c>
      <c r="H692" s="217">
        <v>3.2336999999999998</v>
      </c>
    </row>
    <row r="693" spans="2:8">
      <c r="B693" s="217" t="str">
        <f t="shared" si="52"/>
        <v>3Q</v>
      </c>
      <c r="C693" s="217">
        <f t="shared" si="56"/>
        <v>8</v>
      </c>
      <c r="D693" s="217" t="str">
        <f t="shared" si="53"/>
        <v>16</v>
      </c>
      <c r="E693">
        <f t="shared" si="54"/>
        <v>2016</v>
      </c>
      <c r="F693" s="217" t="str">
        <f t="shared" si="55"/>
        <v>3Q16</v>
      </c>
      <c r="G693" s="218">
        <v>42606</v>
      </c>
      <c r="H693" s="217">
        <v>3.2256999999999998</v>
      </c>
    </row>
    <row r="694" spans="2:8">
      <c r="B694" s="217" t="str">
        <f t="shared" si="52"/>
        <v>3Q</v>
      </c>
      <c r="C694" s="217">
        <f t="shared" si="56"/>
        <v>8</v>
      </c>
      <c r="D694" s="217" t="str">
        <f t="shared" si="53"/>
        <v>16</v>
      </c>
      <c r="E694">
        <f t="shared" si="54"/>
        <v>2016</v>
      </c>
      <c r="F694" s="217" t="str">
        <f t="shared" si="55"/>
        <v>3Q16</v>
      </c>
      <c r="G694" s="218">
        <v>42607</v>
      </c>
      <c r="H694" s="217">
        <v>3.2366999999999999</v>
      </c>
    </row>
    <row r="695" spans="2:8">
      <c r="B695" s="217" t="str">
        <f t="shared" si="52"/>
        <v>3Q</v>
      </c>
      <c r="C695" s="217">
        <f t="shared" si="56"/>
        <v>8</v>
      </c>
      <c r="D695" s="217" t="str">
        <f t="shared" si="53"/>
        <v>16</v>
      </c>
      <c r="E695">
        <f t="shared" si="54"/>
        <v>2016</v>
      </c>
      <c r="F695" s="217" t="str">
        <f t="shared" si="55"/>
        <v>3Q16</v>
      </c>
      <c r="G695" s="218">
        <v>42608</v>
      </c>
      <c r="H695" s="217">
        <v>3.2654999999999998</v>
      </c>
    </row>
    <row r="696" spans="2:8">
      <c r="B696" s="217" t="str">
        <f t="shared" si="52"/>
        <v>3Q</v>
      </c>
      <c r="C696" s="217">
        <f t="shared" si="56"/>
        <v>8</v>
      </c>
      <c r="D696" s="217" t="str">
        <f t="shared" si="53"/>
        <v>16</v>
      </c>
      <c r="E696">
        <f t="shared" si="54"/>
        <v>2016</v>
      </c>
      <c r="F696" s="217" t="str">
        <f t="shared" si="55"/>
        <v>3Q16</v>
      </c>
      <c r="G696" s="218">
        <v>42611</v>
      </c>
      <c r="H696" s="217">
        <v>3.2298</v>
      </c>
    </row>
    <row r="697" spans="2:8">
      <c r="B697" s="217" t="str">
        <f t="shared" si="52"/>
        <v>3Q</v>
      </c>
      <c r="C697" s="217">
        <f t="shared" si="56"/>
        <v>8</v>
      </c>
      <c r="D697" s="217" t="str">
        <f t="shared" si="53"/>
        <v>16</v>
      </c>
      <c r="E697">
        <f t="shared" si="54"/>
        <v>2016</v>
      </c>
      <c r="F697" s="217" t="str">
        <f t="shared" si="55"/>
        <v>3Q16</v>
      </c>
      <c r="G697" s="218">
        <v>42612</v>
      </c>
      <c r="H697" s="217">
        <v>3.2418999999999998</v>
      </c>
    </row>
    <row r="698" spans="2:8">
      <c r="B698" s="217" t="str">
        <f t="shared" si="52"/>
        <v>3Q</v>
      </c>
      <c r="C698" s="217">
        <f t="shared" si="56"/>
        <v>8</v>
      </c>
      <c r="D698" s="217" t="str">
        <f t="shared" si="53"/>
        <v>16</v>
      </c>
      <c r="E698">
        <f t="shared" si="54"/>
        <v>2016</v>
      </c>
      <c r="F698" s="217" t="str">
        <f t="shared" si="55"/>
        <v>3Q16</v>
      </c>
      <c r="G698" s="218">
        <v>42613</v>
      </c>
      <c r="H698" s="217">
        <v>3.2271999999999998</v>
      </c>
    </row>
    <row r="699" spans="2:8">
      <c r="B699" s="217" t="str">
        <f t="shared" si="52"/>
        <v>3Q</v>
      </c>
      <c r="C699" s="217">
        <f t="shared" si="56"/>
        <v>9</v>
      </c>
      <c r="D699" s="217" t="str">
        <f t="shared" si="53"/>
        <v>16</v>
      </c>
      <c r="E699">
        <f t="shared" si="54"/>
        <v>2016</v>
      </c>
      <c r="F699" s="217" t="str">
        <f t="shared" si="55"/>
        <v>3Q16</v>
      </c>
      <c r="G699" s="218">
        <v>42614</v>
      </c>
      <c r="H699" s="217">
        <v>3.2582</v>
      </c>
    </row>
    <row r="700" spans="2:8">
      <c r="B700" s="217" t="str">
        <f t="shared" si="52"/>
        <v>3Q</v>
      </c>
      <c r="C700" s="217">
        <f t="shared" si="56"/>
        <v>9</v>
      </c>
      <c r="D700" s="217" t="str">
        <f t="shared" si="53"/>
        <v>16</v>
      </c>
      <c r="E700">
        <f t="shared" si="54"/>
        <v>2016</v>
      </c>
      <c r="F700" s="217" t="str">
        <f t="shared" si="55"/>
        <v>3Q16</v>
      </c>
      <c r="G700" s="218">
        <v>42615</v>
      </c>
      <c r="H700" s="217">
        <v>3.2568000000000001</v>
      </c>
    </row>
    <row r="701" spans="2:8">
      <c r="B701" s="217" t="str">
        <f t="shared" si="52"/>
        <v>3Q</v>
      </c>
      <c r="C701" s="217">
        <f t="shared" si="56"/>
        <v>9</v>
      </c>
      <c r="D701" s="217" t="str">
        <f t="shared" si="53"/>
        <v>16</v>
      </c>
      <c r="E701">
        <f t="shared" si="54"/>
        <v>2016</v>
      </c>
      <c r="F701" s="217" t="str">
        <f t="shared" si="55"/>
        <v>3Q16</v>
      </c>
      <c r="G701" s="218">
        <v>42618</v>
      </c>
      <c r="H701" s="217">
        <v>3.2833000000000001</v>
      </c>
    </row>
    <row r="702" spans="2:8">
      <c r="B702" s="217" t="str">
        <f t="shared" si="52"/>
        <v>3Q</v>
      </c>
      <c r="C702" s="217">
        <f t="shared" si="56"/>
        <v>9</v>
      </c>
      <c r="D702" s="217" t="str">
        <f t="shared" si="53"/>
        <v>16</v>
      </c>
      <c r="E702">
        <f t="shared" si="54"/>
        <v>2016</v>
      </c>
      <c r="F702" s="217" t="str">
        <f t="shared" si="55"/>
        <v>3Q16</v>
      </c>
      <c r="G702" s="218">
        <v>42619</v>
      </c>
      <c r="H702" s="217">
        <v>3.1951999999999998</v>
      </c>
    </row>
    <row r="703" spans="2:8">
      <c r="B703" s="217" t="str">
        <f t="shared" si="52"/>
        <v>3Q</v>
      </c>
      <c r="C703" s="217">
        <f t="shared" si="56"/>
        <v>9</v>
      </c>
      <c r="D703" s="217" t="str">
        <f t="shared" si="53"/>
        <v>16</v>
      </c>
      <c r="E703">
        <f t="shared" si="54"/>
        <v>2016</v>
      </c>
      <c r="F703" s="217" t="str">
        <f t="shared" si="55"/>
        <v>3Q16</v>
      </c>
      <c r="G703" s="218">
        <v>42620</v>
      </c>
      <c r="H703" s="217">
        <v>3.1930000000000001</v>
      </c>
    </row>
    <row r="704" spans="2:8">
      <c r="B704" s="217" t="str">
        <f t="shared" si="52"/>
        <v>3Q</v>
      </c>
      <c r="C704" s="217">
        <f t="shared" si="56"/>
        <v>9</v>
      </c>
      <c r="D704" s="217" t="str">
        <f t="shared" si="53"/>
        <v>16</v>
      </c>
      <c r="E704">
        <f t="shared" si="54"/>
        <v>2016</v>
      </c>
      <c r="F704" s="217" t="str">
        <f t="shared" si="55"/>
        <v>3Q16</v>
      </c>
      <c r="G704" s="218">
        <v>42621</v>
      </c>
      <c r="H704" s="217">
        <v>3.2143000000000002</v>
      </c>
    </row>
    <row r="705" spans="2:8">
      <c r="B705" s="217" t="str">
        <f t="shared" si="52"/>
        <v>3Q</v>
      </c>
      <c r="C705" s="217">
        <f t="shared" si="56"/>
        <v>9</v>
      </c>
      <c r="D705" s="217" t="str">
        <f t="shared" si="53"/>
        <v>16</v>
      </c>
      <c r="E705">
        <f t="shared" si="54"/>
        <v>2016</v>
      </c>
      <c r="F705" s="217" t="str">
        <f t="shared" si="55"/>
        <v>3Q16</v>
      </c>
      <c r="G705" s="218">
        <v>42622</v>
      </c>
      <c r="H705" s="217">
        <v>3.2734999999999999</v>
      </c>
    </row>
    <row r="706" spans="2:8">
      <c r="B706" s="217" t="str">
        <f t="shared" si="52"/>
        <v>3Q</v>
      </c>
      <c r="C706" s="217">
        <f t="shared" si="56"/>
        <v>9</v>
      </c>
      <c r="D706" s="217" t="str">
        <f t="shared" si="53"/>
        <v>16</v>
      </c>
      <c r="E706">
        <f t="shared" si="54"/>
        <v>2016</v>
      </c>
      <c r="F706" s="217" t="str">
        <f t="shared" si="55"/>
        <v>3Q16</v>
      </c>
      <c r="G706" s="218">
        <v>42625</v>
      </c>
      <c r="H706" s="217">
        <v>3.2458</v>
      </c>
    </row>
    <row r="707" spans="2:8">
      <c r="B707" s="217" t="str">
        <f t="shared" ref="B707:B770" si="57">VLOOKUP(C707,$N$3:$O$14,2,0)</f>
        <v>3Q</v>
      </c>
      <c r="C707" s="217">
        <f t="shared" si="56"/>
        <v>9</v>
      </c>
      <c r="D707" s="217" t="str">
        <f t="shared" ref="D707:D770" si="58">RIGHT(E707,2)</f>
        <v>16</v>
      </c>
      <c r="E707">
        <f t="shared" ref="E707:E770" si="59">YEAR(G707)</f>
        <v>2016</v>
      </c>
      <c r="F707" s="217" t="str">
        <f t="shared" ref="F707:F770" si="60">+B707&amp;D707</f>
        <v>3Q16</v>
      </c>
      <c r="G707" s="218">
        <v>42626</v>
      </c>
      <c r="H707" s="217">
        <v>3.3138000000000001</v>
      </c>
    </row>
    <row r="708" spans="2:8">
      <c r="B708" s="217" t="str">
        <f t="shared" si="57"/>
        <v>3Q</v>
      </c>
      <c r="C708" s="217">
        <f t="shared" ref="C708:C771" si="61">MONTH(G708)</f>
        <v>9</v>
      </c>
      <c r="D708" s="217" t="str">
        <f t="shared" si="58"/>
        <v>16</v>
      </c>
      <c r="E708">
        <f t="shared" si="59"/>
        <v>2016</v>
      </c>
      <c r="F708" s="217" t="str">
        <f t="shared" si="60"/>
        <v>3Q16</v>
      </c>
      <c r="G708" s="218">
        <v>42627</v>
      </c>
      <c r="H708" s="217">
        <v>3.3426</v>
      </c>
    </row>
    <row r="709" spans="2:8">
      <c r="B709" s="217" t="str">
        <f t="shared" si="57"/>
        <v>3Q</v>
      </c>
      <c r="C709" s="217">
        <f t="shared" si="61"/>
        <v>9</v>
      </c>
      <c r="D709" s="217" t="str">
        <f t="shared" si="58"/>
        <v>16</v>
      </c>
      <c r="E709">
        <f t="shared" si="59"/>
        <v>2016</v>
      </c>
      <c r="F709" s="217" t="str">
        <f t="shared" si="60"/>
        <v>3Q16</v>
      </c>
      <c r="G709" s="218">
        <v>42628</v>
      </c>
      <c r="H709" s="217">
        <v>3.3024</v>
      </c>
    </row>
    <row r="710" spans="2:8">
      <c r="B710" s="217" t="str">
        <f t="shared" si="57"/>
        <v>3Q</v>
      </c>
      <c r="C710" s="217">
        <f t="shared" si="61"/>
        <v>9</v>
      </c>
      <c r="D710" s="217" t="str">
        <f t="shared" si="58"/>
        <v>16</v>
      </c>
      <c r="E710">
        <f t="shared" si="59"/>
        <v>2016</v>
      </c>
      <c r="F710" s="217" t="str">
        <f t="shared" si="60"/>
        <v>3Q16</v>
      </c>
      <c r="G710" s="218">
        <v>42629</v>
      </c>
      <c r="H710" s="217">
        <v>3.2622</v>
      </c>
    </row>
    <row r="711" spans="2:8">
      <c r="B711" s="217" t="str">
        <f t="shared" si="57"/>
        <v>3Q</v>
      </c>
      <c r="C711" s="217">
        <f t="shared" si="61"/>
        <v>9</v>
      </c>
      <c r="D711" s="217" t="str">
        <f t="shared" si="58"/>
        <v>16</v>
      </c>
      <c r="E711">
        <f t="shared" si="59"/>
        <v>2016</v>
      </c>
      <c r="F711" s="217" t="str">
        <f t="shared" si="60"/>
        <v>3Q16</v>
      </c>
      <c r="G711" s="218">
        <v>42632</v>
      </c>
      <c r="H711" s="217">
        <v>3.2732000000000001</v>
      </c>
    </row>
    <row r="712" spans="2:8">
      <c r="B712" s="217" t="str">
        <f t="shared" si="57"/>
        <v>3Q</v>
      </c>
      <c r="C712" s="217">
        <f t="shared" si="61"/>
        <v>9</v>
      </c>
      <c r="D712" s="217" t="str">
        <f t="shared" si="58"/>
        <v>16</v>
      </c>
      <c r="E712">
        <f t="shared" si="59"/>
        <v>2016</v>
      </c>
      <c r="F712" s="217" t="str">
        <f t="shared" si="60"/>
        <v>3Q16</v>
      </c>
      <c r="G712" s="218">
        <v>42633</v>
      </c>
      <c r="H712" s="217">
        <v>3.2589000000000001</v>
      </c>
    </row>
    <row r="713" spans="2:8">
      <c r="B713" s="217" t="str">
        <f t="shared" si="57"/>
        <v>3Q</v>
      </c>
      <c r="C713" s="217">
        <f t="shared" si="61"/>
        <v>9</v>
      </c>
      <c r="D713" s="217" t="str">
        <f t="shared" si="58"/>
        <v>16</v>
      </c>
      <c r="E713">
        <f t="shared" si="59"/>
        <v>2016</v>
      </c>
      <c r="F713" s="217" t="str">
        <f t="shared" si="60"/>
        <v>3Q16</v>
      </c>
      <c r="G713" s="218">
        <v>42634</v>
      </c>
      <c r="H713" s="217">
        <v>3.2071000000000001</v>
      </c>
    </row>
    <row r="714" spans="2:8">
      <c r="B714" s="217" t="str">
        <f t="shared" si="57"/>
        <v>3Q</v>
      </c>
      <c r="C714" s="217">
        <f t="shared" si="61"/>
        <v>9</v>
      </c>
      <c r="D714" s="217" t="str">
        <f t="shared" si="58"/>
        <v>16</v>
      </c>
      <c r="E714">
        <f t="shared" si="59"/>
        <v>2016</v>
      </c>
      <c r="F714" s="217" t="str">
        <f t="shared" si="60"/>
        <v>3Q16</v>
      </c>
      <c r="G714" s="218">
        <v>42635</v>
      </c>
      <c r="H714" s="217">
        <v>3.2208000000000001</v>
      </c>
    </row>
    <row r="715" spans="2:8">
      <c r="B715" s="217" t="str">
        <f t="shared" si="57"/>
        <v>3Q</v>
      </c>
      <c r="C715" s="217">
        <f t="shared" si="61"/>
        <v>9</v>
      </c>
      <c r="D715" s="217" t="str">
        <f t="shared" si="58"/>
        <v>16</v>
      </c>
      <c r="E715">
        <f t="shared" si="59"/>
        <v>2016</v>
      </c>
      <c r="F715" s="217" t="str">
        <f t="shared" si="60"/>
        <v>3Q16</v>
      </c>
      <c r="G715" s="218">
        <v>42636</v>
      </c>
      <c r="H715" s="217">
        <v>3.2450000000000001</v>
      </c>
    </row>
    <row r="716" spans="2:8">
      <c r="B716" s="217" t="str">
        <f t="shared" si="57"/>
        <v>3Q</v>
      </c>
      <c r="C716" s="217">
        <f t="shared" si="61"/>
        <v>9</v>
      </c>
      <c r="D716" s="217" t="str">
        <f t="shared" si="58"/>
        <v>16</v>
      </c>
      <c r="E716">
        <f t="shared" si="59"/>
        <v>2016</v>
      </c>
      <c r="F716" s="217" t="str">
        <f t="shared" si="60"/>
        <v>3Q16</v>
      </c>
      <c r="G716" s="218">
        <v>42639</v>
      </c>
      <c r="H716" s="217">
        <v>3.2401</v>
      </c>
    </row>
    <row r="717" spans="2:8">
      <c r="B717" s="217" t="str">
        <f t="shared" si="57"/>
        <v>3Q</v>
      </c>
      <c r="C717" s="217">
        <f t="shared" si="61"/>
        <v>9</v>
      </c>
      <c r="D717" s="217" t="str">
        <f t="shared" si="58"/>
        <v>16</v>
      </c>
      <c r="E717">
        <f t="shared" si="59"/>
        <v>2016</v>
      </c>
      <c r="F717" s="217" t="str">
        <f t="shared" si="60"/>
        <v>3Q16</v>
      </c>
      <c r="G717" s="218">
        <v>42640</v>
      </c>
      <c r="H717" s="217">
        <v>3.2345999999999999</v>
      </c>
    </row>
    <row r="718" spans="2:8">
      <c r="B718" s="217" t="str">
        <f t="shared" si="57"/>
        <v>3Q</v>
      </c>
      <c r="C718" s="217">
        <f t="shared" si="61"/>
        <v>9</v>
      </c>
      <c r="D718" s="217" t="str">
        <f t="shared" si="58"/>
        <v>16</v>
      </c>
      <c r="E718">
        <f t="shared" si="59"/>
        <v>2016</v>
      </c>
      <c r="F718" s="217" t="str">
        <f t="shared" si="60"/>
        <v>3Q16</v>
      </c>
      <c r="G718" s="218">
        <v>42641</v>
      </c>
      <c r="H718" s="217">
        <v>3.2166999999999999</v>
      </c>
    </row>
    <row r="719" spans="2:8">
      <c r="B719" s="217" t="str">
        <f t="shared" si="57"/>
        <v>3Q</v>
      </c>
      <c r="C719" s="217">
        <f t="shared" si="61"/>
        <v>9</v>
      </c>
      <c r="D719" s="217" t="str">
        <f t="shared" si="58"/>
        <v>16</v>
      </c>
      <c r="E719">
        <f t="shared" si="59"/>
        <v>2016</v>
      </c>
      <c r="F719" s="217" t="str">
        <f t="shared" si="60"/>
        <v>3Q16</v>
      </c>
      <c r="G719" s="218">
        <v>42642</v>
      </c>
      <c r="H719" s="217">
        <v>3.2595000000000001</v>
      </c>
    </row>
    <row r="720" spans="2:8">
      <c r="B720" s="217" t="str">
        <f t="shared" si="57"/>
        <v>3Q</v>
      </c>
      <c r="C720" s="217">
        <f t="shared" si="61"/>
        <v>9</v>
      </c>
      <c r="D720" s="217" t="str">
        <f t="shared" si="58"/>
        <v>16</v>
      </c>
      <c r="E720">
        <f t="shared" si="59"/>
        <v>2016</v>
      </c>
      <c r="F720" s="217" t="str">
        <f t="shared" si="60"/>
        <v>3Q16</v>
      </c>
      <c r="G720" s="218">
        <v>42643</v>
      </c>
      <c r="H720" s="217">
        <v>3.2603</v>
      </c>
    </row>
    <row r="721" spans="2:8">
      <c r="B721" s="217" t="str">
        <f t="shared" si="57"/>
        <v>4Q</v>
      </c>
      <c r="C721" s="217">
        <f t="shared" si="61"/>
        <v>10</v>
      </c>
      <c r="D721" s="217" t="str">
        <f t="shared" si="58"/>
        <v>16</v>
      </c>
      <c r="E721">
        <f t="shared" si="59"/>
        <v>2016</v>
      </c>
      <c r="F721" s="217" t="str">
        <f t="shared" si="60"/>
        <v>4Q16</v>
      </c>
      <c r="G721" s="218">
        <v>42646</v>
      </c>
      <c r="H721" s="217">
        <v>3.2105000000000001</v>
      </c>
    </row>
    <row r="722" spans="2:8">
      <c r="B722" s="217" t="str">
        <f t="shared" si="57"/>
        <v>4Q</v>
      </c>
      <c r="C722" s="217">
        <f t="shared" si="61"/>
        <v>10</v>
      </c>
      <c r="D722" s="217" t="str">
        <f t="shared" si="58"/>
        <v>16</v>
      </c>
      <c r="E722">
        <f t="shared" si="59"/>
        <v>2016</v>
      </c>
      <c r="F722" s="217" t="str">
        <f t="shared" si="60"/>
        <v>4Q16</v>
      </c>
      <c r="G722" s="218">
        <v>42647</v>
      </c>
      <c r="H722" s="217">
        <v>3.2578</v>
      </c>
    </row>
    <row r="723" spans="2:8">
      <c r="B723" s="217" t="str">
        <f t="shared" si="57"/>
        <v>4Q</v>
      </c>
      <c r="C723" s="217">
        <f t="shared" si="61"/>
        <v>10</v>
      </c>
      <c r="D723" s="217" t="str">
        <f t="shared" si="58"/>
        <v>16</v>
      </c>
      <c r="E723">
        <f t="shared" si="59"/>
        <v>2016</v>
      </c>
      <c r="F723" s="217" t="str">
        <f t="shared" si="60"/>
        <v>4Q16</v>
      </c>
      <c r="G723" s="218">
        <v>42648</v>
      </c>
      <c r="H723" s="217">
        <v>3.2202000000000002</v>
      </c>
    </row>
    <row r="724" spans="2:8">
      <c r="B724" s="217" t="str">
        <f t="shared" si="57"/>
        <v>4Q</v>
      </c>
      <c r="C724" s="217">
        <f t="shared" si="61"/>
        <v>10</v>
      </c>
      <c r="D724" s="217" t="str">
        <f t="shared" si="58"/>
        <v>16</v>
      </c>
      <c r="E724">
        <f t="shared" si="59"/>
        <v>2016</v>
      </c>
      <c r="F724" s="217" t="str">
        <f t="shared" si="60"/>
        <v>4Q16</v>
      </c>
      <c r="G724" s="218">
        <v>42649</v>
      </c>
      <c r="H724" s="217">
        <v>3.2298</v>
      </c>
    </row>
    <row r="725" spans="2:8">
      <c r="B725" s="217" t="str">
        <f t="shared" si="57"/>
        <v>4Q</v>
      </c>
      <c r="C725" s="217">
        <f t="shared" si="61"/>
        <v>10</v>
      </c>
      <c r="D725" s="217" t="str">
        <f t="shared" si="58"/>
        <v>16</v>
      </c>
      <c r="E725">
        <f t="shared" si="59"/>
        <v>2016</v>
      </c>
      <c r="F725" s="217" t="str">
        <f t="shared" si="60"/>
        <v>4Q16</v>
      </c>
      <c r="G725" s="218">
        <v>42650</v>
      </c>
      <c r="H725" s="217">
        <v>3.2204000000000002</v>
      </c>
    </row>
    <row r="726" spans="2:8">
      <c r="B726" s="217" t="str">
        <f t="shared" si="57"/>
        <v>4Q</v>
      </c>
      <c r="C726" s="217">
        <f t="shared" si="61"/>
        <v>10</v>
      </c>
      <c r="D726" s="217" t="str">
        <f t="shared" si="58"/>
        <v>16</v>
      </c>
      <c r="E726">
        <f t="shared" si="59"/>
        <v>2016</v>
      </c>
      <c r="F726" s="217" t="str">
        <f t="shared" si="60"/>
        <v>4Q16</v>
      </c>
      <c r="G726" s="218">
        <v>42653</v>
      </c>
      <c r="H726" s="217">
        <v>3.2065000000000001</v>
      </c>
    </row>
    <row r="727" spans="2:8">
      <c r="B727" s="217" t="str">
        <f t="shared" si="57"/>
        <v>4Q</v>
      </c>
      <c r="C727" s="217">
        <f t="shared" si="61"/>
        <v>10</v>
      </c>
      <c r="D727" s="217" t="str">
        <f t="shared" si="58"/>
        <v>16</v>
      </c>
      <c r="E727">
        <f t="shared" si="59"/>
        <v>2016</v>
      </c>
      <c r="F727" s="217" t="str">
        <f t="shared" si="60"/>
        <v>4Q16</v>
      </c>
      <c r="G727" s="218">
        <v>42654</v>
      </c>
      <c r="H727" s="217">
        <v>3.1953</v>
      </c>
    </row>
    <row r="728" spans="2:8">
      <c r="B728" s="217" t="str">
        <f t="shared" si="57"/>
        <v>4Q</v>
      </c>
      <c r="C728" s="217">
        <f t="shared" si="61"/>
        <v>10</v>
      </c>
      <c r="D728" s="217" t="str">
        <f t="shared" si="58"/>
        <v>16</v>
      </c>
      <c r="E728">
        <f t="shared" si="59"/>
        <v>2016</v>
      </c>
      <c r="F728" s="217" t="str">
        <f t="shared" si="60"/>
        <v>4Q16</v>
      </c>
      <c r="G728" s="218">
        <v>42655</v>
      </c>
      <c r="H728" s="217">
        <v>3.2025000000000001</v>
      </c>
    </row>
    <row r="729" spans="2:8">
      <c r="B729" s="217" t="str">
        <f t="shared" si="57"/>
        <v>4Q</v>
      </c>
      <c r="C729" s="217">
        <f t="shared" si="61"/>
        <v>10</v>
      </c>
      <c r="D729" s="217" t="str">
        <f t="shared" si="58"/>
        <v>16</v>
      </c>
      <c r="E729">
        <f t="shared" si="59"/>
        <v>2016</v>
      </c>
      <c r="F729" s="217" t="str">
        <f t="shared" si="60"/>
        <v>4Q16</v>
      </c>
      <c r="G729" s="218">
        <v>42656</v>
      </c>
      <c r="H729" s="217">
        <v>3.1779999999999999</v>
      </c>
    </row>
    <row r="730" spans="2:8">
      <c r="B730" s="217" t="str">
        <f t="shared" si="57"/>
        <v>4Q</v>
      </c>
      <c r="C730" s="217">
        <f t="shared" si="61"/>
        <v>10</v>
      </c>
      <c r="D730" s="217" t="str">
        <f t="shared" si="58"/>
        <v>16</v>
      </c>
      <c r="E730">
        <f t="shared" si="59"/>
        <v>2016</v>
      </c>
      <c r="F730" s="217" t="str">
        <f t="shared" si="60"/>
        <v>4Q16</v>
      </c>
      <c r="G730" s="218">
        <v>42657</v>
      </c>
      <c r="H730" s="217">
        <v>3.2050999999999998</v>
      </c>
    </row>
    <row r="731" spans="2:8">
      <c r="B731" s="217" t="str">
        <f t="shared" si="57"/>
        <v>4Q</v>
      </c>
      <c r="C731" s="217">
        <f t="shared" si="61"/>
        <v>10</v>
      </c>
      <c r="D731" s="217" t="str">
        <f t="shared" si="58"/>
        <v>16</v>
      </c>
      <c r="E731">
        <f t="shared" si="59"/>
        <v>2016</v>
      </c>
      <c r="F731" s="217" t="str">
        <f t="shared" si="60"/>
        <v>4Q16</v>
      </c>
      <c r="G731" s="218">
        <v>42660</v>
      </c>
      <c r="H731" s="217">
        <v>3.2021999999999999</v>
      </c>
    </row>
    <row r="732" spans="2:8">
      <c r="B732" s="217" t="str">
        <f t="shared" si="57"/>
        <v>4Q</v>
      </c>
      <c r="C732" s="217">
        <f t="shared" si="61"/>
        <v>10</v>
      </c>
      <c r="D732" s="217" t="str">
        <f t="shared" si="58"/>
        <v>16</v>
      </c>
      <c r="E732">
        <f t="shared" si="59"/>
        <v>2016</v>
      </c>
      <c r="F732" s="217" t="str">
        <f t="shared" si="60"/>
        <v>4Q16</v>
      </c>
      <c r="G732" s="218">
        <v>42661</v>
      </c>
      <c r="H732" s="217">
        <v>3.1888000000000001</v>
      </c>
    </row>
    <row r="733" spans="2:8">
      <c r="B733" s="217" t="str">
        <f t="shared" si="57"/>
        <v>4Q</v>
      </c>
      <c r="C733" s="217">
        <f t="shared" si="61"/>
        <v>10</v>
      </c>
      <c r="D733" s="217" t="str">
        <f t="shared" si="58"/>
        <v>16</v>
      </c>
      <c r="E733">
        <f t="shared" si="59"/>
        <v>2016</v>
      </c>
      <c r="F733" s="217" t="str">
        <f t="shared" si="60"/>
        <v>4Q16</v>
      </c>
      <c r="G733" s="218">
        <v>42662</v>
      </c>
      <c r="H733" s="217">
        <v>3.1697000000000002</v>
      </c>
    </row>
    <row r="734" spans="2:8">
      <c r="B734" s="217" t="str">
        <f t="shared" si="57"/>
        <v>4Q</v>
      </c>
      <c r="C734" s="217">
        <f t="shared" si="61"/>
        <v>10</v>
      </c>
      <c r="D734" s="217" t="str">
        <f t="shared" si="58"/>
        <v>16</v>
      </c>
      <c r="E734">
        <f t="shared" si="59"/>
        <v>2016</v>
      </c>
      <c r="F734" s="217" t="str">
        <f t="shared" si="60"/>
        <v>4Q16</v>
      </c>
      <c r="G734" s="218">
        <v>42663</v>
      </c>
      <c r="H734" s="217">
        <v>3.1433</v>
      </c>
    </row>
    <row r="735" spans="2:8">
      <c r="B735" s="217" t="str">
        <f t="shared" si="57"/>
        <v>4Q</v>
      </c>
      <c r="C735" s="217">
        <f t="shared" si="61"/>
        <v>10</v>
      </c>
      <c r="D735" s="217" t="str">
        <f t="shared" si="58"/>
        <v>16</v>
      </c>
      <c r="E735">
        <f t="shared" si="59"/>
        <v>2016</v>
      </c>
      <c r="F735" s="217" t="str">
        <f t="shared" si="60"/>
        <v>4Q16</v>
      </c>
      <c r="G735" s="218">
        <v>42664</v>
      </c>
      <c r="H735" s="217">
        <v>3.1511</v>
      </c>
    </row>
    <row r="736" spans="2:8">
      <c r="B736" s="217" t="str">
        <f t="shared" si="57"/>
        <v>4Q</v>
      </c>
      <c r="C736" s="217">
        <f t="shared" si="61"/>
        <v>10</v>
      </c>
      <c r="D736" s="217" t="str">
        <f t="shared" si="58"/>
        <v>16</v>
      </c>
      <c r="E736">
        <f t="shared" si="59"/>
        <v>2016</v>
      </c>
      <c r="F736" s="217" t="str">
        <f t="shared" si="60"/>
        <v>4Q16</v>
      </c>
      <c r="G736" s="218">
        <v>42667</v>
      </c>
      <c r="H736" s="217">
        <v>3.1246</v>
      </c>
    </row>
    <row r="737" spans="2:8">
      <c r="B737" s="217" t="str">
        <f t="shared" si="57"/>
        <v>4Q</v>
      </c>
      <c r="C737" s="217">
        <f t="shared" si="61"/>
        <v>10</v>
      </c>
      <c r="D737" s="217" t="str">
        <f t="shared" si="58"/>
        <v>16</v>
      </c>
      <c r="E737">
        <f t="shared" si="59"/>
        <v>2016</v>
      </c>
      <c r="F737" s="217" t="str">
        <f t="shared" si="60"/>
        <v>4Q16</v>
      </c>
      <c r="G737" s="218">
        <v>42668</v>
      </c>
      <c r="H737" s="217">
        <v>3.1151</v>
      </c>
    </row>
    <row r="738" spans="2:8">
      <c r="B738" s="217" t="str">
        <f t="shared" si="57"/>
        <v>4Q</v>
      </c>
      <c r="C738" s="217">
        <f t="shared" si="61"/>
        <v>10</v>
      </c>
      <c r="D738" s="217" t="str">
        <f t="shared" si="58"/>
        <v>16</v>
      </c>
      <c r="E738">
        <f t="shared" si="59"/>
        <v>2016</v>
      </c>
      <c r="F738" s="217" t="str">
        <f t="shared" si="60"/>
        <v>4Q16</v>
      </c>
      <c r="G738" s="218">
        <v>42669</v>
      </c>
      <c r="H738" s="217">
        <v>3.1408999999999998</v>
      </c>
    </row>
    <row r="739" spans="2:8">
      <c r="B739" s="217" t="str">
        <f t="shared" si="57"/>
        <v>4Q</v>
      </c>
      <c r="C739" s="217">
        <f t="shared" si="61"/>
        <v>10</v>
      </c>
      <c r="D739" s="217" t="str">
        <f t="shared" si="58"/>
        <v>16</v>
      </c>
      <c r="E739">
        <f t="shared" si="59"/>
        <v>2016</v>
      </c>
      <c r="F739" s="217" t="str">
        <f t="shared" si="60"/>
        <v>4Q16</v>
      </c>
      <c r="G739" s="218">
        <v>42670</v>
      </c>
      <c r="H739" s="217">
        <v>3.1701000000000001</v>
      </c>
    </row>
    <row r="740" spans="2:8">
      <c r="B740" s="217" t="str">
        <f t="shared" si="57"/>
        <v>4Q</v>
      </c>
      <c r="C740" s="217">
        <f t="shared" si="61"/>
        <v>10</v>
      </c>
      <c r="D740" s="217" t="str">
        <f t="shared" si="58"/>
        <v>16</v>
      </c>
      <c r="E740">
        <f t="shared" si="59"/>
        <v>2016</v>
      </c>
      <c r="F740" s="217" t="str">
        <f t="shared" si="60"/>
        <v>4Q16</v>
      </c>
      <c r="G740" s="218">
        <v>42671</v>
      </c>
      <c r="H740" s="217">
        <v>3.2065000000000001</v>
      </c>
    </row>
    <row r="741" spans="2:8">
      <c r="B741" s="217" t="str">
        <f t="shared" si="57"/>
        <v>4Q</v>
      </c>
      <c r="C741" s="217">
        <f t="shared" si="61"/>
        <v>10</v>
      </c>
      <c r="D741" s="217" t="str">
        <f t="shared" si="58"/>
        <v>16</v>
      </c>
      <c r="E741">
        <f t="shared" si="59"/>
        <v>2016</v>
      </c>
      <c r="F741" s="217" t="str">
        <f t="shared" si="60"/>
        <v>4Q16</v>
      </c>
      <c r="G741" s="218">
        <v>42674</v>
      </c>
      <c r="H741" s="217">
        <v>3.1892999999999998</v>
      </c>
    </row>
    <row r="742" spans="2:8">
      <c r="B742" s="217" t="str">
        <f t="shared" si="57"/>
        <v>4Q</v>
      </c>
      <c r="C742" s="217">
        <f t="shared" si="61"/>
        <v>11</v>
      </c>
      <c r="D742" s="217" t="str">
        <f t="shared" si="58"/>
        <v>16</v>
      </c>
      <c r="E742">
        <f t="shared" si="59"/>
        <v>2016</v>
      </c>
      <c r="F742" s="217" t="str">
        <f t="shared" si="60"/>
        <v>4Q16</v>
      </c>
      <c r="G742" s="218">
        <v>42675</v>
      </c>
      <c r="H742" s="217">
        <v>3.2366999999999999</v>
      </c>
    </row>
    <row r="743" spans="2:8">
      <c r="B743" s="217" t="str">
        <f t="shared" si="57"/>
        <v>4Q</v>
      </c>
      <c r="C743" s="217">
        <f t="shared" si="61"/>
        <v>11</v>
      </c>
      <c r="D743" s="217" t="str">
        <f t="shared" si="58"/>
        <v>16</v>
      </c>
      <c r="E743">
        <f t="shared" si="59"/>
        <v>2016</v>
      </c>
      <c r="F743" s="217" t="str">
        <f t="shared" si="60"/>
        <v>4Q16</v>
      </c>
      <c r="G743" s="218">
        <v>42676</v>
      </c>
      <c r="H743" s="217">
        <v>3.2359</v>
      </c>
    </row>
    <row r="744" spans="2:8">
      <c r="B744" s="217" t="str">
        <f t="shared" si="57"/>
        <v>4Q</v>
      </c>
      <c r="C744" s="217">
        <f t="shared" si="61"/>
        <v>11</v>
      </c>
      <c r="D744" s="217" t="str">
        <f t="shared" si="58"/>
        <v>16</v>
      </c>
      <c r="E744">
        <f t="shared" si="59"/>
        <v>2016</v>
      </c>
      <c r="F744" s="217" t="str">
        <f t="shared" si="60"/>
        <v>4Q16</v>
      </c>
      <c r="G744" s="218">
        <v>42677</v>
      </c>
      <c r="H744" s="217">
        <v>3.2425000000000002</v>
      </c>
    </row>
    <row r="745" spans="2:8">
      <c r="B745" s="217" t="str">
        <f t="shared" si="57"/>
        <v>4Q</v>
      </c>
      <c r="C745" s="217">
        <f t="shared" si="61"/>
        <v>11</v>
      </c>
      <c r="D745" s="217" t="str">
        <f t="shared" si="58"/>
        <v>16</v>
      </c>
      <c r="E745">
        <f t="shared" si="59"/>
        <v>2016</v>
      </c>
      <c r="F745" s="217" t="str">
        <f t="shared" si="60"/>
        <v>4Q16</v>
      </c>
      <c r="G745" s="218">
        <v>42678</v>
      </c>
      <c r="H745" s="217">
        <v>3.2336999999999998</v>
      </c>
    </row>
    <row r="746" spans="2:8">
      <c r="B746" s="217" t="str">
        <f t="shared" si="57"/>
        <v>4Q</v>
      </c>
      <c r="C746" s="217">
        <f t="shared" si="61"/>
        <v>11</v>
      </c>
      <c r="D746" s="217" t="str">
        <f t="shared" si="58"/>
        <v>16</v>
      </c>
      <c r="E746">
        <f t="shared" si="59"/>
        <v>2016</v>
      </c>
      <c r="F746" s="217" t="str">
        <f t="shared" si="60"/>
        <v>4Q16</v>
      </c>
      <c r="G746" s="218">
        <v>42681</v>
      </c>
      <c r="H746" s="217">
        <v>3.202</v>
      </c>
    </row>
    <row r="747" spans="2:8">
      <c r="B747" s="217" t="str">
        <f t="shared" si="57"/>
        <v>4Q</v>
      </c>
      <c r="C747" s="217">
        <f t="shared" si="61"/>
        <v>11</v>
      </c>
      <c r="D747" s="217" t="str">
        <f t="shared" si="58"/>
        <v>16</v>
      </c>
      <c r="E747">
        <f t="shared" si="59"/>
        <v>2016</v>
      </c>
      <c r="F747" s="217" t="str">
        <f t="shared" si="60"/>
        <v>4Q16</v>
      </c>
      <c r="G747" s="218">
        <v>42682</v>
      </c>
      <c r="H747" s="217">
        <v>3.1695000000000002</v>
      </c>
    </row>
    <row r="748" spans="2:8">
      <c r="B748" s="217" t="str">
        <f t="shared" si="57"/>
        <v>4Q</v>
      </c>
      <c r="C748" s="217">
        <f t="shared" si="61"/>
        <v>11</v>
      </c>
      <c r="D748" s="217" t="str">
        <f t="shared" si="58"/>
        <v>16</v>
      </c>
      <c r="E748">
        <f t="shared" si="59"/>
        <v>2016</v>
      </c>
      <c r="F748" s="217" t="str">
        <f t="shared" si="60"/>
        <v>4Q16</v>
      </c>
      <c r="G748" s="218">
        <v>42683</v>
      </c>
      <c r="H748" s="217">
        <v>3.2172000000000001</v>
      </c>
    </row>
    <row r="749" spans="2:8">
      <c r="B749" s="217" t="str">
        <f t="shared" si="57"/>
        <v>4Q</v>
      </c>
      <c r="C749" s="217">
        <f t="shared" si="61"/>
        <v>11</v>
      </c>
      <c r="D749" s="217" t="str">
        <f t="shared" si="58"/>
        <v>16</v>
      </c>
      <c r="E749">
        <f t="shared" si="59"/>
        <v>2016</v>
      </c>
      <c r="F749" s="217" t="str">
        <f t="shared" si="60"/>
        <v>4Q16</v>
      </c>
      <c r="G749" s="218">
        <v>42684</v>
      </c>
      <c r="H749" s="217">
        <v>3.3864000000000001</v>
      </c>
    </row>
    <row r="750" spans="2:8">
      <c r="B750" s="217" t="str">
        <f t="shared" si="57"/>
        <v>4Q</v>
      </c>
      <c r="C750" s="217">
        <f t="shared" si="61"/>
        <v>11</v>
      </c>
      <c r="D750" s="217" t="str">
        <f t="shared" si="58"/>
        <v>16</v>
      </c>
      <c r="E750">
        <f t="shared" si="59"/>
        <v>2016</v>
      </c>
      <c r="F750" s="217" t="str">
        <f t="shared" si="60"/>
        <v>4Q16</v>
      </c>
      <c r="G750" s="218">
        <v>42685</v>
      </c>
      <c r="H750" s="217">
        <v>3.3915000000000002</v>
      </c>
    </row>
    <row r="751" spans="2:8">
      <c r="B751" s="217" t="str">
        <f t="shared" si="57"/>
        <v>4Q</v>
      </c>
      <c r="C751" s="217">
        <f t="shared" si="61"/>
        <v>11</v>
      </c>
      <c r="D751" s="217" t="str">
        <f t="shared" si="58"/>
        <v>16</v>
      </c>
      <c r="E751">
        <f t="shared" si="59"/>
        <v>2016</v>
      </c>
      <c r="F751" s="217" t="str">
        <f t="shared" si="60"/>
        <v>4Q16</v>
      </c>
      <c r="G751" s="218">
        <v>42688</v>
      </c>
      <c r="H751" s="217">
        <v>3.4331</v>
      </c>
    </row>
    <row r="752" spans="2:8">
      <c r="B752" s="217" t="str">
        <f t="shared" si="57"/>
        <v>4Q</v>
      </c>
      <c r="C752" s="217">
        <f t="shared" si="61"/>
        <v>11</v>
      </c>
      <c r="D752" s="217" t="str">
        <f t="shared" si="58"/>
        <v>16</v>
      </c>
      <c r="E752">
        <f t="shared" si="59"/>
        <v>2016</v>
      </c>
      <c r="F752" s="217" t="str">
        <f t="shared" si="60"/>
        <v>4Q16</v>
      </c>
      <c r="G752" s="218">
        <v>42689</v>
      </c>
      <c r="H752" s="217">
        <v>3.4403999999999999</v>
      </c>
    </row>
    <row r="753" spans="2:8">
      <c r="B753" s="217" t="str">
        <f t="shared" si="57"/>
        <v>4Q</v>
      </c>
      <c r="C753" s="217">
        <f t="shared" si="61"/>
        <v>11</v>
      </c>
      <c r="D753" s="217" t="str">
        <f t="shared" si="58"/>
        <v>16</v>
      </c>
      <c r="E753">
        <f t="shared" si="59"/>
        <v>2016</v>
      </c>
      <c r="F753" s="217" t="str">
        <f t="shared" si="60"/>
        <v>4Q16</v>
      </c>
      <c r="G753" s="218">
        <v>42690</v>
      </c>
      <c r="H753" s="217">
        <v>3.42</v>
      </c>
    </row>
    <row r="754" spans="2:8">
      <c r="B754" s="217" t="str">
        <f t="shared" si="57"/>
        <v>4Q</v>
      </c>
      <c r="C754" s="217">
        <f t="shared" si="61"/>
        <v>11</v>
      </c>
      <c r="D754" s="217" t="str">
        <f t="shared" si="58"/>
        <v>16</v>
      </c>
      <c r="E754">
        <f t="shared" si="59"/>
        <v>2016</v>
      </c>
      <c r="F754" s="217" t="str">
        <f t="shared" si="60"/>
        <v>4Q16</v>
      </c>
      <c r="G754" s="218">
        <v>42691</v>
      </c>
      <c r="H754" s="217">
        <v>3.4192999999999998</v>
      </c>
    </row>
    <row r="755" spans="2:8">
      <c r="B755" s="217" t="str">
        <f t="shared" si="57"/>
        <v>4Q</v>
      </c>
      <c r="C755" s="217">
        <f t="shared" si="61"/>
        <v>11</v>
      </c>
      <c r="D755" s="217" t="str">
        <f t="shared" si="58"/>
        <v>16</v>
      </c>
      <c r="E755">
        <f t="shared" si="59"/>
        <v>2016</v>
      </c>
      <c r="F755" s="217" t="str">
        <f t="shared" si="60"/>
        <v>4Q16</v>
      </c>
      <c r="G755" s="218">
        <v>42692</v>
      </c>
      <c r="H755" s="217">
        <v>3.3835000000000002</v>
      </c>
    </row>
    <row r="756" spans="2:8">
      <c r="B756" s="217" t="str">
        <f t="shared" si="57"/>
        <v>4Q</v>
      </c>
      <c r="C756" s="217">
        <f t="shared" si="61"/>
        <v>11</v>
      </c>
      <c r="D756" s="217" t="str">
        <f t="shared" si="58"/>
        <v>16</v>
      </c>
      <c r="E756">
        <f t="shared" si="59"/>
        <v>2016</v>
      </c>
      <c r="F756" s="217" t="str">
        <f t="shared" si="60"/>
        <v>4Q16</v>
      </c>
      <c r="G756" s="218">
        <v>42695</v>
      </c>
      <c r="H756" s="217">
        <v>3.3525</v>
      </c>
    </row>
    <row r="757" spans="2:8">
      <c r="B757" s="217" t="str">
        <f t="shared" si="57"/>
        <v>4Q</v>
      </c>
      <c r="C757" s="217">
        <f t="shared" si="61"/>
        <v>11</v>
      </c>
      <c r="D757" s="217" t="str">
        <f t="shared" si="58"/>
        <v>16</v>
      </c>
      <c r="E757">
        <f t="shared" si="59"/>
        <v>2016</v>
      </c>
      <c r="F757" s="217" t="str">
        <f t="shared" si="60"/>
        <v>4Q16</v>
      </c>
      <c r="G757" s="218">
        <v>42696</v>
      </c>
      <c r="H757" s="217">
        <v>3.355</v>
      </c>
    </row>
    <row r="758" spans="2:8">
      <c r="B758" s="217" t="str">
        <f t="shared" si="57"/>
        <v>4Q</v>
      </c>
      <c r="C758" s="217">
        <f t="shared" si="61"/>
        <v>11</v>
      </c>
      <c r="D758" s="217" t="str">
        <f t="shared" si="58"/>
        <v>16</v>
      </c>
      <c r="E758">
        <f t="shared" si="59"/>
        <v>2016</v>
      </c>
      <c r="F758" s="217" t="str">
        <f t="shared" si="60"/>
        <v>4Q16</v>
      </c>
      <c r="G758" s="218">
        <v>42697</v>
      </c>
      <c r="H758" s="217">
        <v>3.3944999999999999</v>
      </c>
    </row>
    <row r="759" spans="2:8">
      <c r="B759" s="217" t="str">
        <f t="shared" si="57"/>
        <v>4Q</v>
      </c>
      <c r="C759" s="217">
        <f t="shared" si="61"/>
        <v>11</v>
      </c>
      <c r="D759" s="217" t="str">
        <f t="shared" si="58"/>
        <v>16</v>
      </c>
      <c r="E759">
        <f t="shared" si="59"/>
        <v>2016</v>
      </c>
      <c r="F759" s="217" t="str">
        <f t="shared" si="60"/>
        <v>4Q16</v>
      </c>
      <c r="G759" s="218">
        <v>42698</v>
      </c>
      <c r="H759" s="217">
        <v>3.3915000000000002</v>
      </c>
    </row>
    <row r="760" spans="2:8">
      <c r="B760" s="217" t="str">
        <f t="shared" si="57"/>
        <v>4Q</v>
      </c>
      <c r="C760" s="217">
        <f t="shared" si="61"/>
        <v>11</v>
      </c>
      <c r="D760" s="217" t="str">
        <f t="shared" si="58"/>
        <v>16</v>
      </c>
      <c r="E760">
        <f t="shared" si="59"/>
        <v>2016</v>
      </c>
      <c r="F760" s="217" t="str">
        <f t="shared" si="60"/>
        <v>4Q16</v>
      </c>
      <c r="G760" s="218">
        <v>42699</v>
      </c>
      <c r="H760" s="217">
        <v>3.4222999999999999</v>
      </c>
    </row>
    <row r="761" spans="2:8">
      <c r="B761" s="217" t="str">
        <f t="shared" si="57"/>
        <v>4Q</v>
      </c>
      <c r="C761" s="217">
        <f t="shared" si="61"/>
        <v>11</v>
      </c>
      <c r="D761" s="217" t="str">
        <f t="shared" si="58"/>
        <v>16</v>
      </c>
      <c r="E761">
        <f t="shared" si="59"/>
        <v>2016</v>
      </c>
      <c r="F761" s="217" t="str">
        <f t="shared" si="60"/>
        <v>4Q16</v>
      </c>
      <c r="G761" s="218">
        <v>42702</v>
      </c>
      <c r="H761" s="217">
        <v>3.3858999999999999</v>
      </c>
    </row>
    <row r="762" spans="2:8">
      <c r="B762" s="217" t="str">
        <f t="shared" si="57"/>
        <v>4Q</v>
      </c>
      <c r="C762" s="217">
        <f t="shared" si="61"/>
        <v>11</v>
      </c>
      <c r="D762" s="217" t="str">
        <f t="shared" si="58"/>
        <v>16</v>
      </c>
      <c r="E762">
        <f t="shared" si="59"/>
        <v>2016</v>
      </c>
      <c r="F762" s="217" t="str">
        <f t="shared" si="60"/>
        <v>4Q16</v>
      </c>
      <c r="G762" s="218">
        <v>42703</v>
      </c>
      <c r="H762" s="217">
        <v>3.399</v>
      </c>
    </row>
    <row r="763" spans="2:8">
      <c r="B763" s="217" t="str">
        <f t="shared" si="57"/>
        <v>4Q</v>
      </c>
      <c r="C763" s="217">
        <f t="shared" si="61"/>
        <v>11</v>
      </c>
      <c r="D763" s="217" t="str">
        <f t="shared" si="58"/>
        <v>16</v>
      </c>
      <c r="E763">
        <f t="shared" si="59"/>
        <v>2016</v>
      </c>
      <c r="F763" s="217" t="str">
        <f t="shared" si="60"/>
        <v>4Q16</v>
      </c>
      <c r="G763" s="218">
        <v>42704</v>
      </c>
      <c r="H763" s="217">
        <v>3.3841999999999999</v>
      </c>
    </row>
    <row r="764" spans="2:8">
      <c r="B764" s="217" t="str">
        <f t="shared" si="57"/>
        <v>4Q</v>
      </c>
      <c r="C764" s="217">
        <f t="shared" si="61"/>
        <v>12</v>
      </c>
      <c r="D764" s="217" t="str">
        <f t="shared" si="58"/>
        <v>16</v>
      </c>
      <c r="E764">
        <f t="shared" si="59"/>
        <v>2016</v>
      </c>
      <c r="F764" s="217" t="str">
        <f t="shared" si="60"/>
        <v>4Q16</v>
      </c>
      <c r="G764" s="218">
        <v>42705</v>
      </c>
      <c r="H764" s="217">
        <v>3.4718</v>
      </c>
    </row>
    <row r="765" spans="2:8">
      <c r="B765" s="217" t="str">
        <f t="shared" si="57"/>
        <v>4Q</v>
      </c>
      <c r="C765" s="217">
        <f t="shared" si="61"/>
        <v>12</v>
      </c>
      <c r="D765" s="217" t="str">
        <f t="shared" si="58"/>
        <v>16</v>
      </c>
      <c r="E765">
        <f t="shared" si="59"/>
        <v>2016</v>
      </c>
      <c r="F765" s="217" t="str">
        <f t="shared" si="60"/>
        <v>4Q16</v>
      </c>
      <c r="G765" s="218">
        <v>42706</v>
      </c>
      <c r="H765" s="217">
        <v>3.4754999999999998</v>
      </c>
    </row>
    <row r="766" spans="2:8">
      <c r="B766" s="217" t="str">
        <f t="shared" si="57"/>
        <v>4Q</v>
      </c>
      <c r="C766" s="217">
        <f t="shared" si="61"/>
        <v>12</v>
      </c>
      <c r="D766" s="217" t="str">
        <f t="shared" si="58"/>
        <v>16</v>
      </c>
      <c r="E766">
        <f t="shared" si="59"/>
        <v>2016</v>
      </c>
      <c r="F766" s="217" t="str">
        <f t="shared" si="60"/>
        <v>4Q16</v>
      </c>
      <c r="G766" s="218">
        <v>42709</v>
      </c>
      <c r="H766" s="217">
        <v>3.4215</v>
      </c>
    </row>
    <row r="767" spans="2:8">
      <c r="B767" s="217" t="str">
        <f t="shared" si="57"/>
        <v>4Q</v>
      </c>
      <c r="C767" s="217">
        <f t="shared" si="61"/>
        <v>12</v>
      </c>
      <c r="D767" s="217" t="str">
        <f t="shared" si="58"/>
        <v>16</v>
      </c>
      <c r="E767">
        <f t="shared" si="59"/>
        <v>2016</v>
      </c>
      <c r="F767" s="217" t="str">
        <f t="shared" si="60"/>
        <v>4Q16</v>
      </c>
      <c r="G767" s="218">
        <v>42710</v>
      </c>
      <c r="H767" s="217">
        <v>3.4079999999999999</v>
      </c>
    </row>
    <row r="768" spans="2:8">
      <c r="B768" s="217" t="str">
        <f t="shared" si="57"/>
        <v>4Q</v>
      </c>
      <c r="C768" s="217">
        <f t="shared" si="61"/>
        <v>12</v>
      </c>
      <c r="D768" s="217" t="str">
        <f t="shared" si="58"/>
        <v>16</v>
      </c>
      <c r="E768">
        <f t="shared" si="59"/>
        <v>2016</v>
      </c>
      <c r="F768" s="217" t="str">
        <f t="shared" si="60"/>
        <v>4Q16</v>
      </c>
      <c r="G768" s="218">
        <v>42711</v>
      </c>
      <c r="H768" s="217">
        <v>3.383</v>
      </c>
    </row>
    <row r="769" spans="2:8">
      <c r="B769" s="217" t="str">
        <f t="shared" si="57"/>
        <v>4Q</v>
      </c>
      <c r="C769" s="217">
        <f t="shared" si="61"/>
        <v>12</v>
      </c>
      <c r="D769" s="217" t="str">
        <f t="shared" si="58"/>
        <v>16</v>
      </c>
      <c r="E769">
        <f t="shared" si="59"/>
        <v>2016</v>
      </c>
      <c r="F769" s="217" t="str">
        <f t="shared" si="60"/>
        <v>4Q16</v>
      </c>
      <c r="G769" s="218">
        <v>42712</v>
      </c>
      <c r="H769" s="217">
        <v>3.3755000000000002</v>
      </c>
    </row>
    <row r="770" spans="2:8">
      <c r="B770" s="217" t="str">
        <f t="shared" si="57"/>
        <v>4Q</v>
      </c>
      <c r="C770" s="217">
        <f t="shared" si="61"/>
        <v>12</v>
      </c>
      <c r="D770" s="217" t="str">
        <f t="shared" si="58"/>
        <v>16</v>
      </c>
      <c r="E770">
        <f t="shared" si="59"/>
        <v>2016</v>
      </c>
      <c r="F770" s="217" t="str">
        <f t="shared" si="60"/>
        <v>4Q16</v>
      </c>
      <c r="G770" s="218">
        <v>42713</v>
      </c>
      <c r="H770" s="217">
        <v>3.3784999999999998</v>
      </c>
    </row>
    <row r="771" spans="2:8">
      <c r="B771" s="217" t="str">
        <f t="shared" ref="B771:B834" si="62">VLOOKUP(C771,$N$3:$O$14,2,0)</f>
        <v>4Q</v>
      </c>
      <c r="C771" s="217">
        <f t="shared" si="61"/>
        <v>12</v>
      </c>
      <c r="D771" s="217" t="str">
        <f t="shared" ref="D771:D834" si="63">RIGHT(E771,2)</f>
        <v>16</v>
      </c>
      <c r="E771">
        <f t="shared" ref="E771:E834" si="64">YEAR(G771)</f>
        <v>2016</v>
      </c>
      <c r="F771" s="217" t="str">
        <f t="shared" ref="F771:F834" si="65">+B771&amp;D771</f>
        <v>4Q16</v>
      </c>
      <c r="G771" s="218">
        <v>42716</v>
      </c>
      <c r="H771" s="217">
        <v>3.3388</v>
      </c>
    </row>
    <row r="772" spans="2:8">
      <c r="B772" s="217" t="str">
        <f t="shared" si="62"/>
        <v>4Q</v>
      </c>
      <c r="C772" s="217">
        <f t="shared" ref="C772:C835" si="66">MONTH(G772)</f>
        <v>12</v>
      </c>
      <c r="D772" s="217" t="str">
        <f t="shared" si="63"/>
        <v>16</v>
      </c>
      <c r="E772">
        <f t="shared" si="64"/>
        <v>2016</v>
      </c>
      <c r="F772" s="217" t="str">
        <f t="shared" si="65"/>
        <v>4Q16</v>
      </c>
      <c r="G772" s="218">
        <v>42717</v>
      </c>
      <c r="H772" s="217">
        <v>3.3355000000000001</v>
      </c>
    </row>
    <row r="773" spans="2:8">
      <c r="B773" s="217" t="str">
        <f t="shared" si="62"/>
        <v>4Q</v>
      </c>
      <c r="C773" s="217">
        <f t="shared" si="66"/>
        <v>12</v>
      </c>
      <c r="D773" s="217" t="str">
        <f t="shared" si="63"/>
        <v>16</v>
      </c>
      <c r="E773">
        <f t="shared" si="64"/>
        <v>2016</v>
      </c>
      <c r="F773" s="217" t="str">
        <f t="shared" si="65"/>
        <v>4Q16</v>
      </c>
      <c r="G773" s="218">
        <v>42718</v>
      </c>
      <c r="H773" s="217">
        <v>3.3704999999999998</v>
      </c>
    </row>
    <row r="774" spans="2:8">
      <c r="B774" s="217" t="str">
        <f t="shared" si="62"/>
        <v>4Q</v>
      </c>
      <c r="C774" s="217">
        <f t="shared" si="66"/>
        <v>12</v>
      </c>
      <c r="D774" s="217" t="str">
        <f t="shared" si="63"/>
        <v>16</v>
      </c>
      <c r="E774">
        <f t="shared" si="64"/>
        <v>2016</v>
      </c>
      <c r="F774" s="217" t="str">
        <f t="shared" si="65"/>
        <v>4Q16</v>
      </c>
      <c r="G774" s="218">
        <v>42719</v>
      </c>
      <c r="H774" s="217">
        <v>3.3694999999999999</v>
      </c>
    </row>
    <row r="775" spans="2:8">
      <c r="B775" s="217" t="str">
        <f t="shared" si="62"/>
        <v>4Q</v>
      </c>
      <c r="C775" s="217">
        <f t="shared" si="66"/>
        <v>12</v>
      </c>
      <c r="D775" s="217" t="str">
        <f t="shared" si="63"/>
        <v>16</v>
      </c>
      <c r="E775">
        <f t="shared" si="64"/>
        <v>2016</v>
      </c>
      <c r="F775" s="217" t="str">
        <f t="shared" si="65"/>
        <v>4Q16</v>
      </c>
      <c r="G775" s="218">
        <v>42720</v>
      </c>
      <c r="H775" s="217">
        <v>3.3919999999999999</v>
      </c>
    </row>
    <row r="776" spans="2:8">
      <c r="B776" s="217" t="str">
        <f t="shared" si="62"/>
        <v>4Q</v>
      </c>
      <c r="C776" s="217">
        <f t="shared" si="66"/>
        <v>12</v>
      </c>
      <c r="D776" s="217" t="str">
        <f t="shared" si="63"/>
        <v>16</v>
      </c>
      <c r="E776">
        <f t="shared" si="64"/>
        <v>2016</v>
      </c>
      <c r="F776" s="217" t="str">
        <f t="shared" si="65"/>
        <v>4Q16</v>
      </c>
      <c r="G776" s="218">
        <v>42723</v>
      </c>
      <c r="H776" s="217">
        <v>3.3650000000000002</v>
      </c>
    </row>
    <row r="777" spans="2:8">
      <c r="B777" s="217" t="str">
        <f t="shared" si="62"/>
        <v>4Q</v>
      </c>
      <c r="C777" s="217">
        <f t="shared" si="66"/>
        <v>12</v>
      </c>
      <c r="D777" s="217" t="str">
        <f t="shared" si="63"/>
        <v>16</v>
      </c>
      <c r="E777">
        <f t="shared" si="64"/>
        <v>2016</v>
      </c>
      <c r="F777" s="217" t="str">
        <f t="shared" si="65"/>
        <v>4Q16</v>
      </c>
      <c r="G777" s="218">
        <v>42724</v>
      </c>
      <c r="H777" s="217">
        <v>3.3546999999999998</v>
      </c>
    </row>
    <row r="778" spans="2:8">
      <c r="B778" s="217" t="str">
        <f t="shared" si="62"/>
        <v>4Q</v>
      </c>
      <c r="C778" s="217">
        <f t="shared" si="66"/>
        <v>12</v>
      </c>
      <c r="D778" s="217" t="str">
        <f t="shared" si="63"/>
        <v>16</v>
      </c>
      <c r="E778">
        <f t="shared" si="64"/>
        <v>2016</v>
      </c>
      <c r="F778" s="217" t="str">
        <f t="shared" si="65"/>
        <v>4Q16</v>
      </c>
      <c r="G778" s="218">
        <v>42725</v>
      </c>
      <c r="H778" s="217">
        <v>3.327</v>
      </c>
    </row>
    <row r="779" spans="2:8">
      <c r="B779" s="217" t="str">
        <f t="shared" si="62"/>
        <v>4Q</v>
      </c>
      <c r="C779" s="217">
        <f t="shared" si="66"/>
        <v>12</v>
      </c>
      <c r="D779" s="217" t="str">
        <f t="shared" si="63"/>
        <v>16</v>
      </c>
      <c r="E779">
        <f t="shared" si="64"/>
        <v>2016</v>
      </c>
      <c r="F779" s="217" t="str">
        <f t="shared" si="65"/>
        <v>4Q16</v>
      </c>
      <c r="G779" s="218">
        <v>42726</v>
      </c>
      <c r="H779" s="217">
        <v>3.2875000000000001</v>
      </c>
    </row>
    <row r="780" spans="2:8">
      <c r="B780" s="217" t="str">
        <f t="shared" si="62"/>
        <v>4Q</v>
      </c>
      <c r="C780" s="217">
        <f t="shared" si="66"/>
        <v>12</v>
      </c>
      <c r="D780" s="217" t="str">
        <f t="shared" si="63"/>
        <v>16</v>
      </c>
      <c r="E780">
        <f t="shared" si="64"/>
        <v>2016</v>
      </c>
      <c r="F780" s="217" t="str">
        <f t="shared" si="65"/>
        <v>4Q16</v>
      </c>
      <c r="G780" s="218">
        <v>42727</v>
      </c>
      <c r="H780" s="217">
        <v>3.2709999999999999</v>
      </c>
    </row>
    <row r="781" spans="2:8">
      <c r="B781" s="217" t="str">
        <f t="shared" si="62"/>
        <v>4Q</v>
      </c>
      <c r="C781" s="217">
        <f t="shared" si="66"/>
        <v>12</v>
      </c>
      <c r="D781" s="217" t="str">
        <f t="shared" si="63"/>
        <v>16</v>
      </c>
      <c r="E781">
        <f t="shared" si="64"/>
        <v>2016</v>
      </c>
      <c r="F781" s="217" t="str">
        <f t="shared" si="65"/>
        <v>4Q16</v>
      </c>
      <c r="G781" s="218">
        <v>42730</v>
      </c>
      <c r="H781" s="217">
        <v>3.2770000000000001</v>
      </c>
    </row>
    <row r="782" spans="2:8">
      <c r="B782" s="217" t="str">
        <f t="shared" si="62"/>
        <v>4Q</v>
      </c>
      <c r="C782" s="217">
        <f t="shared" si="66"/>
        <v>12</v>
      </c>
      <c r="D782" s="217" t="str">
        <f t="shared" si="63"/>
        <v>16</v>
      </c>
      <c r="E782">
        <f t="shared" si="64"/>
        <v>2016</v>
      </c>
      <c r="F782" s="217" t="str">
        <f t="shared" si="65"/>
        <v>4Q16</v>
      </c>
      <c r="G782" s="218">
        <v>42731</v>
      </c>
      <c r="H782" s="217">
        <v>3.2711999999999999</v>
      </c>
    </row>
    <row r="783" spans="2:8">
      <c r="B783" s="217" t="str">
        <f t="shared" si="62"/>
        <v>4Q</v>
      </c>
      <c r="C783" s="217">
        <f t="shared" si="66"/>
        <v>12</v>
      </c>
      <c r="D783" s="217" t="str">
        <f t="shared" si="63"/>
        <v>16</v>
      </c>
      <c r="E783">
        <f t="shared" si="64"/>
        <v>2016</v>
      </c>
      <c r="F783" s="217" t="str">
        <f t="shared" si="65"/>
        <v>4Q16</v>
      </c>
      <c r="G783" s="218">
        <v>42732</v>
      </c>
      <c r="H783" s="217">
        <v>3.2845</v>
      </c>
    </row>
    <row r="784" spans="2:8">
      <c r="B784" s="217" t="str">
        <f t="shared" si="62"/>
        <v>4Q</v>
      </c>
      <c r="C784" s="217">
        <f t="shared" si="66"/>
        <v>12</v>
      </c>
      <c r="D784" s="217" t="str">
        <f t="shared" si="63"/>
        <v>16</v>
      </c>
      <c r="E784">
        <f t="shared" si="64"/>
        <v>2016</v>
      </c>
      <c r="F784" s="217" t="str">
        <f t="shared" si="65"/>
        <v>4Q16</v>
      </c>
      <c r="G784" s="218">
        <v>42733</v>
      </c>
      <c r="H784" s="217">
        <v>3.2547000000000001</v>
      </c>
    </row>
    <row r="785" spans="2:8">
      <c r="B785" s="217" t="str">
        <f t="shared" si="62"/>
        <v>4Q</v>
      </c>
      <c r="C785" s="217">
        <f t="shared" si="66"/>
        <v>12</v>
      </c>
      <c r="D785" s="217" t="str">
        <f t="shared" si="63"/>
        <v>16</v>
      </c>
      <c r="E785">
        <f t="shared" si="64"/>
        <v>2016</v>
      </c>
      <c r="F785" s="217" t="str">
        <f t="shared" si="65"/>
        <v>4Q16</v>
      </c>
      <c r="G785" s="218">
        <v>42734</v>
      </c>
      <c r="H785" s="217">
        <v>3.2547000000000001</v>
      </c>
    </row>
    <row r="786" spans="2:8">
      <c r="B786" s="217" t="str">
        <f t="shared" si="62"/>
        <v>1Q</v>
      </c>
      <c r="C786" s="217">
        <f t="shared" si="66"/>
        <v>1</v>
      </c>
      <c r="D786" s="217" t="str">
        <f t="shared" si="63"/>
        <v>17</v>
      </c>
      <c r="E786">
        <f t="shared" si="64"/>
        <v>2017</v>
      </c>
      <c r="F786" s="217" t="str">
        <f t="shared" si="65"/>
        <v>1Q17</v>
      </c>
      <c r="G786" s="218">
        <v>42737</v>
      </c>
      <c r="H786" s="217">
        <v>3.2856999999999998</v>
      </c>
    </row>
    <row r="787" spans="2:8">
      <c r="B787" s="217" t="str">
        <f t="shared" si="62"/>
        <v>1Q</v>
      </c>
      <c r="C787" s="217">
        <f t="shared" si="66"/>
        <v>1</v>
      </c>
      <c r="D787" s="217" t="str">
        <f t="shared" si="63"/>
        <v>17</v>
      </c>
      <c r="E787">
        <f t="shared" si="64"/>
        <v>2017</v>
      </c>
      <c r="F787" s="217" t="str">
        <f t="shared" si="65"/>
        <v>1Q17</v>
      </c>
      <c r="G787" s="218">
        <v>42738</v>
      </c>
      <c r="H787" s="217">
        <v>3.2652000000000001</v>
      </c>
    </row>
    <row r="788" spans="2:8">
      <c r="B788" s="217" t="str">
        <f t="shared" si="62"/>
        <v>1Q</v>
      </c>
      <c r="C788" s="217">
        <f t="shared" si="66"/>
        <v>1</v>
      </c>
      <c r="D788" s="217" t="str">
        <f t="shared" si="63"/>
        <v>17</v>
      </c>
      <c r="E788">
        <f t="shared" si="64"/>
        <v>2017</v>
      </c>
      <c r="F788" s="217" t="str">
        <f t="shared" si="65"/>
        <v>1Q17</v>
      </c>
      <c r="G788" s="218">
        <v>42739</v>
      </c>
      <c r="H788" s="217">
        <v>3.2162999999999999</v>
      </c>
    </row>
    <row r="789" spans="2:8">
      <c r="B789" s="217" t="str">
        <f t="shared" si="62"/>
        <v>1Q</v>
      </c>
      <c r="C789" s="217">
        <f t="shared" si="66"/>
        <v>1</v>
      </c>
      <c r="D789" s="217" t="str">
        <f t="shared" si="63"/>
        <v>17</v>
      </c>
      <c r="E789">
        <f t="shared" si="64"/>
        <v>2017</v>
      </c>
      <c r="F789" s="217" t="str">
        <f t="shared" si="65"/>
        <v>1Q17</v>
      </c>
      <c r="G789" s="218">
        <v>42740</v>
      </c>
      <c r="H789" s="217">
        <v>3.1989999999999998</v>
      </c>
    </row>
    <row r="790" spans="2:8">
      <c r="B790" s="217" t="str">
        <f t="shared" si="62"/>
        <v>1Q</v>
      </c>
      <c r="C790" s="217">
        <f t="shared" si="66"/>
        <v>1</v>
      </c>
      <c r="D790" s="217" t="str">
        <f t="shared" si="63"/>
        <v>17</v>
      </c>
      <c r="E790">
        <f t="shared" si="64"/>
        <v>2017</v>
      </c>
      <c r="F790" s="217" t="str">
        <f t="shared" si="65"/>
        <v>1Q17</v>
      </c>
      <c r="G790" s="218">
        <v>42741</v>
      </c>
      <c r="H790" s="217">
        <v>3.2241</v>
      </c>
    </row>
    <row r="791" spans="2:8">
      <c r="B791" s="217" t="str">
        <f t="shared" si="62"/>
        <v>1Q</v>
      </c>
      <c r="C791" s="217">
        <f t="shared" si="66"/>
        <v>1</v>
      </c>
      <c r="D791" s="217" t="str">
        <f t="shared" si="63"/>
        <v>17</v>
      </c>
      <c r="E791">
        <f t="shared" si="64"/>
        <v>2017</v>
      </c>
      <c r="F791" s="217" t="str">
        <f t="shared" si="65"/>
        <v>1Q17</v>
      </c>
      <c r="G791" s="218">
        <v>42744</v>
      </c>
      <c r="H791" s="217">
        <v>3.1968999999999999</v>
      </c>
    </row>
    <row r="792" spans="2:8">
      <c r="B792" s="217" t="str">
        <f t="shared" si="62"/>
        <v>1Q</v>
      </c>
      <c r="C792" s="217">
        <f t="shared" si="66"/>
        <v>1</v>
      </c>
      <c r="D792" s="217" t="str">
        <f t="shared" si="63"/>
        <v>17</v>
      </c>
      <c r="E792">
        <f t="shared" si="64"/>
        <v>2017</v>
      </c>
      <c r="F792" s="217" t="str">
        <f t="shared" si="65"/>
        <v>1Q17</v>
      </c>
      <c r="G792" s="218">
        <v>42745</v>
      </c>
      <c r="H792" s="217">
        <v>3.1960999999999999</v>
      </c>
    </row>
    <row r="793" spans="2:8">
      <c r="B793" s="217" t="str">
        <f t="shared" si="62"/>
        <v>1Q</v>
      </c>
      <c r="C793" s="217">
        <f t="shared" si="66"/>
        <v>1</v>
      </c>
      <c r="D793" s="217" t="str">
        <f t="shared" si="63"/>
        <v>17</v>
      </c>
      <c r="E793">
        <f t="shared" si="64"/>
        <v>2017</v>
      </c>
      <c r="F793" s="217" t="str">
        <f t="shared" si="65"/>
        <v>1Q17</v>
      </c>
      <c r="G793" s="218">
        <v>42746</v>
      </c>
      <c r="H793" s="217">
        <v>3.1974999999999998</v>
      </c>
    </row>
    <row r="794" spans="2:8">
      <c r="B794" s="217" t="str">
        <f t="shared" si="62"/>
        <v>1Q</v>
      </c>
      <c r="C794" s="217">
        <f t="shared" si="66"/>
        <v>1</v>
      </c>
      <c r="D794" s="217" t="str">
        <f t="shared" si="63"/>
        <v>17</v>
      </c>
      <c r="E794">
        <f t="shared" si="64"/>
        <v>2017</v>
      </c>
      <c r="F794" s="217" t="str">
        <f t="shared" si="65"/>
        <v>1Q17</v>
      </c>
      <c r="G794" s="218">
        <v>42747</v>
      </c>
      <c r="H794" s="217">
        <v>3.1880999999999999</v>
      </c>
    </row>
    <row r="795" spans="2:8">
      <c r="B795" s="217" t="str">
        <f t="shared" si="62"/>
        <v>1Q</v>
      </c>
      <c r="C795" s="217">
        <f t="shared" si="66"/>
        <v>1</v>
      </c>
      <c r="D795" s="217" t="str">
        <f t="shared" si="63"/>
        <v>17</v>
      </c>
      <c r="E795">
        <f t="shared" si="64"/>
        <v>2017</v>
      </c>
      <c r="F795" s="217" t="str">
        <f t="shared" si="65"/>
        <v>1Q17</v>
      </c>
      <c r="G795" s="218">
        <v>42748</v>
      </c>
      <c r="H795" s="217">
        <v>3.2212999999999998</v>
      </c>
    </row>
    <row r="796" spans="2:8">
      <c r="B796" s="217" t="str">
        <f t="shared" si="62"/>
        <v>1Q</v>
      </c>
      <c r="C796" s="217">
        <f t="shared" si="66"/>
        <v>1</v>
      </c>
      <c r="D796" s="217" t="str">
        <f t="shared" si="63"/>
        <v>17</v>
      </c>
      <c r="E796">
        <f t="shared" si="64"/>
        <v>2017</v>
      </c>
      <c r="F796" s="217" t="str">
        <f t="shared" si="65"/>
        <v>1Q17</v>
      </c>
      <c r="G796" s="218">
        <v>42751</v>
      </c>
      <c r="H796" s="217">
        <v>3.2418</v>
      </c>
    </row>
    <row r="797" spans="2:8">
      <c r="B797" s="217" t="str">
        <f t="shared" si="62"/>
        <v>1Q</v>
      </c>
      <c r="C797" s="217">
        <f t="shared" si="66"/>
        <v>1</v>
      </c>
      <c r="D797" s="217" t="str">
        <f t="shared" si="63"/>
        <v>17</v>
      </c>
      <c r="E797">
        <f t="shared" si="64"/>
        <v>2017</v>
      </c>
      <c r="F797" s="217" t="str">
        <f t="shared" si="65"/>
        <v>1Q17</v>
      </c>
      <c r="G797" s="218">
        <v>42752</v>
      </c>
      <c r="H797" s="217">
        <v>3.2115</v>
      </c>
    </row>
    <row r="798" spans="2:8">
      <c r="B798" s="217" t="str">
        <f t="shared" si="62"/>
        <v>1Q</v>
      </c>
      <c r="C798" s="217">
        <f t="shared" si="66"/>
        <v>1</v>
      </c>
      <c r="D798" s="217" t="str">
        <f t="shared" si="63"/>
        <v>17</v>
      </c>
      <c r="E798">
        <f t="shared" si="64"/>
        <v>2017</v>
      </c>
      <c r="F798" s="217" t="str">
        <f t="shared" si="65"/>
        <v>1Q17</v>
      </c>
      <c r="G798" s="218">
        <v>42753</v>
      </c>
      <c r="H798" s="217">
        <v>3.2309000000000001</v>
      </c>
    </row>
    <row r="799" spans="2:8">
      <c r="B799" s="217" t="str">
        <f t="shared" si="62"/>
        <v>1Q</v>
      </c>
      <c r="C799" s="217">
        <f t="shared" si="66"/>
        <v>1</v>
      </c>
      <c r="D799" s="217" t="str">
        <f t="shared" si="63"/>
        <v>17</v>
      </c>
      <c r="E799">
        <f t="shared" si="64"/>
        <v>2017</v>
      </c>
      <c r="F799" s="217" t="str">
        <f t="shared" si="65"/>
        <v>1Q17</v>
      </c>
      <c r="G799" s="218">
        <v>42754</v>
      </c>
      <c r="H799" s="217">
        <v>3.1964999999999999</v>
      </c>
    </row>
    <row r="800" spans="2:8">
      <c r="B800" s="217" t="str">
        <f t="shared" si="62"/>
        <v>1Q</v>
      </c>
      <c r="C800" s="217">
        <f t="shared" si="66"/>
        <v>1</v>
      </c>
      <c r="D800" s="217" t="str">
        <f t="shared" si="63"/>
        <v>17</v>
      </c>
      <c r="E800">
        <f t="shared" si="64"/>
        <v>2017</v>
      </c>
      <c r="F800" s="217" t="str">
        <f t="shared" si="65"/>
        <v>1Q17</v>
      </c>
      <c r="G800" s="218">
        <v>42755</v>
      </c>
      <c r="H800" s="217">
        <v>3.169</v>
      </c>
    </row>
    <row r="801" spans="2:8">
      <c r="B801" s="217" t="str">
        <f t="shared" si="62"/>
        <v>1Q</v>
      </c>
      <c r="C801" s="217">
        <f t="shared" si="66"/>
        <v>1</v>
      </c>
      <c r="D801" s="217" t="str">
        <f t="shared" si="63"/>
        <v>17</v>
      </c>
      <c r="E801">
        <f t="shared" si="64"/>
        <v>2017</v>
      </c>
      <c r="F801" s="217" t="str">
        <f t="shared" si="65"/>
        <v>1Q17</v>
      </c>
      <c r="G801" s="218">
        <v>42758</v>
      </c>
      <c r="H801" s="217">
        <v>3.1633</v>
      </c>
    </row>
    <row r="802" spans="2:8">
      <c r="B802" s="217" t="str">
        <f t="shared" si="62"/>
        <v>1Q</v>
      </c>
      <c r="C802" s="217">
        <f t="shared" si="66"/>
        <v>1</v>
      </c>
      <c r="D802" s="217" t="str">
        <f t="shared" si="63"/>
        <v>17</v>
      </c>
      <c r="E802">
        <f t="shared" si="64"/>
        <v>2017</v>
      </c>
      <c r="F802" s="217" t="str">
        <f t="shared" si="65"/>
        <v>1Q17</v>
      </c>
      <c r="G802" s="218">
        <v>42759</v>
      </c>
      <c r="H802" s="217">
        <v>3.1701999999999999</v>
      </c>
    </row>
    <row r="803" spans="2:8">
      <c r="B803" s="217" t="str">
        <f t="shared" si="62"/>
        <v>1Q</v>
      </c>
      <c r="C803" s="217">
        <f t="shared" si="66"/>
        <v>1</v>
      </c>
      <c r="D803" s="217" t="str">
        <f t="shared" si="63"/>
        <v>17</v>
      </c>
      <c r="E803">
        <f t="shared" si="64"/>
        <v>2017</v>
      </c>
      <c r="F803" s="217" t="str">
        <f t="shared" si="65"/>
        <v>1Q17</v>
      </c>
      <c r="G803" s="218">
        <v>42760</v>
      </c>
      <c r="H803" s="217">
        <v>3.1701999999999999</v>
      </c>
    </row>
    <row r="804" spans="2:8">
      <c r="B804" s="217" t="str">
        <f t="shared" si="62"/>
        <v>1Q</v>
      </c>
      <c r="C804" s="217">
        <f t="shared" si="66"/>
        <v>1</v>
      </c>
      <c r="D804" s="217" t="str">
        <f t="shared" si="63"/>
        <v>17</v>
      </c>
      <c r="E804">
        <f t="shared" si="64"/>
        <v>2017</v>
      </c>
      <c r="F804" s="217" t="str">
        <f t="shared" si="65"/>
        <v>1Q17</v>
      </c>
      <c r="G804" s="218">
        <v>42761</v>
      </c>
      <c r="H804" s="217">
        <v>3.1779999999999999</v>
      </c>
    </row>
    <row r="805" spans="2:8">
      <c r="B805" s="217" t="str">
        <f t="shared" si="62"/>
        <v>1Q</v>
      </c>
      <c r="C805" s="217">
        <f t="shared" si="66"/>
        <v>1</v>
      </c>
      <c r="D805" s="217" t="str">
        <f t="shared" si="63"/>
        <v>17</v>
      </c>
      <c r="E805">
        <f t="shared" si="64"/>
        <v>2017</v>
      </c>
      <c r="F805" s="217" t="str">
        <f t="shared" si="65"/>
        <v>1Q17</v>
      </c>
      <c r="G805" s="218">
        <v>42762</v>
      </c>
      <c r="H805" s="217">
        <v>3.141</v>
      </c>
    </row>
    <row r="806" spans="2:8">
      <c r="B806" s="217" t="str">
        <f t="shared" si="62"/>
        <v>1Q</v>
      </c>
      <c r="C806" s="217">
        <f t="shared" si="66"/>
        <v>1</v>
      </c>
      <c r="D806" s="217" t="str">
        <f t="shared" si="63"/>
        <v>17</v>
      </c>
      <c r="E806">
        <f t="shared" si="64"/>
        <v>2017</v>
      </c>
      <c r="F806" s="217" t="str">
        <f t="shared" si="65"/>
        <v>1Q17</v>
      </c>
      <c r="G806" s="218">
        <v>42765</v>
      </c>
      <c r="H806" s="217">
        <v>3.1269999999999998</v>
      </c>
    </row>
    <row r="807" spans="2:8">
      <c r="B807" s="217" t="str">
        <f t="shared" si="62"/>
        <v>1Q</v>
      </c>
      <c r="C807" s="217">
        <f t="shared" si="66"/>
        <v>1</v>
      </c>
      <c r="D807" s="217" t="str">
        <f t="shared" si="63"/>
        <v>17</v>
      </c>
      <c r="E807">
        <f t="shared" si="64"/>
        <v>2017</v>
      </c>
      <c r="F807" s="217" t="str">
        <f t="shared" si="65"/>
        <v>1Q17</v>
      </c>
      <c r="G807" s="218">
        <v>42766</v>
      </c>
      <c r="H807" s="217">
        <v>3.1509</v>
      </c>
    </row>
    <row r="808" spans="2:8">
      <c r="B808" s="217" t="str">
        <f t="shared" si="62"/>
        <v>1Q</v>
      </c>
      <c r="C808" s="217">
        <f t="shared" si="66"/>
        <v>2</v>
      </c>
      <c r="D808" s="217" t="str">
        <f t="shared" si="63"/>
        <v>17</v>
      </c>
      <c r="E808">
        <f t="shared" si="64"/>
        <v>2017</v>
      </c>
      <c r="F808" s="217" t="str">
        <f t="shared" si="65"/>
        <v>1Q17</v>
      </c>
      <c r="G808" s="218">
        <v>42767</v>
      </c>
      <c r="H808" s="217">
        <v>3.1295000000000002</v>
      </c>
    </row>
    <row r="809" spans="2:8">
      <c r="B809" s="217" t="str">
        <f t="shared" si="62"/>
        <v>1Q</v>
      </c>
      <c r="C809" s="217">
        <f t="shared" si="66"/>
        <v>2</v>
      </c>
      <c r="D809" s="217" t="str">
        <f t="shared" si="63"/>
        <v>17</v>
      </c>
      <c r="E809">
        <f t="shared" si="64"/>
        <v>2017</v>
      </c>
      <c r="F809" s="217" t="str">
        <f t="shared" si="65"/>
        <v>1Q17</v>
      </c>
      <c r="G809" s="218">
        <v>42768</v>
      </c>
      <c r="H809" s="217">
        <v>3.1240000000000001</v>
      </c>
    </row>
    <row r="810" spans="2:8">
      <c r="B810" s="217" t="str">
        <f t="shared" si="62"/>
        <v>1Q</v>
      </c>
      <c r="C810" s="217">
        <f t="shared" si="66"/>
        <v>2</v>
      </c>
      <c r="D810" s="217" t="str">
        <f t="shared" si="63"/>
        <v>17</v>
      </c>
      <c r="E810">
        <f t="shared" si="64"/>
        <v>2017</v>
      </c>
      <c r="F810" s="217" t="str">
        <f t="shared" si="65"/>
        <v>1Q17</v>
      </c>
      <c r="G810" s="218">
        <v>42769</v>
      </c>
      <c r="H810" s="217">
        <v>3.1177000000000001</v>
      </c>
    </row>
    <row r="811" spans="2:8">
      <c r="B811" s="217" t="str">
        <f t="shared" si="62"/>
        <v>1Q</v>
      </c>
      <c r="C811" s="217">
        <f t="shared" si="66"/>
        <v>2</v>
      </c>
      <c r="D811" s="217" t="str">
        <f t="shared" si="63"/>
        <v>17</v>
      </c>
      <c r="E811">
        <f t="shared" si="64"/>
        <v>2017</v>
      </c>
      <c r="F811" s="217" t="str">
        <f t="shared" si="65"/>
        <v>1Q17</v>
      </c>
      <c r="G811" s="218">
        <v>42772</v>
      </c>
      <c r="H811" s="217">
        <v>3.1160000000000001</v>
      </c>
    </row>
    <row r="812" spans="2:8">
      <c r="B812" s="217" t="str">
        <f t="shared" si="62"/>
        <v>1Q</v>
      </c>
      <c r="C812" s="217">
        <f t="shared" si="66"/>
        <v>2</v>
      </c>
      <c r="D812" s="217" t="str">
        <f t="shared" si="63"/>
        <v>17</v>
      </c>
      <c r="E812">
        <f t="shared" si="64"/>
        <v>2017</v>
      </c>
      <c r="F812" s="217" t="str">
        <f t="shared" si="65"/>
        <v>1Q17</v>
      </c>
      <c r="G812" s="218">
        <v>42773</v>
      </c>
      <c r="H812" s="217">
        <v>3.1204999999999998</v>
      </c>
    </row>
    <row r="813" spans="2:8">
      <c r="B813" s="217" t="str">
        <f t="shared" si="62"/>
        <v>1Q</v>
      </c>
      <c r="C813" s="217">
        <f t="shared" si="66"/>
        <v>2</v>
      </c>
      <c r="D813" s="217" t="str">
        <f t="shared" si="63"/>
        <v>17</v>
      </c>
      <c r="E813">
        <f t="shared" si="64"/>
        <v>2017</v>
      </c>
      <c r="F813" s="217" t="str">
        <f t="shared" si="65"/>
        <v>1Q17</v>
      </c>
      <c r="G813" s="218">
        <v>42774</v>
      </c>
      <c r="H813" s="217">
        <v>3.1175000000000002</v>
      </c>
    </row>
    <row r="814" spans="2:8">
      <c r="B814" s="217" t="str">
        <f t="shared" si="62"/>
        <v>1Q</v>
      </c>
      <c r="C814" s="217">
        <f t="shared" si="66"/>
        <v>2</v>
      </c>
      <c r="D814" s="217" t="str">
        <f t="shared" si="63"/>
        <v>17</v>
      </c>
      <c r="E814">
        <f t="shared" si="64"/>
        <v>2017</v>
      </c>
      <c r="F814" s="217" t="str">
        <f t="shared" si="65"/>
        <v>1Q17</v>
      </c>
      <c r="G814" s="218">
        <v>42775</v>
      </c>
      <c r="H814" s="217">
        <v>3.1301000000000001</v>
      </c>
    </row>
    <row r="815" spans="2:8">
      <c r="B815" s="217" t="str">
        <f t="shared" si="62"/>
        <v>1Q</v>
      </c>
      <c r="C815" s="217">
        <f t="shared" si="66"/>
        <v>2</v>
      </c>
      <c r="D815" s="217" t="str">
        <f t="shared" si="63"/>
        <v>17</v>
      </c>
      <c r="E815">
        <f t="shared" si="64"/>
        <v>2017</v>
      </c>
      <c r="F815" s="217" t="str">
        <f t="shared" si="65"/>
        <v>1Q17</v>
      </c>
      <c r="G815" s="218">
        <v>42776</v>
      </c>
      <c r="H815" s="217">
        <v>3.1158000000000001</v>
      </c>
    </row>
    <row r="816" spans="2:8">
      <c r="B816" s="217" t="str">
        <f t="shared" si="62"/>
        <v>1Q</v>
      </c>
      <c r="C816" s="217">
        <f t="shared" si="66"/>
        <v>2</v>
      </c>
      <c r="D816" s="217" t="str">
        <f t="shared" si="63"/>
        <v>17</v>
      </c>
      <c r="E816">
        <f t="shared" si="64"/>
        <v>2017</v>
      </c>
      <c r="F816" s="217" t="str">
        <f t="shared" si="65"/>
        <v>1Q17</v>
      </c>
      <c r="G816" s="218">
        <v>42779</v>
      </c>
      <c r="H816" s="217">
        <v>3.1116000000000001</v>
      </c>
    </row>
    <row r="817" spans="2:8">
      <c r="B817" s="217" t="str">
        <f t="shared" si="62"/>
        <v>1Q</v>
      </c>
      <c r="C817" s="217">
        <f t="shared" si="66"/>
        <v>2</v>
      </c>
      <c r="D817" s="217" t="str">
        <f t="shared" si="63"/>
        <v>17</v>
      </c>
      <c r="E817">
        <f t="shared" si="64"/>
        <v>2017</v>
      </c>
      <c r="F817" s="217" t="str">
        <f t="shared" si="65"/>
        <v>1Q17</v>
      </c>
      <c r="G817" s="218">
        <v>42780</v>
      </c>
      <c r="H817" s="217">
        <v>3.085</v>
      </c>
    </row>
    <row r="818" spans="2:8">
      <c r="B818" s="217" t="str">
        <f t="shared" si="62"/>
        <v>1Q</v>
      </c>
      <c r="C818" s="217">
        <f t="shared" si="66"/>
        <v>2</v>
      </c>
      <c r="D818" s="217" t="str">
        <f t="shared" si="63"/>
        <v>17</v>
      </c>
      <c r="E818">
        <f t="shared" si="64"/>
        <v>2017</v>
      </c>
      <c r="F818" s="217" t="str">
        <f t="shared" si="65"/>
        <v>1Q17</v>
      </c>
      <c r="G818" s="218">
        <v>42781</v>
      </c>
      <c r="H818" s="217">
        <v>3.0575000000000001</v>
      </c>
    </row>
    <row r="819" spans="2:8">
      <c r="B819" s="217" t="str">
        <f t="shared" si="62"/>
        <v>1Q</v>
      </c>
      <c r="C819" s="217">
        <f t="shared" si="66"/>
        <v>2</v>
      </c>
      <c r="D819" s="217" t="str">
        <f t="shared" si="63"/>
        <v>17</v>
      </c>
      <c r="E819">
        <f t="shared" si="64"/>
        <v>2017</v>
      </c>
      <c r="F819" s="217" t="str">
        <f t="shared" si="65"/>
        <v>1Q17</v>
      </c>
      <c r="G819" s="218">
        <v>42782</v>
      </c>
      <c r="H819" s="217">
        <v>3.0891999999999999</v>
      </c>
    </row>
    <row r="820" spans="2:8">
      <c r="B820" s="217" t="str">
        <f t="shared" si="62"/>
        <v>1Q</v>
      </c>
      <c r="C820" s="217">
        <f t="shared" si="66"/>
        <v>2</v>
      </c>
      <c r="D820" s="217" t="str">
        <f t="shared" si="63"/>
        <v>17</v>
      </c>
      <c r="E820">
        <f t="shared" si="64"/>
        <v>2017</v>
      </c>
      <c r="F820" s="217" t="str">
        <f t="shared" si="65"/>
        <v>1Q17</v>
      </c>
      <c r="G820" s="218">
        <v>42783</v>
      </c>
      <c r="H820" s="217">
        <v>3.1048</v>
      </c>
    </row>
    <row r="821" spans="2:8">
      <c r="B821" s="217" t="str">
        <f t="shared" si="62"/>
        <v>1Q</v>
      </c>
      <c r="C821" s="217">
        <f t="shared" si="66"/>
        <v>2</v>
      </c>
      <c r="D821" s="217" t="str">
        <f t="shared" si="63"/>
        <v>17</v>
      </c>
      <c r="E821">
        <f t="shared" si="64"/>
        <v>2017</v>
      </c>
      <c r="F821" s="217" t="str">
        <f t="shared" si="65"/>
        <v>1Q17</v>
      </c>
      <c r="G821" s="218">
        <v>42786</v>
      </c>
      <c r="H821" s="217">
        <v>3.0870000000000002</v>
      </c>
    </row>
    <row r="822" spans="2:8">
      <c r="B822" s="217" t="str">
        <f t="shared" si="62"/>
        <v>1Q</v>
      </c>
      <c r="C822" s="217">
        <f t="shared" si="66"/>
        <v>2</v>
      </c>
      <c r="D822" s="217" t="str">
        <f t="shared" si="63"/>
        <v>17</v>
      </c>
      <c r="E822">
        <f t="shared" si="64"/>
        <v>2017</v>
      </c>
      <c r="F822" s="217" t="str">
        <f t="shared" si="65"/>
        <v>1Q17</v>
      </c>
      <c r="G822" s="218">
        <v>42787</v>
      </c>
      <c r="H822" s="217">
        <v>3.0951</v>
      </c>
    </row>
    <row r="823" spans="2:8">
      <c r="B823" s="217" t="str">
        <f t="shared" si="62"/>
        <v>1Q</v>
      </c>
      <c r="C823" s="217">
        <f t="shared" si="66"/>
        <v>2</v>
      </c>
      <c r="D823" s="217" t="str">
        <f t="shared" si="63"/>
        <v>17</v>
      </c>
      <c r="E823">
        <f t="shared" si="64"/>
        <v>2017</v>
      </c>
      <c r="F823" s="217" t="str">
        <f t="shared" si="65"/>
        <v>1Q17</v>
      </c>
      <c r="G823" s="218">
        <v>42788</v>
      </c>
      <c r="H823" s="217">
        <v>3.0640000000000001</v>
      </c>
    </row>
    <row r="824" spans="2:8">
      <c r="B824" s="217" t="str">
        <f t="shared" si="62"/>
        <v>1Q</v>
      </c>
      <c r="C824" s="217">
        <f t="shared" si="66"/>
        <v>2</v>
      </c>
      <c r="D824" s="217" t="str">
        <f t="shared" si="63"/>
        <v>17</v>
      </c>
      <c r="E824">
        <f t="shared" si="64"/>
        <v>2017</v>
      </c>
      <c r="F824" s="217" t="str">
        <f t="shared" si="65"/>
        <v>1Q17</v>
      </c>
      <c r="G824" s="218">
        <v>42789</v>
      </c>
      <c r="H824" s="217">
        <v>3.0594999999999999</v>
      </c>
    </row>
    <row r="825" spans="2:8">
      <c r="B825" s="217" t="str">
        <f t="shared" si="62"/>
        <v>1Q</v>
      </c>
      <c r="C825" s="217">
        <f t="shared" si="66"/>
        <v>2</v>
      </c>
      <c r="D825" s="217" t="str">
        <f t="shared" si="63"/>
        <v>17</v>
      </c>
      <c r="E825">
        <f t="shared" si="64"/>
        <v>2017</v>
      </c>
      <c r="F825" s="217" t="str">
        <f t="shared" si="65"/>
        <v>1Q17</v>
      </c>
      <c r="G825" s="218">
        <v>42790</v>
      </c>
      <c r="H825" s="217">
        <v>3.1110000000000002</v>
      </c>
    </row>
    <row r="826" spans="2:8">
      <c r="B826" s="217" t="str">
        <f t="shared" si="62"/>
        <v>1Q</v>
      </c>
      <c r="C826" s="217">
        <f t="shared" si="66"/>
        <v>2</v>
      </c>
      <c r="D826" s="217" t="str">
        <f t="shared" si="63"/>
        <v>17</v>
      </c>
      <c r="E826">
        <f t="shared" si="64"/>
        <v>2017</v>
      </c>
      <c r="F826" s="217" t="str">
        <f t="shared" si="65"/>
        <v>1Q17</v>
      </c>
      <c r="G826" s="218">
        <v>42793</v>
      </c>
      <c r="H826" s="217">
        <v>3.109</v>
      </c>
    </row>
    <row r="827" spans="2:8">
      <c r="B827" s="217" t="str">
        <f t="shared" si="62"/>
        <v>1Q</v>
      </c>
      <c r="C827" s="217">
        <f t="shared" si="66"/>
        <v>2</v>
      </c>
      <c r="D827" s="217" t="str">
        <f t="shared" si="63"/>
        <v>17</v>
      </c>
      <c r="E827">
        <f t="shared" si="64"/>
        <v>2017</v>
      </c>
      <c r="F827" s="217" t="str">
        <f t="shared" si="65"/>
        <v>1Q17</v>
      </c>
      <c r="G827" s="218">
        <v>42794</v>
      </c>
      <c r="H827" s="217">
        <v>3.1091000000000002</v>
      </c>
    </row>
    <row r="828" spans="2:8">
      <c r="B828" s="217" t="str">
        <f t="shared" si="62"/>
        <v>1Q</v>
      </c>
      <c r="C828" s="217">
        <f t="shared" si="66"/>
        <v>3</v>
      </c>
      <c r="D828" s="217" t="str">
        <f t="shared" si="63"/>
        <v>17</v>
      </c>
      <c r="E828">
        <f t="shared" si="64"/>
        <v>2017</v>
      </c>
      <c r="F828" s="217" t="str">
        <f t="shared" si="65"/>
        <v>1Q17</v>
      </c>
      <c r="G828" s="218">
        <v>42795</v>
      </c>
      <c r="H828" s="217">
        <v>3.09</v>
      </c>
    </row>
    <row r="829" spans="2:8">
      <c r="B829" s="217" t="str">
        <f t="shared" si="62"/>
        <v>1Q</v>
      </c>
      <c r="C829" s="217">
        <f t="shared" si="66"/>
        <v>3</v>
      </c>
      <c r="D829" s="217" t="str">
        <f t="shared" si="63"/>
        <v>17</v>
      </c>
      <c r="E829">
        <f t="shared" si="64"/>
        <v>2017</v>
      </c>
      <c r="F829" s="217" t="str">
        <f t="shared" si="65"/>
        <v>1Q17</v>
      </c>
      <c r="G829" s="218">
        <v>42796</v>
      </c>
      <c r="H829" s="217">
        <v>3.1564999999999999</v>
      </c>
    </row>
    <row r="830" spans="2:8">
      <c r="B830" s="217" t="str">
        <f t="shared" si="62"/>
        <v>1Q</v>
      </c>
      <c r="C830" s="217">
        <f t="shared" si="66"/>
        <v>3</v>
      </c>
      <c r="D830" s="217" t="str">
        <f t="shared" si="63"/>
        <v>17</v>
      </c>
      <c r="E830">
        <f t="shared" si="64"/>
        <v>2017</v>
      </c>
      <c r="F830" s="217" t="str">
        <f t="shared" si="65"/>
        <v>1Q17</v>
      </c>
      <c r="G830" s="218">
        <v>42797</v>
      </c>
      <c r="H830" s="217">
        <v>3.1158000000000001</v>
      </c>
    </row>
    <row r="831" spans="2:8">
      <c r="B831" s="217" t="str">
        <f t="shared" si="62"/>
        <v>1Q</v>
      </c>
      <c r="C831" s="217">
        <f t="shared" si="66"/>
        <v>3</v>
      </c>
      <c r="D831" s="217" t="str">
        <f t="shared" si="63"/>
        <v>17</v>
      </c>
      <c r="E831">
        <f t="shared" si="64"/>
        <v>2017</v>
      </c>
      <c r="F831" s="217" t="str">
        <f t="shared" si="65"/>
        <v>1Q17</v>
      </c>
      <c r="G831" s="218">
        <v>42800</v>
      </c>
      <c r="H831" s="217">
        <v>3.1385999999999998</v>
      </c>
    </row>
    <row r="832" spans="2:8">
      <c r="B832" s="217" t="str">
        <f t="shared" si="62"/>
        <v>1Q</v>
      </c>
      <c r="C832" s="217">
        <f t="shared" si="66"/>
        <v>3</v>
      </c>
      <c r="D832" s="217" t="str">
        <f t="shared" si="63"/>
        <v>17</v>
      </c>
      <c r="E832">
        <f t="shared" si="64"/>
        <v>2017</v>
      </c>
      <c r="F832" s="217" t="str">
        <f t="shared" si="65"/>
        <v>1Q17</v>
      </c>
      <c r="G832" s="218">
        <v>42801</v>
      </c>
      <c r="H832" s="217">
        <v>3.1194999999999999</v>
      </c>
    </row>
    <row r="833" spans="2:8">
      <c r="B833" s="217" t="str">
        <f t="shared" si="62"/>
        <v>1Q</v>
      </c>
      <c r="C833" s="217">
        <f t="shared" si="66"/>
        <v>3</v>
      </c>
      <c r="D833" s="217" t="str">
        <f t="shared" si="63"/>
        <v>17</v>
      </c>
      <c r="E833">
        <f t="shared" si="64"/>
        <v>2017</v>
      </c>
      <c r="F833" s="217" t="str">
        <f t="shared" si="65"/>
        <v>1Q17</v>
      </c>
      <c r="G833" s="218">
        <v>42802</v>
      </c>
      <c r="H833" s="217">
        <v>3.1631</v>
      </c>
    </row>
    <row r="834" spans="2:8">
      <c r="B834" s="217" t="str">
        <f t="shared" si="62"/>
        <v>1Q</v>
      </c>
      <c r="C834" s="217">
        <f t="shared" si="66"/>
        <v>3</v>
      </c>
      <c r="D834" s="217" t="str">
        <f t="shared" si="63"/>
        <v>17</v>
      </c>
      <c r="E834">
        <f t="shared" si="64"/>
        <v>2017</v>
      </c>
      <c r="F834" s="217" t="str">
        <f t="shared" si="65"/>
        <v>1Q17</v>
      </c>
      <c r="G834" s="218">
        <v>42803</v>
      </c>
      <c r="H834" s="217">
        <v>3.1932</v>
      </c>
    </row>
    <row r="835" spans="2:8">
      <c r="B835" s="217" t="str">
        <f t="shared" ref="B835:B898" si="67">VLOOKUP(C835,$N$3:$O$14,2,0)</f>
        <v>1Q</v>
      </c>
      <c r="C835" s="217">
        <f t="shared" si="66"/>
        <v>3</v>
      </c>
      <c r="D835" s="217" t="str">
        <f t="shared" ref="D835:D898" si="68">RIGHT(E835,2)</f>
        <v>17</v>
      </c>
      <c r="E835">
        <f t="shared" ref="E835:E898" si="69">YEAR(G835)</f>
        <v>2017</v>
      </c>
      <c r="F835" s="217" t="str">
        <f t="shared" ref="F835:F898" si="70">+B835&amp;D835</f>
        <v>1Q17</v>
      </c>
      <c r="G835" s="218">
        <v>42804</v>
      </c>
      <c r="H835" s="217">
        <v>3.1395</v>
      </c>
    </row>
    <row r="836" spans="2:8">
      <c r="B836" s="217" t="str">
        <f t="shared" si="67"/>
        <v>1Q</v>
      </c>
      <c r="C836" s="217">
        <f t="shared" ref="C836:C899" si="71">MONTH(G836)</f>
        <v>3</v>
      </c>
      <c r="D836" s="217" t="str">
        <f t="shared" si="68"/>
        <v>17</v>
      </c>
      <c r="E836">
        <f t="shared" si="69"/>
        <v>2017</v>
      </c>
      <c r="F836" s="217" t="str">
        <f t="shared" si="70"/>
        <v>1Q17</v>
      </c>
      <c r="G836" s="218">
        <v>42807</v>
      </c>
      <c r="H836" s="217">
        <v>3.1528999999999998</v>
      </c>
    </row>
    <row r="837" spans="2:8">
      <c r="B837" s="217" t="str">
        <f t="shared" si="67"/>
        <v>1Q</v>
      </c>
      <c r="C837" s="217">
        <f t="shared" si="71"/>
        <v>3</v>
      </c>
      <c r="D837" s="217" t="str">
        <f t="shared" si="68"/>
        <v>17</v>
      </c>
      <c r="E837">
        <f t="shared" si="69"/>
        <v>2017</v>
      </c>
      <c r="F837" s="217" t="str">
        <f t="shared" si="70"/>
        <v>1Q17</v>
      </c>
      <c r="G837" s="218">
        <v>42808</v>
      </c>
      <c r="H837" s="217">
        <v>3.1684999999999999</v>
      </c>
    </row>
    <row r="838" spans="2:8">
      <c r="B838" s="217" t="str">
        <f t="shared" si="67"/>
        <v>1Q</v>
      </c>
      <c r="C838" s="217">
        <f t="shared" si="71"/>
        <v>3</v>
      </c>
      <c r="D838" s="217" t="str">
        <f t="shared" si="68"/>
        <v>17</v>
      </c>
      <c r="E838">
        <f t="shared" si="69"/>
        <v>2017</v>
      </c>
      <c r="F838" s="217" t="str">
        <f t="shared" si="70"/>
        <v>1Q17</v>
      </c>
      <c r="G838" s="218">
        <v>42809</v>
      </c>
      <c r="H838" s="217">
        <v>3.1036999999999999</v>
      </c>
    </row>
    <row r="839" spans="2:8">
      <c r="B839" s="217" t="str">
        <f t="shared" si="67"/>
        <v>1Q</v>
      </c>
      <c r="C839" s="217">
        <f t="shared" si="71"/>
        <v>3</v>
      </c>
      <c r="D839" s="217" t="str">
        <f t="shared" si="68"/>
        <v>17</v>
      </c>
      <c r="E839">
        <f t="shared" si="69"/>
        <v>2017</v>
      </c>
      <c r="F839" s="217" t="str">
        <f t="shared" si="70"/>
        <v>1Q17</v>
      </c>
      <c r="G839" s="218">
        <v>42810</v>
      </c>
      <c r="H839" s="217">
        <v>3.1185</v>
      </c>
    </row>
    <row r="840" spans="2:8">
      <c r="B840" s="217" t="str">
        <f t="shared" si="67"/>
        <v>1Q</v>
      </c>
      <c r="C840" s="217">
        <f t="shared" si="71"/>
        <v>3</v>
      </c>
      <c r="D840" s="217" t="str">
        <f t="shared" si="68"/>
        <v>17</v>
      </c>
      <c r="E840">
        <f t="shared" si="69"/>
        <v>2017</v>
      </c>
      <c r="F840" s="217" t="str">
        <f t="shared" si="70"/>
        <v>1Q17</v>
      </c>
      <c r="G840" s="218">
        <v>42811</v>
      </c>
      <c r="H840" s="217">
        <v>3.0918000000000001</v>
      </c>
    </row>
    <row r="841" spans="2:8">
      <c r="B841" s="217" t="str">
        <f t="shared" si="67"/>
        <v>1Q</v>
      </c>
      <c r="C841" s="217">
        <f t="shared" si="71"/>
        <v>3</v>
      </c>
      <c r="D841" s="217" t="str">
        <f t="shared" si="68"/>
        <v>17</v>
      </c>
      <c r="E841">
        <f t="shared" si="69"/>
        <v>2017</v>
      </c>
      <c r="F841" s="217" t="str">
        <f t="shared" si="70"/>
        <v>1Q17</v>
      </c>
      <c r="G841" s="218">
        <v>42814</v>
      </c>
      <c r="H841" s="217">
        <v>3.0726</v>
      </c>
    </row>
    <row r="842" spans="2:8">
      <c r="B842" s="217" t="str">
        <f t="shared" si="67"/>
        <v>1Q</v>
      </c>
      <c r="C842" s="217">
        <f t="shared" si="71"/>
        <v>3</v>
      </c>
      <c r="D842" s="217" t="str">
        <f t="shared" si="68"/>
        <v>17</v>
      </c>
      <c r="E842">
        <f t="shared" si="69"/>
        <v>2017</v>
      </c>
      <c r="F842" s="217" t="str">
        <f t="shared" si="70"/>
        <v>1Q17</v>
      </c>
      <c r="G842" s="218">
        <v>42815</v>
      </c>
      <c r="H842" s="217">
        <v>3.0884</v>
      </c>
    </row>
    <row r="843" spans="2:8">
      <c r="B843" s="217" t="str">
        <f t="shared" si="67"/>
        <v>1Q</v>
      </c>
      <c r="C843" s="217">
        <f t="shared" si="71"/>
        <v>3</v>
      </c>
      <c r="D843" s="217" t="str">
        <f t="shared" si="68"/>
        <v>17</v>
      </c>
      <c r="E843">
        <f t="shared" si="69"/>
        <v>2017</v>
      </c>
      <c r="F843" s="217" t="str">
        <f t="shared" si="70"/>
        <v>1Q17</v>
      </c>
      <c r="G843" s="218">
        <v>42816</v>
      </c>
      <c r="H843" s="217">
        <v>3.0880000000000001</v>
      </c>
    </row>
    <row r="844" spans="2:8">
      <c r="B844" s="217" t="str">
        <f t="shared" si="67"/>
        <v>1Q</v>
      </c>
      <c r="C844" s="217">
        <f t="shared" si="71"/>
        <v>3</v>
      </c>
      <c r="D844" s="217" t="str">
        <f t="shared" si="68"/>
        <v>17</v>
      </c>
      <c r="E844">
        <f t="shared" si="69"/>
        <v>2017</v>
      </c>
      <c r="F844" s="217" t="str">
        <f t="shared" si="70"/>
        <v>1Q17</v>
      </c>
      <c r="G844" s="218">
        <v>42817</v>
      </c>
      <c r="H844" s="217">
        <v>3.1395</v>
      </c>
    </row>
    <row r="845" spans="2:8">
      <c r="B845" s="217" t="str">
        <f t="shared" si="67"/>
        <v>1Q</v>
      </c>
      <c r="C845" s="217">
        <f t="shared" si="71"/>
        <v>3</v>
      </c>
      <c r="D845" s="217" t="str">
        <f t="shared" si="68"/>
        <v>17</v>
      </c>
      <c r="E845">
        <f t="shared" si="69"/>
        <v>2017</v>
      </c>
      <c r="F845" s="217" t="str">
        <f t="shared" si="70"/>
        <v>1Q17</v>
      </c>
      <c r="G845" s="218">
        <v>42818</v>
      </c>
      <c r="H845" s="217">
        <v>3.1086</v>
      </c>
    </row>
    <row r="846" spans="2:8">
      <c r="B846" s="217" t="str">
        <f t="shared" si="67"/>
        <v>1Q</v>
      </c>
      <c r="C846" s="217">
        <f t="shared" si="71"/>
        <v>3</v>
      </c>
      <c r="D846" s="217" t="str">
        <f t="shared" si="68"/>
        <v>17</v>
      </c>
      <c r="E846">
        <f t="shared" si="69"/>
        <v>2017</v>
      </c>
      <c r="F846" s="217" t="str">
        <f t="shared" si="70"/>
        <v>1Q17</v>
      </c>
      <c r="G846" s="218">
        <v>42821</v>
      </c>
      <c r="H846" s="217">
        <v>3.1265000000000001</v>
      </c>
    </row>
    <row r="847" spans="2:8">
      <c r="B847" s="217" t="str">
        <f t="shared" si="67"/>
        <v>1Q</v>
      </c>
      <c r="C847" s="217">
        <f t="shared" si="71"/>
        <v>3</v>
      </c>
      <c r="D847" s="217" t="str">
        <f t="shared" si="68"/>
        <v>17</v>
      </c>
      <c r="E847">
        <f t="shared" si="69"/>
        <v>2017</v>
      </c>
      <c r="F847" s="217" t="str">
        <f t="shared" si="70"/>
        <v>1Q17</v>
      </c>
      <c r="G847" s="218">
        <v>42822</v>
      </c>
      <c r="H847" s="217">
        <v>3.1412</v>
      </c>
    </row>
    <row r="848" spans="2:8">
      <c r="B848" s="217" t="str">
        <f t="shared" si="67"/>
        <v>1Q</v>
      </c>
      <c r="C848" s="217">
        <f t="shared" si="71"/>
        <v>3</v>
      </c>
      <c r="D848" s="217" t="str">
        <f t="shared" si="68"/>
        <v>17</v>
      </c>
      <c r="E848">
        <f t="shared" si="69"/>
        <v>2017</v>
      </c>
      <c r="F848" s="217" t="str">
        <f t="shared" si="70"/>
        <v>1Q17</v>
      </c>
      <c r="G848" s="218">
        <v>42823</v>
      </c>
      <c r="H848" s="217">
        <v>3.1198999999999999</v>
      </c>
    </row>
    <row r="849" spans="2:8">
      <c r="B849" s="217" t="str">
        <f t="shared" si="67"/>
        <v>1Q</v>
      </c>
      <c r="C849" s="217">
        <f t="shared" si="71"/>
        <v>3</v>
      </c>
      <c r="D849" s="217" t="str">
        <f t="shared" si="68"/>
        <v>17</v>
      </c>
      <c r="E849">
        <f t="shared" si="69"/>
        <v>2017</v>
      </c>
      <c r="F849" s="217" t="str">
        <f t="shared" si="70"/>
        <v>1Q17</v>
      </c>
      <c r="G849" s="218">
        <v>42824</v>
      </c>
      <c r="H849" s="217">
        <v>3.1495000000000002</v>
      </c>
    </row>
    <row r="850" spans="2:8">
      <c r="B850" s="217" t="str">
        <f t="shared" si="67"/>
        <v>1Q</v>
      </c>
      <c r="C850" s="217">
        <f t="shared" si="71"/>
        <v>3</v>
      </c>
      <c r="D850" s="217" t="str">
        <f t="shared" si="68"/>
        <v>17</v>
      </c>
      <c r="E850">
        <f t="shared" si="69"/>
        <v>2017</v>
      </c>
      <c r="F850" s="217" t="str">
        <f t="shared" si="70"/>
        <v>1Q17</v>
      </c>
      <c r="G850" s="218">
        <v>42825</v>
      </c>
      <c r="H850" s="217">
        <v>3.1233</v>
      </c>
    </row>
    <row r="851" spans="2:8">
      <c r="B851" s="217" t="str">
        <f t="shared" si="67"/>
        <v>2Q</v>
      </c>
      <c r="C851" s="217">
        <f t="shared" si="71"/>
        <v>4</v>
      </c>
      <c r="D851" s="217" t="str">
        <f t="shared" si="68"/>
        <v>17</v>
      </c>
      <c r="E851">
        <f t="shared" si="69"/>
        <v>2017</v>
      </c>
      <c r="F851" s="217" t="str">
        <f t="shared" si="70"/>
        <v>2Q17</v>
      </c>
      <c r="G851" s="218">
        <v>42828</v>
      </c>
      <c r="H851" s="217">
        <v>3.1147</v>
      </c>
    </row>
    <row r="852" spans="2:8">
      <c r="B852" s="217" t="str">
        <f t="shared" si="67"/>
        <v>2Q</v>
      </c>
      <c r="C852" s="217">
        <f t="shared" si="71"/>
        <v>4</v>
      </c>
      <c r="D852" s="217" t="str">
        <f t="shared" si="68"/>
        <v>17</v>
      </c>
      <c r="E852">
        <f t="shared" si="69"/>
        <v>2017</v>
      </c>
      <c r="F852" s="217" t="str">
        <f t="shared" si="70"/>
        <v>2Q17</v>
      </c>
      <c r="G852" s="218">
        <v>42829</v>
      </c>
      <c r="H852" s="217">
        <v>3.0939000000000001</v>
      </c>
    </row>
    <row r="853" spans="2:8">
      <c r="B853" s="217" t="str">
        <f t="shared" si="67"/>
        <v>2Q</v>
      </c>
      <c r="C853" s="217">
        <f t="shared" si="71"/>
        <v>4</v>
      </c>
      <c r="D853" s="217" t="str">
        <f t="shared" si="68"/>
        <v>17</v>
      </c>
      <c r="E853">
        <f t="shared" si="69"/>
        <v>2017</v>
      </c>
      <c r="F853" s="217" t="str">
        <f t="shared" si="70"/>
        <v>2Q17</v>
      </c>
      <c r="G853" s="218">
        <v>42830</v>
      </c>
      <c r="H853" s="217">
        <v>3.1202999999999999</v>
      </c>
    </row>
    <row r="854" spans="2:8">
      <c r="B854" s="217" t="str">
        <f t="shared" si="67"/>
        <v>2Q</v>
      </c>
      <c r="C854" s="217">
        <f t="shared" si="71"/>
        <v>4</v>
      </c>
      <c r="D854" s="217" t="str">
        <f t="shared" si="68"/>
        <v>17</v>
      </c>
      <c r="E854">
        <f t="shared" si="69"/>
        <v>2017</v>
      </c>
      <c r="F854" s="217" t="str">
        <f t="shared" si="70"/>
        <v>2Q17</v>
      </c>
      <c r="G854" s="218">
        <v>42831</v>
      </c>
      <c r="H854" s="217">
        <v>3.1425999999999998</v>
      </c>
    </row>
    <row r="855" spans="2:8">
      <c r="B855" s="217" t="str">
        <f t="shared" si="67"/>
        <v>2Q</v>
      </c>
      <c r="C855" s="217">
        <f t="shared" si="71"/>
        <v>4</v>
      </c>
      <c r="D855" s="217" t="str">
        <f t="shared" si="68"/>
        <v>17</v>
      </c>
      <c r="E855">
        <f t="shared" si="69"/>
        <v>2017</v>
      </c>
      <c r="F855" s="217" t="str">
        <f t="shared" si="70"/>
        <v>2Q17</v>
      </c>
      <c r="G855" s="218">
        <v>42832</v>
      </c>
      <c r="H855" s="217">
        <v>3.1461999999999999</v>
      </c>
    </row>
    <row r="856" spans="2:8">
      <c r="B856" s="217" t="str">
        <f t="shared" si="67"/>
        <v>2Q</v>
      </c>
      <c r="C856" s="217">
        <f t="shared" si="71"/>
        <v>4</v>
      </c>
      <c r="D856" s="217" t="str">
        <f t="shared" si="68"/>
        <v>17</v>
      </c>
      <c r="E856">
        <f t="shared" si="69"/>
        <v>2017</v>
      </c>
      <c r="F856" s="217" t="str">
        <f t="shared" si="70"/>
        <v>2Q17</v>
      </c>
      <c r="G856" s="218">
        <v>42835</v>
      </c>
      <c r="H856" s="217">
        <v>3.1320000000000001</v>
      </c>
    </row>
    <row r="857" spans="2:8">
      <c r="B857" s="217" t="str">
        <f t="shared" si="67"/>
        <v>2Q</v>
      </c>
      <c r="C857" s="217">
        <f t="shared" si="71"/>
        <v>4</v>
      </c>
      <c r="D857" s="217" t="str">
        <f t="shared" si="68"/>
        <v>17</v>
      </c>
      <c r="E857">
        <f t="shared" si="69"/>
        <v>2017</v>
      </c>
      <c r="F857" s="217" t="str">
        <f t="shared" si="70"/>
        <v>2Q17</v>
      </c>
      <c r="G857" s="218">
        <v>42836</v>
      </c>
      <c r="H857" s="217">
        <v>3.1372</v>
      </c>
    </row>
    <row r="858" spans="2:8">
      <c r="B858" s="217" t="str">
        <f t="shared" si="67"/>
        <v>2Q</v>
      </c>
      <c r="C858" s="217">
        <f t="shared" si="71"/>
        <v>4</v>
      </c>
      <c r="D858" s="217" t="str">
        <f t="shared" si="68"/>
        <v>17</v>
      </c>
      <c r="E858">
        <f t="shared" si="69"/>
        <v>2017</v>
      </c>
      <c r="F858" s="217" t="str">
        <f t="shared" si="70"/>
        <v>2Q17</v>
      </c>
      <c r="G858" s="218">
        <v>42837</v>
      </c>
      <c r="H858" s="217">
        <v>3.1257999999999999</v>
      </c>
    </row>
    <row r="859" spans="2:8">
      <c r="B859" s="217" t="str">
        <f t="shared" si="67"/>
        <v>2Q</v>
      </c>
      <c r="C859" s="217">
        <f t="shared" si="71"/>
        <v>4</v>
      </c>
      <c r="D859" s="217" t="str">
        <f t="shared" si="68"/>
        <v>17</v>
      </c>
      <c r="E859">
        <f t="shared" si="69"/>
        <v>2017</v>
      </c>
      <c r="F859" s="217" t="str">
        <f t="shared" si="70"/>
        <v>2Q17</v>
      </c>
      <c r="G859" s="218">
        <v>42838</v>
      </c>
      <c r="H859" s="217">
        <v>3.1444000000000001</v>
      </c>
    </row>
    <row r="860" spans="2:8">
      <c r="B860" s="217" t="str">
        <f t="shared" si="67"/>
        <v>2Q</v>
      </c>
      <c r="C860" s="217">
        <f t="shared" si="71"/>
        <v>4</v>
      </c>
      <c r="D860" s="217" t="str">
        <f t="shared" si="68"/>
        <v>17</v>
      </c>
      <c r="E860">
        <f t="shared" si="69"/>
        <v>2017</v>
      </c>
      <c r="F860" s="217" t="str">
        <f t="shared" si="70"/>
        <v>2Q17</v>
      </c>
      <c r="G860" s="218">
        <v>42839</v>
      </c>
      <c r="H860" s="217">
        <v>3.1448</v>
      </c>
    </row>
    <row r="861" spans="2:8">
      <c r="B861" s="217" t="str">
        <f t="shared" si="67"/>
        <v>2Q</v>
      </c>
      <c r="C861" s="217">
        <f t="shared" si="71"/>
        <v>4</v>
      </c>
      <c r="D861" s="217" t="str">
        <f t="shared" si="68"/>
        <v>17</v>
      </c>
      <c r="E861">
        <f t="shared" si="69"/>
        <v>2017</v>
      </c>
      <c r="F861" s="217" t="str">
        <f t="shared" si="70"/>
        <v>2Q17</v>
      </c>
      <c r="G861" s="218">
        <v>42842</v>
      </c>
      <c r="H861" s="217">
        <v>3.0985</v>
      </c>
    </row>
    <row r="862" spans="2:8">
      <c r="B862" s="217" t="str">
        <f t="shared" si="67"/>
        <v>2Q</v>
      </c>
      <c r="C862" s="217">
        <f t="shared" si="71"/>
        <v>4</v>
      </c>
      <c r="D862" s="217" t="str">
        <f t="shared" si="68"/>
        <v>17</v>
      </c>
      <c r="E862">
        <f t="shared" si="69"/>
        <v>2017</v>
      </c>
      <c r="F862" s="217" t="str">
        <f t="shared" si="70"/>
        <v>2Q17</v>
      </c>
      <c r="G862" s="218">
        <v>42843</v>
      </c>
      <c r="H862" s="217">
        <v>3.1078999999999999</v>
      </c>
    </row>
    <row r="863" spans="2:8">
      <c r="B863" s="217" t="str">
        <f t="shared" si="67"/>
        <v>2Q</v>
      </c>
      <c r="C863" s="217">
        <f t="shared" si="71"/>
        <v>4</v>
      </c>
      <c r="D863" s="217" t="str">
        <f t="shared" si="68"/>
        <v>17</v>
      </c>
      <c r="E863">
        <f t="shared" si="69"/>
        <v>2017</v>
      </c>
      <c r="F863" s="217" t="str">
        <f t="shared" si="70"/>
        <v>2Q17</v>
      </c>
      <c r="G863" s="218">
        <v>42844</v>
      </c>
      <c r="H863" s="217">
        <v>3.1522000000000001</v>
      </c>
    </row>
    <row r="864" spans="2:8">
      <c r="B864" s="217" t="str">
        <f t="shared" si="67"/>
        <v>2Q</v>
      </c>
      <c r="C864" s="217">
        <f t="shared" si="71"/>
        <v>4</v>
      </c>
      <c r="D864" s="217" t="str">
        <f t="shared" si="68"/>
        <v>17</v>
      </c>
      <c r="E864">
        <f t="shared" si="69"/>
        <v>2017</v>
      </c>
      <c r="F864" s="217" t="str">
        <f t="shared" si="70"/>
        <v>2Q17</v>
      </c>
      <c r="G864" s="218">
        <v>42845</v>
      </c>
      <c r="H864" s="217">
        <v>3.1486000000000001</v>
      </c>
    </row>
    <row r="865" spans="2:8">
      <c r="B865" s="217" t="str">
        <f t="shared" si="67"/>
        <v>2Q</v>
      </c>
      <c r="C865" s="217">
        <f t="shared" si="71"/>
        <v>4</v>
      </c>
      <c r="D865" s="217" t="str">
        <f t="shared" si="68"/>
        <v>17</v>
      </c>
      <c r="E865">
        <f t="shared" si="69"/>
        <v>2017</v>
      </c>
      <c r="F865" s="217" t="str">
        <f t="shared" si="70"/>
        <v>2Q17</v>
      </c>
      <c r="G865" s="218">
        <v>42846</v>
      </c>
      <c r="H865" s="217">
        <v>3.1482000000000001</v>
      </c>
    </row>
    <row r="866" spans="2:8">
      <c r="B866" s="217" t="str">
        <f t="shared" si="67"/>
        <v>2Q</v>
      </c>
      <c r="C866" s="217">
        <f t="shared" si="71"/>
        <v>4</v>
      </c>
      <c r="D866" s="217" t="str">
        <f t="shared" si="68"/>
        <v>17</v>
      </c>
      <c r="E866">
        <f t="shared" si="69"/>
        <v>2017</v>
      </c>
      <c r="F866" s="217" t="str">
        <f t="shared" si="70"/>
        <v>2Q17</v>
      </c>
      <c r="G866" s="218">
        <v>42849</v>
      </c>
      <c r="H866" s="217">
        <v>3.1280000000000001</v>
      </c>
    </row>
    <row r="867" spans="2:8">
      <c r="B867" s="217" t="str">
        <f t="shared" si="67"/>
        <v>2Q</v>
      </c>
      <c r="C867" s="217">
        <f t="shared" si="71"/>
        <v>4</v>
      </c>
      <c r="D867" s="217" t="str">
        <f t="shared" si="68"/>
        <v>17</v>
      </c>
      <c r="E867">
        <f t="shared" si="69"/>
        <v>2017</v>
      </c>
      <c r="F867" s="217" t="str">
        <f t="shared" si="70"/>
        <v>2Q17</v>
      </c>
      <c r="G867" s="218">
        <v>42850</v>
      </c>
      <c r="H867" s="217">
        <v>3.1471</v>
      </c>
    </row>
    <row r="868" spans="2:8">
      <c r="B868" s="217" t="str">
        <f t="shared" si="67"/>
        <v>2Q</v>
      </c>
      <c r="C868" s="217">
        <f t="shared" si="71"/>
        <v>4</v>
      </c>
      <c r="D868" s="217" t="str">
        <f t="shared" si="68"/>
        <v>17</v>
      </c>
      <c r="E868">
        <f t="shared" si="69"/>
        <v>2017</v>
      </c>
      <c r="F868" s="217" t="str">
        <f t="shared" si="70"/>
        <v>2Q17</v>
      </c>
      <c r="G868" s="218">
        <v>42851</v>
      </c>
      <c r="H868" s="217">
        <v>3.1722999999999999</v>
      </c>
    </row>
    <row r="869" spans="2:8">
      <c r="B869" s="217" t="str">
        <f t="shared" si="67"/>
        <v>2Q</v>
      </c>
      <c r="C869" s="217">
        <f t="shared" si="71"/>
        <v>4</v>
      </c>
      <c r="D869" s="217" t="str">
        <f t="shared" si="68"/>
        <v>17</v>
      </c>
      <c r="E869">
        <f t="shared" si="69"/>
        <v>2017</v>
      </c>
      <c r="F869" s="217" t="str">
        <f t="shared" si="70"/>
        <v>2Q17</v>
      </c>
      <c r="G869" s="218">
        <v>42852</v>
      </c>
      <c r="H869" s="217">
        <v>3.1833999999999998</v>
      </c>
    </row>
    <row r="870" spans="2:8">
      <c r="B870" s="217" t="str">
        <f t="shared" si="67"/>
        <v>2Q</v>
      </c>
      <c r="C870" s="217">
        <f t="shared" si="71"/>
        <v>4</v>
      </c>
      <c r="D870" s="217" t="str">
        <f t="shared" si="68"/>
        <v>17</v>
      </c>
      <c r="E870">
        <f t="shared" si="69"/>
        <v>2017</v>
      </c>
      <c r="F870" s="217" t="str">
        <f t="shared" si="70"/>
        <v>2Q17</v>
      </c>
      <c r="G870" s="218">
        <v>42853</v>
      </c>
      <c r="H870" s="217">
        <v>3.1766999999999999</v>
      </c>
    </row>
    <row r="871" spans="2:8">
      <c r="B871" s="217" t="str">
        <f t="shared" si="67"/>
        <v>2Q</v>
      </c>
      <c r="C871" s="217">
        <f t="shared" si="71"/>
        <v>5</v>
      </c>
      <c r="D871" s="217" t="str">
        <f t="shared" si="68"/>
        <v>17</v>
      </c>
      <c r="E871">
        <f t="shared" si="69"/>
        <v>2017</v>
      </c>
      <c r="F871" s="217" t="str">
        <f t="shared" si="70"/>
        <v>2Q17</v>
      </c>
      <c r="G871" s="218">
        <v>42856</v>
      </c>
      <c r="H871" s="217">
        <v>3.1764999999999999</v>
      </c>
    </row>
    <row r="872" spans="2:8">
      <c r="B872" s="217" t="str">
        <f t="shared" si="67"/>
        <v>2Q</v>
      </c>
      <c r="C872" s="217">
        <f t="shared" si="71"/>
        <v>5</v>
      </c>
      <c r="D872" s="217" t="str">
        <f t="shared" si="68"/>
        <v>17</v>
      </c>
      <c r="E872">
        <f t="shared" si="69"/>
        <v>2017</v>
      </c>
      <c r="F872" s="217" t="str">
        <f t="shared" si="70"/>
        <v>2Q17</v>
      </c>
      <c r="G872" s="218">
        <v>42857</v>
      </c>
      <c r="H872" s="217">
        <v>3.1516999999999999</v>
      </c>
    </row>
    <row r="873" spans="2:8">
      <c r="B873" s="217" t="str">
        <f t="shared" si="67"/>
        <v>2Q</v>
      </c>
      <c r="C873" s="217">
        <f t="shared" si="71"/>
        <v>5</v>
      </c>
      <c r="D873" s="217" t="str">
        <f t="shared" si="68"/>
        <v>17</v>
      </c>
      <c r="E873">
        <f t="shared" si="69"/>
        <v>2017</v>
      </c>
      <c r="F873" s="217" t="str">
        <f t="shared" si="70"/>
        <v>2Q17</v>
      </c>
      <c r="G873" s="218">
        <v>42858</v>
      </c>
      <c r="H873" s="217">
        <v>3.1652</v>
      </c>
    </row>
    <row r="874" spans="2:8">
      <c r="B874" s="217" t="str">
        <f t="shared" si="67"/>
        <v>2Q</v>
      </c>
      <c r="C874" s="217">
        <f t="shared" si="71"/>
        <v>5</v>
      </c>
      <c r="D874" s="217" t="str">
        <f t="shared" si="68"/>
        <v>17</v>
      </c>
      <c r="E874">
        <f t="shared" si="69"/>
        <v>2017</v>
      </c>
      <c r="F874" s="217" t="str">
        <f t="shared" si="70"/>
        <v>2Q17</v>
      </c>
      <c r="G874" s="218">
        <v>42859</v>
      </c>
      <c r="H874" s="217">
        <v>3.1884999999999999</v>
      </c>
    </row>
    <row r="875" spans="2:8">
      <c r="B875" s="217" t="str">
        <f t="shared" si="67"/>
        <v>2Q</v>
      </c>
      <c r="C875" s="217">
        <f t="shared" si="71"/>
        <v>5</v>
      </c>
      <c r="D875" s="217" t="str">
        <f t="shared" si="68"/>
        <v>17</v>
      </c>
      <c r="E875">
        <f t="shared" si="69"/>
        <v>2017</v>
      </c>
      <c r="F875" s="217" t="str">
        <f t="shared" si="70"/>
        <v>2Q17</v>
      </c>
      <c r="G875" s="218">
        <v>42860</v>
      </c>
      <c r="H875" s="217">
        <v>3.1774</v>
      </c>
    </row>
    <row r="876" spans="2:8">
      <c r="B876" s="217" t="str">
        <f t="shared" si="67"/>
        <v>2Q</v>
      </c>
      <c r="C876" s="217">
        <f t="shared" si="71"/>
        <v>5</v>
      </c>
      <c r="D876" s="217" t="str">
        <f t="shared" si="68"/>
        <v>17</v>
      </c>
      <c r="E876">
        <f t="shared" si="69"/>
        <v>2017</v>
      </c>
      <c r="F876" s="217" t="str">
        <f t="shared" si="70"/>
        <v>2Q17</v>
      </c>
      <c r="G876" s="218">
        <v>42863</v>
      </c>
      <c r="H876" s="217">
        <v>3.198</v>
      </c>
    </row>
    <row r="877" spans="2:8">
      <c r="B877" s="217" t="str">
        <f t="shared" si="67"/>
        <v>2Q</v>
      </c>
      <c r="C877" s="217">
        <f t="shared" si="71"/>
        <v>5</v>
      </c>
      <c r="D877" s="217" t="str">
        <f t="shared" si="68"/>
        <v>17</v>
      </c>
      <c r="E877">
        <f t="shared" si="69"/>
        <v>2017</v>
      </c>
      <c r="F877" s="217" t="str">
        <f t="shared" si="70"/>
        <v>2Q17</v>
      </c>
      <c r="G877" s="218">
        <v>42864</v>
      </c>
      <c r="H877" s="217">
        <v>3.1901999999999999</v>
      </c>
    </row>
    <row r="878" spans="2:8">
      <c r="B878" s="217" t="str">
        <f t="shared" si="67"/>
        <v>2Q</v>
      </c>
      <c r="C878" s="217">
        <f t="shared" si="71"/>
        <v>5</v>
      </c>
      <c r="D878" s="217" t="str">
        <f t="shared" si="68"/>
        <v>17</v>
      </c>
      <c r="E878">
        <f t="shared" si="69"/>
        <v>2017</v>
      </c>
      <c r="F878" s="217" t="str">
        <f t="shared" si="70"/>
        <v>2Q17</v>
      </c>
      <c r="G878" s="218">
        <v>42865</v>
      </c>
      <c r="H878" s="217">
        <v>3.1678000000000002</v>
      </c>
    </row>
    <row r="879" spans="2:8">
      <c r="B879" s="217" t="str">
        <f t="shared" si="67"/>
        <v>2Q</v>
      </c>
      <c r="C879" s="217">
        <f t="shared" si="71"/>
        <v>5</v>
      </c>
      <c r="D879" s="217" t="str">
        <f t="shared" si="68"/>
        <v>17</v>
      </c>
      <c r="E879">
        <f t="shared" si="69"/>
        <v>2017</v>
      </c>
      <c r="F879" s="217" t="str">
        <f t="shared" si="70"/>
        <v>2Q17</v>
      </c>
      <c r="G879" s="218">
        <v>42866</v>
      </c>
      <c r="H879" s="217">
        <v>3.1402999999999999</v>
      </c>
    </row>
    <row r="880" spans="2:8">
      <c r="B880" s="217" t="str">
        <f t="shared" si="67"/>
        <v>2Q</v>
      </c>
      <c r="C880" s="217">
        <f t="shared" si="71"/>
        <v>5</v>
      </c>
      <c r="D880" s="217" t="str">
        <f t="shared" si="68"/>
        <v>17</v>
      </c>
      <c r="E880">
        <f t="shared" si="69"/>
        <v>2017</v>
      </c>
      <c r="F880" s="217" t="str">
        <f t="shared" si="70"/>
        <v>2Q17</v>
      </c>
      <c r="G880" s="218">
        <v>42867</v>
      </c>
      <c r="H880" s="217">
        <v>3.1217999999999999</v>
      </c>
    </row>
    <row r="881" spans="2:8">
      <c r="B881" s="217" t="str">
        <f t="shared" si="67"/>
        <v>2Q</v>
      </c>
      <c r="C881" s="217">
        <f t="shared" si="71"/>
        <v>5</v>
      </c>
      <c r="D881" s="217" t="str">
        <f t="shared" si="68"/>
        <v>17</v>
      </c>
      <c r="E881">
        <f t="shared" si="69"/>
        <v>2017</v>
      </c>
      <c r="F881" s="217" t="str">
        <f t="shared" si="70"/>
        <v>2Q17</v>
      </c>
      <c r="G881" s="218">
        <v>42870</v>
      </c>
      <c r="H881" s="217">
        <v>3.1113</v>
      </c>
    </row>
    <row r="882" spans="2:8">
      <c r="B882" s="217" t="str">
        <f t="shared" si="67"/>
        <v>2Q</v>
      </c>
      <c r="C882" s="217">
        <f t="shared" si="71"/>
        <v>5</v>
      </c>
      <c r="D882" s="217" t="str">
        <f t="shared" si="68"/>
        <v>17</v>
      </c>
      <c r="E882">
        <f t="shared" si="69"/>
        <v>2017</v>
      </c>
      <c r="F882" s="217" t="str">
        <f t="shared" si="70"/>
        <v>2Q17</v>
      </c>
      <c r="G882" s="218">
        <v>42871</v>
      </c>
      <c r="H882" s="217">
        <v>3.0964</v>
      </c>
    </row>
    <row r="883" spans="2:8">
      <c r="B883" s="217" t="str">
        <f t="shared" si="67"/>
        <v>2Q</v>
      </c>
      <c r="C883" s="217">
        <f t="shared" si="71"/>
        <v>5</v>
      </c>
      <c r="D883" s="217" t="str">
        <f t="shared" si="68"/>
        <v>17</v>
      </c>
      <c r="E883">
        <f t="shared" si="69"/>
        <v>2017</v>
      </c>
      <c r="F883" s="217" t="str">
        <f t="shared" si="70"/>
        <v>2Q17</v>
      </c>
      <c r="G883" s="218">
        <v>42872</v>
      </c>
      <c r="H883" s="217">
        <v>3.1379999999999999</v>
      </c>
    </row>
    <row r="884" spans="2:8">
      <c r="B884" s="217" t="str">
        <f t="shared" si="67"/>
        <v>2Q</v>
      </c>
      <c r="C884" s="217">
        <f t="shared" si="71"/>
        <v>5</v>
      </c>
      <c r="D884" s="217" t="str">
        <f t="shared" si="68"/>
        <v>17</v>
      </c>
      <c r="E884">
        <f t="shared" si="69"/>
        <v>2017</v>
      </c>
      <c r="F884" s="217" t="str">
        <f t="shared" si="70"/>
        <v>2Q17</v>
      </c>
      <c r="G884" s="218">
        <v>42873</v>
      </c>
      <c r="H884" s="217">
        <v>3.371</v>
      </c>
    </row>
    <row r="885" spans="2:8">
      <c r="B885" s="217" t="str">
        <f t="shared" si="67"/>
        <v>2Q</v>
      </c>
      <c r="C885" s="217">
        <f t="shared" si="71"/>
        <v>5</v>
      </c>
      <c r="D885" s="217" t="str">
        <f t="shared" si="68"/>
        <v>17</v>
      </c>
      <c r="E885">
        <f t="shared" si="69"/>
        <v>2017</v>
      </c>
      <c r="F885" s="217" t="str">
        <f t="shared" si="70"/>
        <v>2Q17</v>
      </c>
      <c r="G885" s="218">
        <v>42874</v>
      </c>
      <c r="H885" s="217">
        <v>3.2530000000000001</v>
      </c>
    </row>
    <row r="886" spans="2:8">
      <c r="B886" s="217" t="str">
        <f t="shared" si="67"/>
        <v>2Q</v>
      </c>
      <c r="C886" s="217">
        <f t="shared" si="71"/>
        <v>5</v>
      </c>
      <c r="D886" s="217" t="str">
        <f t="shared" si="68"/>
        <v>17</v>
      </c>
      <c r="E886">
        <f t="shared" si="69"/>
        <v>2017</v>
      </c>
      <c r="F886" s="217" t="str">
        <f t="shared" si="70"/>
        <v>2Q17</v>
      </c>
      <c r="G886" s="218">
        <v>42877</v>
      </c>
      <c r="H886" s="217">
        <v>3.2656000000000001</v>
      </c>
    </row>
    <row r="887" spans="2:8">
      <c r="B887" s="217" t="str">
        <f t="shared" si="67"/>
        <v>2Q</v>
      </c>
      <c r="C887" s="217">
        <f t="shared" si="71"/>
        <v>5</v>
      </c>
      <c r="D887" s="217" t="str">
        <f t="shared" si="68"/>
        <v>17</v>
      </c>
      <c r="E887">
        <f t="shared" si="69"/>
        <v>2017</v>
      </c>
      <c r="F887" s="217" t="str">
        <f t="shared" si="70"/>
        <v>2Q17</v>
      </c>
      <c r="G887" s="218">
        <v>42878</v>
      </c>
      <c r="H887" s="217">
        <v>3.2705000000000002</v>
      </c>
    </row>
    <row r="888" spans="2:8">
      <c r="B888" s="217" t="str">
        <f t="shared" si="67"/>
        <v>2Q</v>
      </c>
      <c r="C888" s="217">
        <f t="shared" si="71"/>
        <v>5</v>
      </c>
      <c r="D888" s="217" t="str">
        <f t="shared" si="68"/>
        <v>17</v>
      </c>
      <c r="E888">
        <f t="shared" si="69"/>
        <v>2017</v>
      </c>
      <c r="F888" s="217" t="str">
        <f t="shared" si="70"/>
        <v>2Q17</v>
      </c>
      <c r="G888" s="218">
        <v>42879</v>
      </c>
      <c r="H888" s="217">
        <v>3.2784</v>
      </c>
    </row>
    <row r="889" spans="2:8">
      <c r="B889" s="217" t="str">
        <f t="shared" si="67"/>
        <v>2Q</v>
      </c>
      <c r="C889" s="217">
        <f t="shared" si="71"/>
        <v>5</v>
      </c>
      <c r="D889" s="217" t="str">
        <f t="shared" si="68"/>
        <v>17</v>
      </c>
      <c r="E889">
        <f t="shared" si="69"/>
        <v>2017</v>
      </c>
      <c r="F889" s="217" t="str">
        <f t="shared" si="70"/>
        <v>2Q17</v>
      </c>
      <c r="G889" s="218">
        <v>42880</v>
      </c>
      <c r="H889" s="217">
        <v>3.2736000000000001</v>
      </c>
    </row>
    <row r="890" spans="2:8">
      <c r="B890" s="217" t="str">
        <f t="shared" si="67"/>
        <v>2Q</v>
      </c>
      <c r="C890" s="217">
        <f t="shared" si="71"/>
        <v>5</v>
      </c>
      <c r="D890" s="217" t="str">
        <f t="shared" si="68"/>
        <v>17</v>
      </c>
      <c r="E890">
        <f t="shared" si="69"/>
        <v>2017</v>
      </c>
      <c r="F890" s="217" t="str">
        <f t="shared" si="70"/>
        <v>2Q17</v>
      </c>
      <c r="G890" s="218">
        <v>42881</v>
      </c>
      <c r="H890" s="217">
        <v>3.2601</v>
      </c>
    </row>
    <row r="891" spans="2:8">
      <c r="B891" s="217" t="str">
        <f t="shared" si="67"/>
        <v>2Q</v>
      </c>
      <c r="C891" s="217">
        <f t="shared" si="71"/>
        <v>5</v>
      </c>
      <c r="D891" s="217" t="str">
        <f t="shared" si="68"/>
        <v>17</v>
      </c>
      <c r="E891">
        <f t="shared" si="69"/>
        <v>2017</v>
      </c>
      <c r="F891" s="217" t="str">
        <f t="shared" si="70"/>
        <v>2Q17</v>
      </c>
      <c r="G891" s="218">
        <v>42884</v>
      </c>
      <c r="H891" s="217">
        <v>3.2566999999999999</v>
      </c>
    </row>
    <row r="892" spans="2:8">
      <c r="B892" s="217" t="str">
        <f t="shared" si="67"/>
        <v>2Q</v>
      </c>
      <c r="C892" s="217">
        <f t="shared" si="71"/>
        <v>5</v>
      </c>
      <c r="D892" s="217" t="str">
        <f t="shared" si="68"/>
        <v>17</v>
      </c>
      <c r="E892">
        <f t="shared" si="69"/>
        <v>2017</v>
      </c>
      <c r="F892" s="217" t="str">
        <f t="shared" si="70"/>
        <v>2Q17</v>
      </c>
      <c r="G892" s="218">
        <v>42885</v>
      </c>
      <c r="H892" s="217">
        <v>3.2576999999999998</v>
      </c>
    </row>
    <row r="893" spans="2:8">
      <c r="B893" s="217" t="str">
        <f t="shared" si="67"/>
        <v>2Q</v>
      </c>
      <c r="C893" s="217">
        <f t="shared" si="71"/>
        <v>5</v>
      </c>
      <c r="D893" s="217" t="str">
        <f t="shared" si="68"/>
        <v>17</v>
      </c>
      <c r="E893">
        <f t="shared" si="69"/>
        <v>2017</v>
      </c>
      <c r="F893" s="217" t="str">
        <f t="shared" si="70"/>
        <v>2Q17</v>
      </c>
      <c r="G893" s="218">
        <v>42886</v>
      </c>
      <c r="H893" s="217">
        <v>3.2265999999999999</v>
      </c>
    </row>
    <row r="894" spans="2:8">
      <c r="B894" s="217" t="str">
        <f t="shared" si="67"/>
        <v>2Q</v>
      </c>
      <c r="C894" s="217">
        <f t="shared" si="71"/>
        <v>6</v>
      </c>
      <c r="D894" s="217" t="str">
        <f t="shared" si="68"/>
        <v>17</v>
      </c>
      <c r="E894">
        <f t="shared" si="69"/>
        <v>2017</v>
      </c>
      <c r="F894" s="217" t="str">
        <f t="shared" si="70"/>
        <v>2Q17</v>
      </c>
      <c r="G894" s="218">
        <v>42887</v>
      </c>
      <c r="H894" s="217">
        <v>3.2505999999999999</v>
      </c>
    </row>
    <row r="895" spans="2:8">
      <c r="B895" s="217" t="str">
        <f t="shared" si="67"/>
        <v>2Q</v>
      </c>
      <c r="C895" s="217">
        <f t="shared" si="71"/>
        <v>6</v>
      </c>
      <c r="D895" s="217" t="str">
        <f t="shared" si="68"/>
        <v>17</v>
      </c>
      <c r="E895">
        <f t="shared" si="69"/>
        <v>2017</v>
      </c>
      <c r="F895" s="217" t="str">
        <f t="shared" si="70"/>
        <v>2Q17</v>
      </c>
      <c r="G895" s="218">
        <v>42888</v>
      </c>
      <c r="H895" s="217">
        <v>3.2483</v>
      </c>
    </row>
    <row r="896" spans="2:8">
      <c r="B896" s="217" t="str">
        <f t="shared" si="67"/>
        <v>2Q</v>
      </c>
      <c r="C896" s="217">
        <f t="shared" si="71"/>
        <v>6</v>
      </c>
      <c r="D896" s="217" t="str">
        <f t="shared" si="68"/>
        <v>17</v>
      </c>
      <c r="E896">
        <f t="shared" si="69"/>
        <v>2017</v>
      </c>
      <c r="F896" s="217" t="str">
        <f t="shared" si="70"/>
        <v>2Q17</v>
      </c>
      <c r="G896" s="218">
        <v>42891</v>
      </c>
      <c r="H896" s="217">
        <v>3.2968999999999999</v>
      </c>
    </row>
    <row r="897" spans="2:8">
      <c r="B897" s="217" t="str">
        <f t="shared" si="67"/>
        <v>2Q</v>
      </c>
      <c r="C897" s="217">
        <f t="shared" si="71"/>
        <v>6</v>
      </c>
      <c r="D897" s="217" t="str">
        <f t="shared" si="68"/>
        <v>17</v>
      </c>
      <c r="E897">
        <f t="shared" si="69"/>
        <v>2017</v>
      </c>
      <c r="F897" s="217" t="str">
        <f t="shared" si="70"/>
        <v>2Q17</v>
      </c>
      <c r="G897" s="218">
        <v>42892</v>
      </c>
      <c r="H897" s="217">
        <v>3.2778</v>
      </c>
    </row>
    <row r="898" spans="2:8">
      <c r="B898" s="217" t="str">
        <f t="shared" si="67"/>
        <v>2Q</v>
      </c>
      <c r="C898" s="217">
        <f t="shared" si="71"/>
        <v>6</v>
      </c>
      <c r="D898" s="217" t="str">
        <f t="shared" si="68"/>
        <v>17</v>
      </c>
      <c r="E898">
        <f t="shared" si="69"/>
        <v>2017</v>
      </c>
      <c r="F898" s="217" t="str">
        <f t="shared" si="70"/>
        <v>2Q17</v>
      </c>
      <c r="G898" s="218">
        <v>42893</v>
      </c>
      <c r="H898" s="217">
        <v>3.2694999999999999</v>
      </c>
    </row>
    <row r="899" spans="2:8">
      <c r="B899" s="217" t="str">
        <f t="shared" ref="B899:B962" si="72">VLOOKUP(C899,$N$3:$O$14,2,0)</f>
        <v>2Q</v>
      </c>
      <c r="C899" s="217">
        <f t="shared" si="71"/>
        <v>6</v>
      </c>
      <c r="D899" s="217" t="str">
        <f t="shared" ref="D899:D962" si="73">RIGHT(E899,2)</f>
        <v>17</v>
      </c>
      <c r="E899">
        <f t="shared" ref="E899:E962" si="74">YEAR(G899)</f>
        <v>2017</v>
      </c>
      <c r="F899" s="217" t="str">
        <f t="shared" ref="F899:F962" si="75">+B899&amp;D899</f>
        <v>2Q17</v>
      </c>
      <c r="G899" s="218">
        <v>42894</v>
      </c>
      <c r="H899" s="217">
        <v>3.2616999999999998</v>
      </c>
    </row>
    <row r="900" spans="2:8">
      <c r="B900" s="217" t="str">
        <f t="shared" si="72"/>
        <v>2Q</v>
      </c>
      <c r="C900" s="217">
        <f t="shared" ref="C900:C963" si="76">MONTH(G900)</f>
        <v>6</v>
      </c>
      <c r="D900" s="217" t="str">
        <f t="shared" si="73"/>
        <v>17</v>
      </c>
      <c r="E900">
        <f t="shared" si="74"/>
        <v>2017</v>
      </c>
      <c r="F900" s="217" t="str">
        <f t="shared" si="75"/>
        <v>2Q17</v>
      </c>
      <c r="G900" s="218">
        <v>42895</v>
      </c>
      <c r="H900" s="217">
        <v>3.2970999999999999</v>
      </c>
    </row>
    <row r="901" spans="2:8">
      <c r="B901" s="217" t="str">
        <f t="shared" si="72"/>
        <v>2Q</v>
      </c>
      <c r="C901" s="217">
        <f t="shared" si="76"/>
        <v>6</v>
      </c>
      <c r="D901" s="217" t="str">
        <f t="shared" si="73"/>
        <v>17</v>
      </c>
      <c r="E901">
        <f t="shared" si="74"/>
        <v>2017</v>
      </c>
      <c r="F901" s="217" t="str">
        <f t="shared" si="75"/>
        <v>2Q17</v>
      </c>
      <c r="G901" s="218">
        <v>42898</v>
      </c>
      <c r="H901" s="217">
        <v>3.3180999999999998</v>
      </c>
    </row>
    <row r="902" spans="2:8">
      <c r="B902" s="217" t="str">
        <f t="shared" si="72"/>
        <v>2Q</v>
      </c>
      <c r="C902" s="217">
        <f t="shared" si="76"/>
        <v>6</v>
      </c>
      <c r="D902" s="217" t="str">
        <f t="shared" si="73"/>
        <v>17</v>
      </c>
      <c r="E902">
        <f t="shared" si="74"/>
        <v>2017</v>
      </c>
      <c r="F902" s="217" t="str">
        <f t="shared" si="75"/>
        <v>2Q17</v>
      </c>
      <c r="G902" s="218">
        <v>42899</v>
      </c>
      <c r="H902" s="217">
        <v>3.3153999999999999</v>
      </c>
    </row>
    <row r="903" spans="2:8">
      <c r="B903" s="217" t="str">
        <f t="shared" si="72"/>
        <v>2Q</v>
      </c>
      <c r="C903" s="217">
        <f t="shared" si="76"/>
        <v>6</v>
      </c>
      <c r="D903" s="217" t="str">
        <f t="shared" si="73"/>
        <v>17</v>
      </c>
      <c r="E903">
        <f t="shared" si="74"/>
        <v>2017</v>
      </c>
      <c r="F903" s="217" t="str">
        <f t="shared" si="75"/>
        <v>2Q17</v>
      </c>
      <c r="G903" s="218">
        <v>42900</v>
      </c>
      <c r="H903" s="217">
        <v>3.2740999999999998</v>
      </c>
    </row>
    <row r="904" spans="2:8">
      <c r="B904" s="217" t="str">
        <f t="shared" si="72"/>
        <v>2Q</v>
      </c>
      <c r="C904" s="217">
        <f t="shared" si="76"/>
        <v>6</v>
      </c>
      <c r="D904" s="217" t="str">
        <f t="shared" si="73"/>
        <v>17</v>
      </c>
      <c r="E904">
        <f t="shared" si="74"/>
        <v>2017</v>
      </c>
      <c r="F904" s="217" t="str">
        <f t="shared" si="75"/>
        <v>2Q17</v>
      </c>
      <c r="G904" s="218">
        <v>42901</v>
      </c>
      <c r="H904" s="217">
        <v>3.2749999999999999</v>
      </c>
    </row>
    <row r="905" spans="2:8">
      <c r="B905" s="217" t="str">
        <f t="shared" si="72"/>
        <v>2Q</v>
      </c>
      <c r="C905" s="217">
        <f t="shared" si="76"/>
        <v>6</v>
      </c>
      <c r="D905" s="217" t="str">
        <f t="shared" si="73"/>
        <v>17</v>
      </c>
      <c r="E905">
        <f t="shared" si="74"/>
        <v>2017</v>
      </c>
      <c r="F905" s="217" t="str">
        <f t="shared" si="75"/>
        <v>2Q17</v>
      </c>
      <c r="G905" s="218">
        <v>42902</v>
      </c>
      <c r="H905" s="217">
        <v>3.2932999999999999</v>
      </c>
    </row>
    <row r="906" spans="2:8">
      <c r="B906" s="217" t="str">
        <f t="shared" si="72"/>
        <v>2Q</v>
      </c>
      <c r="C906" s="217">
        <f t="shared" si="76"/>
        <v>6</v>
      </c>
      <c r="D906" s="217" t="str">
        <f t="shared" si="73"/>
        <v>17</v>
      </c>
      <c r="E906">
        <f t="shared" si="74"/>
        <v>2017</v>
      </c>
      <c r="F906" s="217" t="str">
        <f t="shared" si="75"/>
        <v>2Q17</v>
      </c>
      <c r="G906" s="218">
        <v>42905</v>
      </c>
      <c r="H906" s="217">
        <v>3.2827999999999999</v>
      </c>
    </row>
    <row r="907" spans="2:8">
      <c r="B907" s="217" t="str">
        <f t="shared" si="72"/>
        <v>2Q</v>
      </c>
      <c r="C907" s="217">
        <f t="shared" si="76"/>
        <v>6</v>
      </c>
      <c r="D907" s="217" t="str">
        <f t="shared" si="73"/>
        <v>17</v>
      </c>
      <c r="E907">
        <f t="shared" si="74"/>
        <v>2017</v>
      </c>
      <c r="F907" s="217" t="str">
        <f t="shared" si="75"/>
        <v>2Q17</v>
      </c>
      <c r="G907" s="218">
        <v>42906</v>
      </c>
      <c r="H907" s="217">
        <v>3.327</v>
      </c>
    </row>
    <row r="908" spans="2:8">
      <c r="B908" s="217" t="str">
        <f t="shared" si="72"/>
        <v>2Q</v>
      </c>
      <c r="C908" s="217">
        <f t="shared" si="76"/>
        <v>6</v>
      </c>
      <c r="D908" s="217" t="str">
        <f t="shared" si="73"/>
        <v>17</v>
      </c>
      <c r="E908">
        <f t="shared" si="74"/>
        <v>2017</v>
      </c>
      <c r="F908" s="217" t="str">
        <f t="shared" si="75"/>
        <v>2Q17</v>
      </c>
      <c r="G908" s="218">
        <v>42907</v>
      </c>
      <c r="H908" s="217">
        <v>3.3361999999999998</v>
      </c>
    </row>
    <row r="909" spans="2:8">
      <c r="B909" s="217" t="str">
        <f t="shared" si="72"/>
        <v>2Q</v>
      </c>
      <c r="C909" s="217">
        <f t="shared" si="76"/>
        <v>6</v>
      </c>
      <c r="D909" s="217" t="str">
        <f t="shared" si="73"/>
        <v>17</v>
      </c>
      <c r="E909">
        <f t="shared" si="74"/>
        <v>2017</v>
      </c>
      <c r="F909" s="217" t="str">
        <f t="shared" si="75"/>
        <v>2Q17</v>
      </c>
      <c r="G909" s="218">
        <v>42908</v>
      </c>
      <c r="H909" s="217">
        <v>3.3424999999999998</v>
      </c>
    </row>
    <row r="910" spans="2:8">
      <c r="B910" s="217" t="str">
        <f t="shared" si="72"/>
        <v>2Q</v>
      </c>
      <c r="C910" s="217">
        <f t="shared" si="76"/>
        <v>6</v>
      </c>
      <c r="D910" s="217" t="str">
        <f t="shared" si="73"/>
        <v>17</v>
      </c>
      <c r="E910">
        <f t="shared" si="74"/>
        <v>2017</v>
      </c>
      <c r="F910" s="217" t="str">
        <f t="shared" si="75"/>
        <v>2Q17</v>
      </c>
      <c r="G910" s="218">
        <v>42909</v>
      </c>
      <c r="H910" s="217">
        <v>3.343</v>
      </c>
    </row>
    <row r="911" spans="2:8">
      <c r="B911" s="217" t="str">
        <f t="shared" si="72"/>
        <v>2Q</v>
      </c>
      <c r="C911" s="217">
        <f t="shared" si="76"/>
        <v>6</v>
      </c>
      <c r="D911" s="217" t="str">
        <f t="shared" si="73"/>
        <v>17</v>
      </c>
      <c r="E911">
        <f t="shared" si="74"/>
        <v>2017</v>
      </c>
      <c r="F911" s="217" t="str">
        <f t="shared" si="75"/>
        <v>2Q17</v>
      </c>
      <c r="G911" s="218">
        <v>42912</v>
      </c>
      <c r="H911" s="217">
        <v>3.2964000000000002</v>
      </c>
    </row>
    <row r="912" spans="2:8">
      <c r="B912" s="217" t="str">
        <f t="shared" si="72"/>
        <v>2Q</v>
      </c>
      <c r="C912" s="217">
        <f t="shared" si="76"/>
        <v>6</v>
      </c>
      <c r="D912" s="217" t="str">
        <f t="shared" si="73"/>
        <v>17</v>
      </c>
      <c r="E912">
        <f t="shared" si="74"/>
        <v>2017</v>
      </c>
      <c r="F912" s="217" t="str">
        <f t="shared" si="75"/>
        <v>2Q17</v>
      </c>
      <c r="G912" s="218">
        <v>42913</v>
      </c>
      <c r="H912" s="217">
        <v>3.3134999999999999</v>
      </c>
    </row>
    <row r="913" spans="2:8">
      <c r="B913" s="217" t="str">
        <f t="shared" si="72"/>
        <v>2Q</v>
      </c>
      <c r="C913" s="217">
        <f t="shared" si="76"/>
        <v>6</v>
      </c>
      <c r="D913" s="217" t="str">
        <f t="shared" si="73"/>
        <v>17</v>
      </c>
      <c r="E913">
        <f t="shared" si="74"/>
        <v>2017</v>
      </c>
      <c r="F913" s="217" t="str">
        <f t="shared" si="75"/>
        <v>2Q17</v>
      </c>
      <c r="G913" s="218">
        <v>42914</v>
      </c>
      <c r="H913" s="217">
        <v>3.2805</v>
      </c>
    </row>
    <row r="914" spans="2:8">
      <c r="B914" s="217" t="str">
        <f t="shared" si="72"/>
        <v>2Q</v>
      </c>
      <c r="C914" s="217">
        <f t="shared" si="76"/>
        <v>6</v>
      </c>
      <c r="D914" s="217" t="str">
        <f t="shared" si="73"/>
        <v>17</v>
      </c>
      <c r="E914">
        <f t="shared" si="74"/>
        <v>2017</v>
      </c>
      <c r="F914" s="217" t="str">
        <f t="shared" si="75"/>
        <v>2Q17</v>
      </c>
      <c r="G914" s="218">
        <v>42915</v>
      </c>
      <c r="H914" s="217">
        <v>3.3043</v>
      </c>
    </row>
    <row r="915" spans="2:8">
      <c r="B915" s="217" t="str">
        <f t="shared" si="72"/>
        <v>2Q</v>
      </c>
      <c r="C915" s="217">
        <f t="shared" si="76"/>
        <v>6</v>
      </c>
      <c r="D915" s="217" t="str">
        <f t="shared" si="73"/>
        <v>17</v>
      </c>
      <c r="E915">
        <f t="shared" si="74"/>
        <v>2017</v>
      </c>
      <c r="F915" s="217" t="str">
        <f t="shared" si="75"/>
        <v>2Q17</v>
      </c>
      <c r="G915" s="218">
        <v>42916</v>
      </c>
      <c r="H915" s="217">
        <v>3.3071999999999999</v>
      </c>
    </row>
    <row r="916" spans="2:8">
      <c r="B916" s="217" t="str">
        <f t="shared" si="72"/>
        <v>3Q</v>
      </c>
      <c r="C916" s="217">
        <f t="shared" si="76"/>
        <v>7</v>
      </c>
      <c r="D916" s="217" t="str">
        <f t="shared" si="73"/>
        <v>17</v>
      </c>
      <c r="E916">
        <f t="shared" si="74"/>
        <v>2017</v>
      </c>
      <c r="F916" s="217" t="str">
        <f t="shared" si="75"/>
        <v>3Q17</v>
      </c>
      <c r="G916" s="218">
        <v>42919</v>
      </c>
      <c r="H916" s="217">
        <v>3.3014999999999999</v>
      </c>
    </row>
    <row r="917" spans="2:8">
      <c r="B917" s="217" t="str">
        <f t="shared" si="72"/>
        <v>3Q</v>
      </c>
      <c r="C917" s="217">
        <f t="shared" si="76"/>
        <v>7</v>
      </c>
      <c r="D917" s="217" t="str">
        <f t="shared" si="73"/>
        <v>17</v>
      </c>
      <c r="E917">
        <f t="shared" si="74"/>
        <v>2017</v>
      </c>
      <c r="F917" s="217" t="str">
        <f t="shared" si="75"/>
        <v>3Q17</v>
      </c>
      <c r="G917" s="218">
        <v>42920</v>
      </c>
      <c r="H917" s="217">
        <v>3.3092999999999999</v>
      </c>
    </row>
    <row r="918" spans="2:8">
      <c r="B918" s="217" t="str">
        <f t="shared" si="72"/>
        <v>3Q</v>
      </c>
      <c r="C918" s="217">
        <f t="shared" si="76"/>
        <v>7</v>
      </c>
      <c r="D918" s="217" t="str">
        <f t="shared" si="73"/>
        <v>17</v>
      </c>
      <c r="E918">
        <f t="shared" si="74"/>
        <v>2017</v>
      </c>
      <c r="F918" s="217" t="str">
        <f t="shared" si="75"/>
        <v>3Q17</v>
      </c>
      <c r="G918" s="218">
        <v>42921</v>
      </c>
      <c r="H918" s="217">
        <v>3.2888999999999999</v>
      </c>
    </row>
    <row r="919" spans="2:8">
      <c r="B919" s="217" t="str">
        <f t="shared" si="72"/>
        <v>3Q</v>
      </c>
      <c r="C919" s="217">
        <f t="shared" si="76"/>
        <v>7</v>
      </c>
      <c r="D919" s="217" t="str">
        <f t="shared" si="73"/>
        <v>17</v>
      </c>
      <c r="E919">
        <f t="shared" si="74"/>
        <v>2017</v>
      </c>
      <c r="F919" s="217" t="str">
        <f t="shared" si="75"/>
        <v>3Q17</v>
      </c>
      <c r="G919" s="218">
        <v>42922</v>
      </c>
      <c r="H919" s="217">
        <v>3.2961999999999998</v>
      </c>
    </row>
    <row r="920" spans="2:8">
      <c r="B920" s="217" t="str">
        <f t="shared" si="72"/>
        <v>3Q</v>
      </c>
      <c r="C920" s="217">
        <f t="shared" si="76"/>
        <v>7</v>
      </c>
      <c r="D920" s="217" t="str">
        <f t="shared" si="73"/>
        <v>17</v>
      </c>
      <c r="E920">
        <f t="shared" si="74"/>
        <v>2017</v>
      </c>
      <c r="F920" s="217" t="str">
        <f t="shared" si="75"/>
        <v>3Q17</v>
      </c>
      <c r="G920" s="218">
        <v>42923</v>
      </c>
      <c r="H920" s="217">
        <v>3.2812999999999999</v>
      </c>
    </row>
    <row r="921" spans="2:8">
      <c r="B921" s="217" t="str">
        <f t="shared" si="72"/>
        <v>3Q</v>
      </c>
      <c r="C921" s="217">
        <f t="shared" si="76"/>
        <v>7</v>
      </c>
      <c r="D921" s="217" t="str">
        <f t="shared" si="73"/>
        <v>17</v>
      </c>
      <c r="E921">
        <f t="shared" si="74"/>
        <v>2017</v>
      </c>
      <c r="F921" s="217" t="str">
        <f t="shared" si="75"/>
        <v>3Q17</v>
      </c>
      <c r="G921" s="218">
        <v>42926</v>
      </c>
      <c r="H921" s="217">
        <v>3.2557</v>
      </c>
    </row>
    <row r="922" spans="2:8">
      <c r="B922" s="217" t="str">
        <f t="shared" si="72"/>
        <v>3Q</v>
      </c>
      <c r="C922" s="217">
        <f t="shared" si="76"/>
        <v>7</v>
      </c>
      <c r="D922" s="217" t="str">
        <f t="shared" si="73"/>
        <v>17</v>
      </c>
      <c r="E922">
        <f t="shared" si="74"/>
        <v>2017</v>
      </c>
      <c r="F922" s="217" t="str">
        <f t="shared" si="75"/>
        <v>3Q17</v>
      </c>
      <c r="G922" s="218">
        <v>42927</v>
      </c>
      <c r="H922" s="217">
        <v>3.2547999999999999</v>
      </c>
    </row>
    <row r="923" spans="2:8">
      <c r="B923" s="217" t="str">
        <f t="shared" si="72"/>
        <v>3Q</v>
      </c>
      <c r="C923" s="217">
        <f t="shared" si="76"/>
        <v>7</v>
      </c>
      <c r="D923" s="217" t="str">
        <f t="shared" si="73"/>
        <v>17</v>
      </c>
      <c r="E923">
        <f t="shared" si="74"/>
        <v>2017</v>
      </c>
      <c r="F923" s="217" t="str">
        <f t="shared" si="75"/>
        <v>3Q17</v>
      </c>
      <c r="G923" s="218">
        <v>42928</v>
      </c>
      <c r="H923" s="217">
        <v>3.2078000000000002</v>
      </c>
    </row>
    <row r="924" spans="2:8">
      <c r="B924" s="217" t="str">
        <f t="shared" si="72"/>
        <v>3Q</v>
      </c>
      <c r="C924" s="217">
        <f t="shared" si="76"/>
        <v>7</v>
      </c>
      <c r="D924" s="217" t="str">
        <f t="shared" si="73"/>
        <v>17</v>
      </c>
      <c r="E924">
        <f t="shared" si="74"/>
        <v>2017</v>
      </c>
      <c r="F924" s="217" t="str">
        <f t="shared" si="75"/>
        <v>3Q17</v>
      </c>
      <c r="G924" s="218">
        <v>42929</v>
      </c>
      <c r="H924" s="217">
        <v>3.2138</v>
      </c>
    </row>
    <row r="925" spans="2:8">
      <c r="B925" s="217" t="str">
        <f t="shared" si="72"/>
        <v>3Q</v>
      </c>
      <c r="C925" s="217">
        <f t="shared" si="76"/>
        <v>7</v>
      </c>
      <c r="D925" s="217" t="str">
        <f t="shared" si="73"/>
        <v>17</v>
      </c>
      <c r="E925">
        <f t="shared" si="74"/>
        <v>2017</v>
      </c>
      <c r="F925" s="217" t="str">
        <f t="shared" si="75"/>
        <v>3Q17</v>
      </c>
      <c r="G925" s="218">
        <v>42930</v>
      </c>
      <c r="H925" s="217">
        <v>3.1798999999999999</v>
      </c>
    </row>
    <row r="926" spans="2:8">
      <c r="B926" s="217" t="str">
        <f t="shared" si="72"/>
        <v>3Q</v>
      </c>
      <c r="C926" s="217">
        <f t="shared" si="76"/>
        <v>7</v>
      </c>
      <c r="D926" s="217" t="str">
        <f t="shared" si="73"/>
        <v>17</v>
      </c>
      <c r="E926">
        <f t="shared" si="74"/>
        <v>2017</v>
      </c>
      <c r="F926" s="217" t="str">
        <f t="shared" si="75"/>
        <v>3Q17</v>
      </c>
      <c r="G926" s="218">
        <v>42933</v>
      </c>
      <c r="H926" s="217">
        <v>3.1833</v>
      </c>
    </row>
    <row r="927" spans="2:8">
      <c r="B927" s="217" t="str">
        <f t="shared" si="72"/>
        <v>3Q</v>
      </c>
      <c r="C927" s="217">
        <f t="shared" si="76"/>
        <v>7</v>
      </c>
      <c r="D927" s="217" t="str">
        <f t="shared" si="73"/>
        <v>17</v>
      </c>
      <c r="E927">
        <f t="shared" si="74"/>
        <v>2017</v>
      </c>
      <c r="F927" s="217" t="str">
        <f t="shared" si="75"/>
        <v>3Q17</v>
      </c>
      <c r="G927" s="218">
        <v>42934</v>
      </c>
      <c r="H927" s="217">
        <v>3.1545000000000001</v>
      </c>
    </row>
    <row r="928" spans="2:8">
      <c r="B928" s="217" t="str">
        <f t="shared" si="72"/>
        <v>3Q</v>
      </c>
      <c r="C928" s="217">
        <f t="shared" si="76"/>
        <v>7</v>
      </c>
      <c r="D928" s="217" t="str">
        <f t="shared" si="73"/>
        <v>17</v>
      </c>
      <c r="E928">
        <f t="shared" si="74"/>
        <v>2017</v>
      </c>
      <c r="F928" s="217" t="str">
        <f t="shared" si="75"/>
        <v>3Q17</v>
      </c>
      <c r="G928" s="218">
        <v>42935</v>
      </c>
      <c r="H928" s="217">
        <v>3.149</v>
      </c>
    </row>
    <row r="929" spans="2:8">
      <c r="B929" s="217" t="str">
        <f t="shared" si="72"/>
        <v>3Q</v>
      </c>
      <c r="C929" s="217">
        <f t="shared" si="76"/>
        <v>7</v>
      </c>
      <c r="D929" s="217" t="str">
        <f t="shared" si="73"/>
        <v>17</v>
      </c>
      <c r="E929">
        <f t="shared" si="74"/>
        <v>2017</v>
      </c>
      <c r="F929" s="217" t="str">
        <f t="shared" si="75"/>
        <v>3Q17</v>
      </c>
      <c r="G929" s="218">
        <v>42936</v>
      </c>
      <c r="H929" s="217">
        <v>3.1208</v>
      </c>
    </row>
    <row r="930" spans="2:8">
      <c r="B930" s="217" t="str">
        <f t="shared" si="72"/>
        <v>3Q</v>
      </c>
      <c r="C930" s="217">
        <f t="shared" si="76"/>
        <v>7</v>
      </c>
      <c r="D930" s="217" t="str">
        <f t="shared" si="73"/>
        <v>17</v>
      </c>
      <c r="E930">
        <f t="shared" si="74"/>
        <v>2017</v>
      </c>
      <c r="F930" s="217" t="str">
        <f t="shared" si="75"/>
        <v>3Q17</v>
      </c>
      <c r="G930" s="218">
        <v>42937</v>
      </c>
      <c r="H930" s="217">
        <v>3.1417999999999999</v>
      </c>
    </row>
    <row r="931" spans="2:8">
      <c r="B931" s="217" t="str">
        <f t="shared" si="72"/>
        <v>3Q</v>
      </c>
      <c r="C931" s="217">
        <f t="shared" si="76"/>
        <v>7</v>
      </c>
      <c r="D931" s="217" t="str">
        <f t="shared" si="73"/>
        <v>17</v>
      </c>
      <c r="E931">
        <f t="shared" si="74"/>
        <v>2017</v>
      </c>
      <c r="F931" s="217" t="str">
        <f t="shared" si="75"/>
        <v>3Q17</v>
      </c>
      <c r="G931" s="218">
        <v>42940</v>
      </c>
      <c r="H931" s="217">
        <v>3.1469999999999998</v>
      </c>
    </row>
    <row r="932" spans="2:8">
      <c r="B932" s="217" t="str">
        <f t="shared" si="72"/>
        <v>3Q</v>
      </c>
      <c r="C932" s="217">
        <f t="shared" si="76"/>
        <v>7</v>
      </c>
      <c r="D932" s="217" t="str">
        <f t="shared" si="73"/>
        <v>17</v>
      </c>
      <c r="E932">
        <f t="shared" si="74"/>
        <v>2017</v>
      </c>
      <c r="F932" s="217" t="str">
        <f t="shared" si="75"/>
        <v>3Q17</v>
      </c>
      <c r="G932" s="218">
        <v>42941</v>
      </c>
      <c r="H932" s="217">
        <v>3.1726000000000001</v>
      </c>
    </row>
    <row r="933" spans="2:8">
      <c r="B933" s="217" t="str">
        <f t="shared" si="72"/>
        <v>3Q</v>
      </c>
      <c r="C933" s="217">
        <f t="shared" si="76"/>
        <v>7</v>
      </c>
      <c r="D933" s="217" t="str">
        <f t="shared" si="73"/>
        <v>17</v>
      </c>
      <c r="E933">
        <f t="shared" si="74"/>
        <v>2017</v>
      </c>
      <c r="F933" s="217" t="str">
        <f t="shared" si="75"/>
        <v>3Q17</v>
      </c>
      <c r="G933" s="218">
        <v>42942</v>
      </c>
      <c r="H933" s="217">
        <v>3.1387</v>
      </c>
    </row>
    <row r="934" spans="2:8">
      <c r="B934" s="217" t="str">
        <f t="shared" si="72"/>
        <v>3Q</v>
      </c>
      <c r="C934" s="217">
        <f t="shared" si="76"/>
        <v>7</v>
      </c>
      <c r="D934" s="217" t="str">
        <f t="shared" si="73"/>
        <v>17</v>
      </c>
      <c r="E934">
        <f t="shared" si="74"/>
        <v>2017</v>
      </c>
      <c r="F934" s="217" t="str">
        <f t="shared" si="75"/>
        <v>3Q17</v>
      </c>
      <c r="G934" s="218">
        <v>42943</v>
      </c>
      <c r="H934" s="217">
        <v>3.153</v>
      </c>
    </row>
    <row r="935" spans="2:8">
      <c r="B935" s="217" t="str">
        <f t="shared" si="72"/>
        <v>3Q</v>
      </c>
      <c r="C935" s="217">
        <f t="shared" si="76"/>
        <v>7</v>
      </c>
      <c r="D935" s="217" t="str">
        <f t="shared" si="73"/>
        <v>17</v>
      </c>
      <c r="E935">
        <f t="shared" si="74"/>
        <v>2017</v>
      </c>
      <c r="F935" s="217" t="str">
        <f t="shared" si="75"/>
        <v>3Q17</v>
      </c>
      <c r="G935" s="218">
        <v>42944</v>
      </c>
      <c r="H935" s="217">
        <v>3.1318999999999999</v>
      </c>
    </row>
    <row r="936" spans="2:8">
      <c r="B936" s="217" t="str">
        <f t="shared" si="72"/>
        <v>3Q</v>
      </c>
      <c r="C936" s="217">
        <f t="shared" si="76"/>
        <v>7</v>
      </c>
      <c r="D936" s="217" t="str">
        <f t="shared" si="73"/>
        <v>17</v>
      </c>
      <c r="E936">
        <f t="shared" si="74"/>
        <v>2017</v>
      </c>
      <c r="F936" s="217" t="str">
        <f t="shared" si="75"/>
        <v>3Q17</v>
      </c>
      <c r="G936" s="218">
        <v>42947</v>
      </c>
      <c r="H936" s="217">
        <v>3.1263999999999998</v>
      </c>
    </row>
    <row r="937" spans="2:8">
      <c r="B937" s="217" t="str">
        <f t="shared" si="72"/>
        <v>3Q</v>
      </c>
      <c r="C937" s="217">
        <f t="shared" si="76"/>
        <v>8</v>
      </c>
      <c r="D937" s="217" t="str">
        <f t="shared" si="73"/>
        <v>17</v>
      </c>
      <c r="E937">
        <f t="shared" si="74"/>
        <v>2017</v>
      </c>
      <c r="F937" s="217" t="str">
        <f t="shared" si="75"/>
        <v>3Q17</v>
      </c>
      <c r="G937" s="218">
        <v>42948</v>
      </c>
      <c r="H937" s="217">
        <v>3.1265000000000001</v>
      </c>
    </row>
    <row r="938" spans="2:8">
      <c r="B938" s="217" t="str">
        <f t="shared" si="72"/>
        <v>3Q</v>
      </c>
      <c r="C938" s="217">
        <f t="shared" si="76"/>
        <v>8</v>
      </c>
      <c r="D938" s="217" t="str">
        <f t="shared" si="73"/>
        <v>17</v>
      </c>
      <c r="E938">
        <f t="shared" si="74"/>
        <v>2017</v>
      </c>
      <c r="F938" s="217" t="str">
        <f t="shared" si="75"/>
        <v>3Q17</v>
      </c>
      <c r="G938" s="218">
        <v>42949</v>
      </c>
      <c r="H938" s="217">
        <v>3.1137000000000001</v>
      </c>
    </row>
    <row r="939" spans="2:8">
      <c r="B939" s="217" t="str">
        <f t="shared" si="72"/>
        <v>3Q</v>
      </c>
      <c r="C939" s="217">
        <f t="shared" si="76"/>
        <v>8</v>
      </c>
      <c r="D939" s="217" t="str">
        <f t="shared" si="73"/>
        <v>17</v>
      </c>
      <c r="E939">
        <f t="shared" si="74"/>
        <v>2017</v>
      </c>
      <c r="F939" s="217" t="str">
        <f t="shared" si="75"/>
        <v>3Q17</v>
      </c>
      <c r="G939" s="218">
        <v>42950</v>
      </c>
      <c r="H939" s="217">
        <v>3.1124999999999998</v>
      </c>
    </row>
    <row r="940" spans="2:8">
      <c r="B940" s="217" t="str">
        <f t="shared" si="72"/>
        <v>3Q</v>
      </c>
      <c r="C940" s="217">
        <f t="shared" si="76"/>
        <v>8</v>
      </c>
      <c r="D940" s="217" t="str">
        <f t="shared" si="73"/>
        <v>17</v>
      </c>
      <c r="E940">
        <f t="shared" si="74"/>
        <v>2017</v>
      </c>
      <c r="F940" s="217" t="str">
        <f t="shared" si="75"/>
        <v>3Q17</v>
      </c>
      <c r="G940" s="218">
        <v>42951</v>
      </c>
      <c r="H940" s="217">
        <v>3.1314000000000002</v>
      </c>
    </row>
    <row r="941" spans="2:8">
      <c r="B941" s="217" t="str">
        <f t="shared" si="72"/>
        <v>3Q</v>
      </c>
      <c r="C941" s="217">
        <f t="shared" si="76"/>
        <v>8</v>
      </c>
      <c r="D941" s="217" t="str">
        <f t="shared" si="73"/>
        <v>17</v>
      </c>
      <c r="E941">
        <f t="shared" si="74"/>
        <v>2017</v>
      </c>
      <c r="F941" s="217" t="str">
        <f t="shared" si="75"/>
        <v>3Q17</v>
      </c>
      <c r="G941" s="218">
        <v>42954</v>
      </c>
      <c r="H941" s="217">
        <v>3.1265000000000001</v>
      </c>
    </row>
    <row r="942" spans="2:8">
      <c r="B942" s="217" t="str">
        <f t="shared" si="72"/>
        <v>3Q</v>
      </c>
      <c r="C942" s="217">
        <f t="shared" si="76"/>
        <v>8</v>
      </c>
      <c r="D942" s="217" t="str">
        <f t="shared" si="73"/>
        <v>17</v>
      </c>
      <c r="E942">
        <f t="shared" si="74"/>
        <v>2017</v>
      </c>
      <c r="F942" s="217" t="str">
        <f t="shared" si="75"/>
        <v>3Q17</v>
      </c>
      <c r="G942" s="218">
        <v>42955</v>
      </c>
      <c r="H942" s="217">
        <v>3.1269</v>
      </c>
    </row>
    <row r="943" spans="2:8">
      <c r="B943" s="217" t="str">
        <f t="shared" si="72"/>
        <v>3Q</v>
      </c>
      <c r="C943" s="217">
        <f t="shared" si="76"/>
        <v>8</v>
      </c>
      <c r="D943" s="217" t="str">
        <f t="shared" si="73"/>
        <v>17</v>
      </c>
      <c r="E943">
        <f t="shared" si="74"/>
        <v>2017</v>
      </c>
      <c r="F943" s="217" t="str">
        <f t="shared" si="75"/>
        <v>3Q17</v>
      </c>
      <c r="G943" s="218">
        <v>42956</v>
      </c>
      <c r="H943" s="217">
        <v>3.1558999999999999</v>
      </c>
    </row>
    <row r="944" spans="2:8">
      <c r="B944" s="217" t="str">
        <f t="shared" si="72"/>
        <v>3Q</v>
      </c>
      <c r="C944" s="217">
        <f t="shared" si="76"/>
        <v>8</v>
      </c>
      <c r="D944" s="217" t="str">
        <f t="shared" si="73"/>
        <v>17</v>
      </c>
      <c r="E944">
        <f t="shared" si="74"/>
        <v>2017</v>
      </c>
      <c r="F944" s="217" t="str">
        <f t="shared" si="75"/>
        <v>3Q17</v>
      </c>
      <c r="G944" s="218">
        <v>42957</v>
      </c>
      <c r="H944" s="217">
        <v>3.1757</v>
      </c>
    </row>
    <row r="945" spans="2:8">
      <c r="B945" s="217" t="str">
        <f t="shared" si="72"/>
        <v>3Q</v>
      </c>
      <c r="C945" s="217">
        <f t="shared" si="76"/>
        <v>8</v>
      </c>
      <c r="D945" s="217" t="str">
        <f t="shared" si="73"/>
        <v>17</v>
      </c>
      <c r="E945">
        <f t="shared" si="74"/>
        <v>2017</v>
      </c>
      <c r="F945" s="217" t="str">
        <f t="shared" si="75"/>
        <v>3Q17</v>
      </c>
      <c r="G945" s="218">
        <v>42958</v>
      </c>
      <c r="H945" s="217">
        <v>3.1938</v>
      </c>
    </row>
    <row r="946" spans="2:8">
      <c r="B946" s="217" t="str">
        <f t="shared" si="72"/>
        <v>3Q</v>
      </c>
      <c r="C946" s="217">
        <f t="shared" si="76"/>
        <v>8</v>
      </c>
      <c r="D946" s="217" t="str">
        <f t="shared" si="73"/>
        <v>17</v>
      </c>
      <c r="E946">
        <f t="shared" si="74"/>
        <v>2017</v>
      </c>
      <c r="F946" s="217" t="str">
        <f t="shared" si="75"/>
        <v>3Q17</v>
      </c>
      <c r="G946" s="218">
        <v>42961</v>
      </c>
      <c r="H946" s="217">
        <v>3.1890000000000001</v>
      </c>
    </row>
    <row r="947" spans="2:8">
      <c r="B947" s="217" t="str">
        <f t="shared" si="72"/>
        <v>3Q</v>
      </c>
      <c r="C947" s="217">
        <f t="shared" si="76"/>
        <v>8</v>
      </c>
      <c r="D947" s="217" t="str">
        <f t="shared" si="73"/>
        <v>17</v>
      </c>
      <c r="E947">
        <f t="shared" si="74"/>
        <v>2017</v>
      </c>
      <c r="F947" s="217" t="str">
        <f t="shared" si="75"/>
        <v>3Q17</v>
      </c>
      <c r="G947" s="218">
        <v>42962</v>
      </c>
      <c r="H947" s="217">
        <v>3.1695000000000002</v>
      </c>
    </row>
    <row r="948" spans="2:8">
      <c r="B948" s="217" t="str">
        <f t="shared" si="72"/>
        <v>3Q</v>
      </c>
      <c r="C948" s="217">
        <f t="shared" si="76"/>
        <v>8</v>
      </c>
      <c r="D948" s="217" t="str">
        <f t="shared" si="73"/>
        <v>17</v>
      </c>
      <c r="E948">
        <f t="shared" si="74"/>
        <v>2017</v>
      </c>
      <c r="F948" s="217" t="str">
        <f t="shared" si="75"/>
        <v>3Q17</v>
      </c>
      <c r="G948" s="218">
        <v>42963</v>
      </c>
      <c r="H948" s="217">
        <v>3.1524000000000001</v>
      </c>
    </row>
    <row r="949" spans="2:8">
      <c r="B949" s="217" t="str">
        <f t="shared" si="72"/>
        <v>3Q</v>
      </c>
      <c r="C949" s="217">
        <f t="shared" si="76"/>
        <v>8</v>
      </c>
      <c r="D949" s="217" t="str">
        <f t="shared" si="73"/>
        <v>17</v>
      </c>
      <c r="E949">
        <f t="shared" si="74"/>
        <v>2017</v>
      </c>
      <c r="F949" s="217" t="str">
        <f t="shared" si="75"/>
        <v>3Q17</v>
      </c>
      <c r="G949" s="218">
        <v>42964</v>
      </c>
      <c r="H949" s="217">
        <v>3.1751</v>
      </c>
    </row>
    <row r="950" spans="2:8">
      <c r="B950" s="217" t="str">
        <f t="shared" si="72"/>
        <v>3Q</v>
      </c>
      <c r="C950" s="217">
        <f t="shared" si="76"/>
        <v>8</v>
      </c>
      <c r="D950" s="217" t="str">
        <f t="shared" si="73"/>
        <v>17</v>
      </c>
      <c r="E950">
        <f t="shared" si="74"/>
        <v>2017</v>
      </c>
      <c r="F950" s="217" t="str">
        <f t="shared" si="75"/>
        <v>3Q17</v>
      </c>
      <c r="G950" s="218">
        <v>42965</v>
      </c>
      <c r="H950" s="217">
        <v>3.1465000000000001</v>
      </c>
    </row>
    <row r="951" spans="2:8">
      <c r="B951" s="217" t="str">
        <f t="shared" si="72"/>
        <v>3Q</v>
      </c>
      <c r="C951" s="217">
        <f t="shared" si="76"/>
        <v>8</v>
      </c>
      <c r="D951" s="217" t="str">
        <f t="shared" si="73"/>
        <v>17</v>
      </c>
      <c r="E951">
        <f t="shared" si="74"/>
        <v>2017</v>
      </c>
      <c r="F951" s="217" t="str">
        <f t="shared" si="75"/>
        <v>3Q17</v>
      </c>
      <c r="G951" s="218">
        <v>42968</v>
      </c>
      <c r="H951" s="217">
        <v>3.1644999999999999</v>
      </c>
    </row>
    <row r="952" spans="2:8">
      <c r="B952" s="217" t="str">
        <f t="shared" si="72"/>
        <v>3Q</v>
      </c>
      <c r="C952" s="217">
        <f t="shared" si="76"/>
        <v>8</v>
      </c>
      <c r="D952" s="217" t="str">
        <f t="shared" si="73"/>
        <v>17</v>
      </c>
      <c r="E952">
        <f t="shared" si="74"/>
        <v>2017</v>
      </c>
      <c r="F952" s="217" t="str">
        <f t="shared" si="75"/>
        <v>3Q17</v>
      </c>
      <c r="G952" s="218">
        <v>42969</v>
      </c>
      <c r="H952" s="217">
        <v>3.1610999999999998</v>
      </c>
    </row>
    <row r="953" spans="2:8">
      <c r="B953" s="217" t="str">
        <f t="shared" si="72"/>
        <v>3Q</v>
      </c>
      <c r="C953" s="217">
        <f t="shared" si="76"/>
        <v>8</v>
      </c>
      <c r="D953" s="217" t="str">
        <f t="shared" si="73"/>
        <v>17</v>
      </c>
      <c r="E953">
        <f t="shared" si="74"/>
        <v>2017</v>
      </c>
      <c r="F953" s="217" t="str">
        <f t="shared" si="75"/>
        <v>3Q17</v>
      </c>
      <c r="G953" s="218">
        <v>42970</v>
      </c>
      <c r="H953" s="217">
        <v>3.1414</v>
      </c>
    </row>
    <row r="954" spans="2:8">
      <c r="B954" s="217" t="str">
        <f t="shared" si="72"/>
        <v>3Q</v>
      </c>
      <c r="C954" s="217">
        <f t="shared" si="76"/>
        <v>8</v>
      </c>
      <c r="D954" s="217" t="str">
        <f t="shared" si="73"/>
        <v>17</v>
      </c>
      <c r="E954">
        <f t="shared" si="74"/>
        <v>2017</v>
      </c>
      <c r="F954" s="217" t="str">
        <f t="shared" si="75"/>
        <v>3Q17</v>
      </c>
      <c r="G954" s="218">
        <v>42971</v>
      </c>
      <c r="H954" s="217">
        <v>3.1480999999999999</v>
      </c>
    </row>
    <row r="955" spans="2:8">
      <c r="B955" s="217" t="str">
        <f t="shared" si="72"/>
        <v>3Q</v>
      </c>
      <c r="C955" s="217">
        <f t="shared" si="76"/>
        <v>8</v>
      </c>
      <c r="D955" s="217" t="str">
        <f t="shared" si="73"/>
        <v>17</v>
      </c>
      <c r="E955">
        <f t="shared" si="74"/>
        <v>2017</v>
      </c>
      <c r="F955" s="217" t="str">
        <f t="shared" si="75"/>
        <v>3Q17</v>
      </c>
      <c r="G955" s="218">
        <v>42972</v>
      </c>
      <c r="H955" s="217">
        <v>3.1602999999999999</v>
      </c>
    </row>
    <row r="956" spans="2:8">
      <c r="B956" s="217" t="str">
        <f t="shared" si="72"/>
        <v>3Q</v>
      </c>
      <c r="C956" s="217">
        <f t="shared" si="76"/>
        <v>8</v>
      </c>
      <c r="D956" s="217" t="str">
        <f t="shared" si="73"/>
        <v>17</v>
      </c>
      <c r="E956">
        <f t="shared" si="74"/>
        <v>2017</v>
      </c>
      <c r="F956" s="217" t="str">
        <f t="shared" si="75"/>
        <v>3Q17</v>
      </c>
      <c r="G956" s="218">
        <v>42975</v>
      </c>
      <c r="H956" s="217">
        <v>3.1669999999999998</v>
      </c>
    </row>
    <row r="957" spans="2:8">
      <c r="B957" s="217" t="str">
        <f t="shared" si="72"/>
        <v>3Q</v>
      </c>
      <c r="C957" s="217">
        <f t="shared" si="76"/>
        <v>8</v>
      </c>
      <c r="D957" s="217" t="str">
        <f t="shared" si="73"/>
        <v>17</v>
      </c>
      <c r="E957">
        <f t="shared" si="74"/>
        <v>2017</v>
      </c>
      <c r="F957" s="217" t="str">
        <f t="shared" si="75"/>
        <v>3Q17</v>
      </c>
      <c r="G957" s="218">
        <v>42976</v>
      </c>
      <c r="H957" s="217">
        <v>3.1652</v>
      </c>
    </row>
    <row r="958" spans="2:8">
      <c r="B958" s="217" t="str">
        <f t="shared" si="72"/>
        <v>3Q</v>
      </c>
      <c r="C958" s="217">
        <f t="shared" si="76"/>
        <v>8</v>
      </c>
      <c r="D958" s="217" t="str">
        <f t="shared" si="73"/>
        <v>17</v>
      </c>
      <c r="E958">
        <f t="shared" si="74"/>
        <v>2017</v>
      </c>
      <c r="F958" s="217" t="str">
        <f t="shared" si="75"/>
        <v>3Q17</v>
      </c>
      <c r="G958" s="218">
        <v>42977</v>
      </c>
      <c r="H958" s="217">
        <v>3.1602999999999999</v>
      </c>
    </row>
    <row r="959" spans="2:8">
      <c r="B959" s="217" t="str">
        <f t="shared" si="72"/>
        <v>3Q</v>
      </c>
      <c r="C959" s="217">
        <f t="shared" si="76"/>
        <v>8</v>
      </c>
      <c r="D959" s="217" t="str">
        <f t="shared" si="73"/>
        <v>17</v>
      </c>
      <c r="E959">
        <f t="shared" si="74"/>
        <v>2017</v>
      </c>
      <c r="F959" s="217" t="str">
        <f t="shared" si="75"/>
        <v>3Q17</v>
      </c>
      <c r="G959" s="218">
        <v>42978</v>
      </c>
      <c r="H959" s="217">
        <v>3.1478999999999999</v>
      </c>
    </row>
    <row r="960" spans="2:8">
      <c r="B960" s="217" t="str">
        <f t="shared" si="72"/>
        <v>3Q</v>
      </c>
      <c r="C960" s="217">
        <f t="shared" si="76"/>
        <v>9</v>
      </c>
      <c r="D960" s="217" t="str">
        <f t="shared" si="73"/>
        <v>17</v>
      </c>
      <c r="E960">
        <f t="shared" si="74"/>
        <v>2017</v>
      </c>
      <c r="F960" s="217" t="str">
        <f t="shared" si="75"/>
        <v>3Q17</v>
      </c>
      <c r="G960" s="218">
        <v>42979</v>
      </c>
      <c r="H960" s="217">
        <v>3.1415999999999999</v>
      </c>
    </row>
    <row r="961" spans="2:8">
      <c r="B961" s="217" t="str">
        <f t="shared" si="72"/>
        <v>3Q</v>
      </c>
      <c r="C961" s="217">
        <f t="shared" si="76"/>
        <v>9</v>
      </c>
      <c r="D961" s="217" t="str">
        <f t="shared" si="73"/>
        <v>17</v>
      </c>
      <c r="E961">
        <f t="shared" si="74"/>
        <v>2017</v>
      </c>
      <c r="F961" s="217" t="str">
        <f t="shared" si="75"/>
        <v>3Q17</v>
      </c>
      <c r="G961" s="218">
        <v>42982</v>
      </c>
      <c r="H961" s="217">
        <v>3.1417000000000002</v>
      </c>
    </row>
    <row r="962" spans="2:8">
      <c r="B962" s="217" t="str">
        <f t="shared" si="72"/>
        <v>3Q</v>
      </c>
      <c r="C962" s="217">
        <f t="shared" si="76"/>
        <v>9</v>
      </c>
      <c r="D962" s="217" t="str">
        <f t="shared" si="73"/>
        <v>17</v>
      </c>
      <c r="E962">
        <f t="shared" si="74"/>
        <v>2017</v>
      </c>
      <c r="F962" s="217" t="str">
        <f t="shared" si="75"/>
        <v>3Q17</v>
      </c>
      <c r="G962" s="218">
        <v>42983</v>
      </c>
      <c r="H962" s="217">
        <v>3.1173999999999999</v>
      </c>
    </row>
    <row r="963" spans="2:8">
      <c r="B963" s="217" t="str">
        <f t="shared" ref="B963:B1026" si="77">VLOOKUP(C963,$N$3:$O$14,2,0)</f>
        <v>3Q</v>
      </c>
      <c r="C963" s="217">
        <f t="shared" si="76"/>
        <v>9</v>
      </c>
      <c r="D963" s="217" t="str">
        <f t="shared" ref="D963:D1026" si="78">RIGHT(E963,2)</f>
        <v>17</v>
      </c>
      <c r="E963">
        <f t="shared" ref="E963:E1026" si="79">YEAR(G963)</f>
        <v>2017</v>
      </c>
      <c r="F963" s="217" t="str">
        <f t="shared" ref="F963:F1026" si="80">+B963&amp;D963</f>
        <v>3Q17</v>
      </c>
      <c r="G963" s="218">
        <v>42984</v>
      </c>
      <c r="H963" s="217">
        <v>3.1004</v>
      </c>
    </row>
    <row r="964" spans="2:8">
      <c r="B964" s="217" t="str">
        <f t="shared" si="77"/>
        <v>3Q</v>
      </c>
      <c r="C964" s="217">
        <f t="shared" ref="C964:C1027" si="81">MONTH(G964)</f>
        <v>9</v>
      </c>
      <c r="D964" s="217" t="str">
        <f t="shared" si="78"/>
        <v>17</v>
      </c>
      <c r="E964">
        <f t="shared" si="79"/>
        <v>2017</v>
      </c>
      <c r="F964" s="217" t="str">
        <f t="shared" si="80"/>
        <v>3Q17</v>
      </c>
      <c r="G964" s="218">
        <v>42985</v>
      </c>
      <c r="H964" s="217">
        <v>3.0992999999999999</v>
      </c>
    </row>
    <row r="965" spans="2:8">
      <c r="B965" s="217" t="str">
        <f t="shared" si="77"/>
        <v>3Q</v>
      </c>
      <c r="C965" s="217">
        <f t="shared" si="81"/>
        <v>9</v>
      </c>
      <c r="D965" s="217" t="str">
        <f t="shared" si="78"/>
        <v>17</v>
      </c>
      <c r="E965">
        <f t="shared" si="79"/>
        <v>2017</v>
      </c>
      <c r="F965" s="217" t="str">
        <f t="shared" si="80"/>
        <v>3Q17</v>
      </c>
      <c r="G965" s="218">
        <v>42986</v>
      </c>
      <c r="H965" s="217">
        <v>3.0868000000000002</v>
      </c>
    </row>
    <row r="966" spans="2:8">
      <c r="B966" s="217" t="str">
        <f t="shared" si="77"/>
        <v>3Q</v>
      </c>
      <c r="C966" s="217">
        <f t="shared" si="81"/>
        <v>9</v>
      </c>
      <c r="D966" s="217" t="str">
        <f t="shared" si="78"/>
        <v>17</v>
      </c>
      <c r="E966">
        <f t="shared" si="79"/>
        <v>2017</v>
      </c>
      <c r="F966" s="217" t="str">
        <f t="shared" si="80"/>
        <v>3Q17</v>
      </c>
      <c r="G966" s="218">
        <v>42989</v>
      </c>
      <c r="H966" s="217">
        <v>3.1029</v>
      </c>
    </row>
    <row r="967" spans="2:8">
      <c r="B967" s="217" t="str">
        <f t="shared" si="77"/>
        <v>3Q</v>
      </c>
      <c r="C967" s="217">
        <f t="shared" si="81"/>
        <v>9</v>
      </c>
      <c r="D967" s="217" t="str">
        <f t="shared" si="78"/>
        <v>17</v>
      </c>
      <c r="E967">
        <f t="shared" si="79"/>
        <v>2017</v>
      </c>
      <c r="F967" s="217" t="str">
        <f t="shared" si="80"/>
        <v>3Q17</v>
      </c>
      <c r="G967" s="218">
        <v>42990</v>
      </c>
      <c r="H967" s="217">
        <v>3.1251000000000002</v>
      </c>
    </row>
    <row r="968" spans="2:8">
      <c r="B968" s="217" t="str">
        <f t="shared" si="77"/>
        <v>3Q</v>
      </c>
      <c r="C968" s="217">
        <f t="shared" si="81"/>
        <v>9</v>
      </c>
      <c r="D968" s="217" t="str">
        <f t="shared" si="78"/>
        <v>17</v>
      </c>
      <c r="E968">
        <f t="shared" si="79"/>
        <v>2017</v>
      </c>
      <c r="F968" s="217" t="str">
        <f t="shared" si="80"/>
        <v>3Q17</v>
      </c>
      <c r="G968" s="218">
        <v>42991</v>
      </c>
      <c r="H968" s="217">
        <v>3.1353</v>
      </c>
    </row>
    <row r="969" spans="2:8">
      <c r="B969" s="217" t="str">
        <f t="shared" si="77"/>
        <v>3Q</v>
      </c>
      <c r="C969" s="217">
        <f t="shared" si="81"/>
        <v>9</v>
      </c>
      <c r="D969" s="217" t="str">
        <f t="shared" si="78"/>
        <v>17</v>
      </c>
      <c r="E969">
        <f t="shared" si="79"/>
        <v>2017</v>
      </c>
      <c r="F969" s="217" t="str">
        <f t="shared" si="80"/>
        <v>3Q17</v>
      </c>
      <c r="G969" s="218">
        <v>42992</v>
      </c>
      <c r="H969" s="217">
        <v>3.1190000000000002</v>
      </c>
    </row>
    <row r="970" spans="2:8">
      <c r="B970" s="217" t="str">
        <f t="shared" si="77"/>
        <v>3Q</v>
      </c>
      <c r="C970" s="217">
        <f t="shared" si="81"/>
        <v>9</v>
      </c>
      <c r="D970" s="217" t="str">
        <f t="shared" si="78"/>
        <v>17</v>
      </c>
      <c r="E970">
        <f t="shared" si="79"/>
        <v>2017</v>
      </c>
      <c r="F970" s="217" t="str">
        <f t="shared" si="80"/>
        <v>3Q17</v>
      </c>
      <c r="G970" s="218">
        <v>42993</v>
      </c>
      <c r="H970" s="217">
        <v>3.1084999999999998</v>
      </c>
    </row>
    <row r="971" spans="2:8">
      <c r="B971" s="217" t="str">
        <f t="shared" si="77"/>
        <v>3Q</v>
      </c>
      <c r="C971" s="217">
        <f t="shared" si="81"/>
        <v>9</v>
      </c>
      <c r="D971" s="217" t="str">
        <f t="shared" si="78"/>
        <v>17</v>
      </c>
      <c r="E971">
        <f t="shared" si="79"/>
        <v>2017</v>
      </c>
      <c r="F971" s="217" t="str">
        <f t="shared" si="80"/>
        <v>3Q17</v>
      </c>
      <c r="G971" s="218">
        <v>42996</v>
      </c>
      <c r="H971" s="217">
        <v>3.1368</v>
      </c>
    </row>
    <row r="972" spans="2:8">
      <c r="B972" s="217" t="str">
        <f t="shared" si="77"/>
        <v>3Q</v>
      </c>
      <c r="C972" s="217">
        <f t="shared" si="81"/>
        <v>9</v>
      </c>
      <c r="D972" s="217" t="str">
        <f t="shared" si="78"/>
        <v>17</v>
      </c>
      <c r="E972">
        <f t="shared" si="79"/>
        <v>2017</v>
      </c>
      <c r="F972" s="217" t="str">
        <f t="shared" si="80"/>
        <v>3Q17</v>
      </c>
      <c r="G972" s="218">
        <v>42997</v>
      </c>
      <c r="H972" s="217">
        <v>3.1349999999999998</v>
      </c>
    </row>
    <row r="973" spans="2:8">
      <c r="B973" s="217" t="str">
        <f t="shared" si="77"/>
        <v>3Q</v>
      </c>
      <c r="C973" s="217">
        <f t="shared" si="81"/>
        <v>9</v>
      </c>
      <c r="D973" s="217" t="str">
        <f t="shared" si="78"/>
        <v>17</v>
      </c>
      <c r="E973">
        <f t="shared" si="79"/>
        <v>2017</v>
      </c>
      <c r="F973" s="217" t="str">
        <f t="shared" si="80"/>
        <v>3Q17</v>
      </c>
      <c r="G973" s="218">
        <v>42998</v>
      </c>
      <c r="H973" s="217">
        <v>3.1324999999999998</v>
      </c>
    </row>
    <row r="974" spans="2:8">
      <c r="B974" s="217" t="str">
        <f t="shared" si="77"/>
        <v>3Q</v>
      </c>
      <c r="C974" s="217">
        <f t="shared" si="81"/>
        <v>9</v>
      </c>
      <c r="D974" s="217" t="str">
        <f t="shared" si="78"/>
        <v>17</v>
      </c>
      <c r="E974">
        <f t="shared" si="79"/>
        <v>2017</v>
      </c>
      <c r="F974" s="217" t="str">
        <f t="shared" si="80"/>
        <v>3Q17</v>
      </c>
      <c r="G974" s="218">
        <v>42999</v>
      </c>
      <c r="H974" s="217">
        <v>3.1377000000000002</v>
      </c>
    </row>
    <row r="975" spans="2:8">
      <c r="B975" s="217" t="str">
        <f t="shared" si="77"/>
        <v>3Q</v>
      </c>
      <c r="C975" s="217">
        <f t="shared" si="81"/>
        <v>9</v>
      </c>
      <c r="D975" s="217" t="str">
        <f t="shared" si="78"/>
        <v>17</v>
      </c>
      <c r="E975">
        <f t="shared" si="79"/>
        <v>2017</v>
      </c>
      <c r="F975" s="217" t="str">
        <f t="shared" si="80"/>
        <v>3Q17</v>
      </c>
      <c r="G975" s="218">
        <v>43000</v>
      </c>
      <c r="H975" s="217">
        <v>3.125</v>
      </c>
    </row>
    <row r="976" spans="2:8">
      <c r="B976" s="217" t="str">
        <f t="shared" si="77"/>
        <v>3Q</v>
      </c>
      <c r="C976" s="217">
        <f t="shared" si="81"/>
        <v>9</v>
      </c>
      <c r="D976" s="217" t="str">
        <f t="shared" si="78"/>
        <v>17</v>
      </c>
      <c r="E976">
        <f t="shared" si="79"/>
        <v>2017</v>
      </c>
      <c r="F976" s="217" t="str">
        <f t="shared" si="80"/>
        <v>3Q17</v>
      </c>
      <c r="G976" s="218">
        <v>43003</v>
      </c>
      <c r="H976" s="217">
        <v>3.16</v>
      </c>
    </row>
    <row r="977" spans="2:8">
      <c r="B977" s="217" t="str">
        <f t="shared" si="77"/>
        <v>3Q</v>
      </c>
      <c r="C977" s="217">
        <f t="shared" si="81"/>
        <v>9</v>
      </c>
      <c r="D977" s="217" t="str">
        <f t="shared" si="78"/>
        <v>17</v>
      </c>
      <c r="E977">
        <f t="shared" si="79"/>
        <v>2017</v>
      </c>
      <c r="F977" s="217" t="str">
        <f t="shared" si="80"/>
        <v>3Q17</v>
      </c>
      <c r="G977" s="218">
        <v>43004</v>
      </c>
      <c r="H977" s="217">
        <v>3.1665999999999999</v>
      </c>
    </row>
    <row r="978" spans="2:8">
      <c r="B978" s="217" t="str">
        <f t="shared" si="77"/>
        <v>3Q</v>
      </c>
      <c r="C978" s="217">
        <f t="shared" si="81"/>
        <v>9</v>
      </c>
      <c r="D978" s="217" t="str">
        <f t="shared" si="78"/>
        <v>17</v>
      </c>
      <c r="E978">
        <f t="shared" si="79"/>
        <v>2017</v>
      </c>
      <c r="F978" s="217" t="str">
        <f t="shared" si="80"/>
        <v>3Q17</v>
      </c>
      <c r="G978" s="218">
        <v>43005</v>
      </c>
      <c r="H978" s="217">
        <v>3.1932</v>
      </c>
    </row>
    <row r="979" spans="2:8">
      <c r="B979" s="217" t="str">
        <f t="shared" si="77"/>
        <v>3Q</v>
      </c>
      <c r="C979" s="217">
        <f t="shared" si="81"/>
        <v>9</v>
      </c>
      <c r="D979" s="217" t="str">
        <f t="shared" si="78"/>
        <v>17</v>
      </c>
      <c r="E979">
        <f t="shared" si="79"/>
        <v>2017</v>
      </c>
      <c r="F979" s="217" t="str">
        <f t="shared" si="80"/>
        <v>3Q17</v>
      </c>
      <c r="G979" s="218">
        <v>43006</v>
      </c>
      <c r="H979" s="217">
        <v>3.1825000000000001</v>
      </c>
    </row>
    <row r="980" spans="2:8">
      <c r="B980" s="217" t="str">
        <f t="shared" si="77"/>
        <v>3Q</v>
      </c>
      <c r="C980" s="217">
        <f t="shared" si="81"/>
        <v>9</v>
      </c>
      <c r="D980" s="217" t="str">
        <f t="shared" si="78"/>
        <v>17</v>
      </c>
      <c r="E980">
        <f t="shared" si="79"/>
        <v>2017</v>
      </c>
      <c r="F980" s="217" t="str">
        <f t="shared" si="80"/>
        <v>3Q17</v>
      </c>
      <c r="G980" s="218">
        <v>43007</v>
      </c>
      <c r="H980" s="217">
        <v>3.1619000000000002</v>
      </c>
    </row>
    <row r="981" spans="2:8">
      <c r="B981" s="217" t="str">
        <f t="shared" si="77"/>
        <v>4Q</v>
      </c>
      <c r="C981" s="217">
        <f t="shared" si="81"/>
        <v>10</v>
      </c>
      <c r="D981" s="217" t="str">
        <f t="shared" si="78"/>
        <v>17</v>
      </c>
      <c r="E981">
        <f t="shared" si="79"/>
        <v>2017</v>
      </c>
      <c r="F981" s="217" t="str">
        <f t="shared" si="80"/>
        <v>4Q17</v>
      </c>
      <c r="G981" s="218">
        <v>43010</v>
      </c>
      <c r="H981" s="217">
        <v>3.1543999999999999</v>
      </c>
    </row>
    <row r="982" spans="2:8">
      <c r="B982" s="217" t="str">
        <f t="shared" si="77"/>
        <v>4Q</v>
      </c>
      <c r="C982" s="217">
        <f t="shared" si="81"/>
        <v>10</v>
      </c>
      <c r="D982" s="217" t="str">
        <f t="shared" si="78"/>
        <v>17</v>
      </c>
      <c r="E982">
        <f t="shared" si="79"/>
        <v>2017</v>
      </c>
      <c r="F982" s="217" t="str">
        <f t="shared" si="80"/>
        <v>4Q17</v>
      </c>
      <c r="G982" s="218">
        <v>43011</v>
      </c>
      <c r="H982" s="217">
        <v>3.1427</v>
      </c>
    </row>
    <row r="983" spans="2:8">
      <c r="B983" s="217" t="str">
        <f t="shared" si="77"/>
        <v>4Q</v>
      </c>
      <c r="C983" s="217">
        <f t="shared" si="81"/>
        <v>10</v>
      </c>
      <c r="D983" s="217" t="str">
        <f t="shared" si="78"/>
        <v>17</v>
      </c>
      <c r="E983">
        <f t="shared" si="79"/>
        <v>2017</v>
      </c>
      <c r="F983" s="217" t="str">
        <f t="shared" si="80"/>
        <v>4Q17</v>
      </c>
      <c r="G983" s="218">
        <v>43012</v>
      </c>
      <c r="H983" s="217">
        <v>3.1352000000000002</v>
      </c>
    </row>
    <row r="984" spans="2:8">
      <c r="B984" s="217" t="str">
        <f t="shared" si="77"/>
        <v>4Q</v>
      </c>
      <c r="C984" s="217">
        <f t="shared" si="81"/>
        <v>10</v>
      </c>
      <c r="D984" s="217" t="str">
        <f t="shared" si="78"/>
        <v>17</v>
      </c>
      <c r="E984">
        <f t="shared" si="79"/>
        <v>2017</v>
      </c>
      <c r="F984" s="217" t="str">
        <f t="shared" si="80"/>
        <v>4Q17</v>
      </c>
      <c r="G984" s="218">
        <v>43013</v>
      </c>
      <c r="H984" s="217">
        <v>3.1543999999999999</v>
      </c>
    </row>
    <row r="985" spans="2:8">
      <c r="B985" s="217" t="str">
        <f t="shared" si="77"/>
        <v>4Q</v>
      </c>
      <c r="C985" s="217">
        <f t="shared" si="81"/>
        <v>10</v>
      </c>
      <c r="D985" s="217" t="str">
        <f t="shared" si="78"/>
        <v>17</v>
      </c>
      <c r="E985">
        <f t="shared" si="79"/>
        <v>2017</v>
      </c>
      <c r="F985" s="217" t="str">
        <f t="shared" si="80"/>
        <v>4Q17</v>
      </c>
      <c r="G985" s="218">
        <v>43014</v>
      </c>
      <c r="H985" s="217">
        <v>3.1560999999999999</v>
      </c>
    </row>
    <row r="986" spans="2:8">
      <c r="B986" s="217" t="str">
        <f t="shared" si="77"/>
        <v>4Q</v>
      </c>
      <c r="C986" s="217">
        <f t="shared" si="81"/>
        <v>10</v>
      </c>
      <c r="D986" s="217" t="str">
        <f t="shared" si="78"/>
        <v>17</v>
      </c>
      <c r="E986">
        <f t="shared" si="79"/>
        <v>2017</v>
      </c>
      <c r="F986" s="217" t="str">
        <f t="shared" si="80"/>
        <v>4Q17</v>
      </c>
      <c r="G986" s="218">
        <v>43017</v>
      </c>
      <c r="H986" s="217">
        <v>3.1888000000000001</v>
      </c>
    </row>
    <row r="987" spans="2:8">
      <c r="B987" s="217" t="str">
        <f t="shared" si="77"/>
        <v>4Q</v>
      </c>
      <c r="C987" s="217">
        <f t="shared" si="81"/>
        <v>10</v>
      </c>
      <c r="D987" s="217" t="str">
        <f t="shared" si="78"/>
        <v>17</v>
      </c>
      <c r="E987">
        <f t="shared" si="79"/>
        <v>2017</v>
      </c>
      <c r="F987" s="217" t="str">
        <f t="shared" si="80"/>
        <v>4Q17</v>
      </c>
      <c r="G987" s="218">
        <v>43018</v>
      </c>
      <c r="H987" s="217">
        <v>3.1795</v>
      </c>
    </row>
    <row r="988" spans="2:8">
      <c r="B988" s="217" t="str">
        <f t="shared" si="77"/>
        <v>4Q</v>
      </c>
      <c r="C988" s="217">
        <f t="shared" si="81"/>
        <v>10</v>
      </c>
      <c r="D988" s="217" t="str">
        <f t="shared" si="78"/>
        <v>17</v>
      </c>
      <c r="E988">
        <f t="shared" si="79"/>
        <v>2017</v>
      </c>
      <c r="F988" s="217" t="str">
        <f t="shared" si="80"/>
        <v>4Q17</v>
      </c>
      <c r="G988" s="218">
        <v>43019</v>
      </c>
      <c r="H988" s="217">
        <v>3.1724000000000001</v>
      </c>
    </row>
    <row r="989" spans="2:8">
      <c r="B989" s="217" t="str">
        <f t="shared" si="77"/>
        <v>4Q</v>
      </c>
      <c r="C989" s="217">
        <f t="shared" si="81"/>
        <v>10</v>
      </c>
      <c r="D989" s="217" t="str">
        <f t="shared" si="78"/>
        <v>17</v>
      </c>
      <c r="E989">
        <f t="shared" si="79"/>
        <v>2017</v>
      </c>
      <c r="F989" s="217" t="str">
        <f t="shared" si="80"/>
        <v>4Q17</v>
      </c>
      <c r="G989" s="218">
        <v>43020</v>
      </c>
      <c r="H989" s="217">
        <v>3.1705000000000001</v>
      </c>
    </row>
    <row r="990" spans="2:8">
      <c r="B990" s="217" t="str">
        <f t="shared" si="77"/>
        <v>4Q</v>
      </c>
      <c r="C990" s="217">
        <f t="shared" si="81"/>
        <v>10</v>
      </c>
      <c r="D990" s="217" t="str">
        <f t="shared" si="78"/>
        <v>17</v>
      </c>
      <c r="E990">
        <f t="shared" si="79"/>
        <v>2017</v>
      </c>
      <c r="F990" s="217" t="str">
        <f t="shared" si="80"/>
        <v>4Q17</v>
      </c>
      <c r="G990" s="218">
        <v>43021</v>
      </c>
      <c r="H990" s="217">
        <v>3.1452</v>
      </c>
    </row>
    <row r="991" spans="2:8">
      <c r="B991" s="217" t="str">
        <f t="shared" si="77"/>
        <v>4Q</v>
      </c>
      <c r="C991" s="217">
        <f t="shared" si="81"/>
        <v>10</v>
      </c>
      <c r="D991" s="217" t="str">
        <f t="shared" si="78"/>
        <v>17</v>
      </c>
      <c r="E991">
        <f t="shared" si="79"/>
        <v>2017</v>
      </c>
      <c r="F991" s="217" t="str">
        <f t="shared" si="80"/>
        <v>4Q17</v>
      </c>
      <c r="G991" s="218">
        <v>43024</v>
      </c>
      <c r="H991" s="217">
        <v>3.1711999999999998</v>
      </c>
    </row>
    <row r="992" spans="2:8">
      <c r="B992" s="217" t="str">
        <f t="shared" si="77"/>
        <v>4Q</v>
      </c>
      <c r="C992" s="217">
        <f t="shared" si="81"/>
        <v>10</v>
      </c>
      <c r="D992" s="217" t="str">
        <f t="shared" si="78"/>
        <v>17</v>
      </c>
      <c r="E992">
        <f t="shared" si="79"/>
        <v>2017</v>
      </c>
      <c r="F992" s="217" t="str">
        <f t="shared" si="80"/>
        <v>4Q17</v>
      </c>
      <c r="G992" s="218">
        <v>43025</v>
      </c>
      <c r="H992" s="217">
        <v>3.1579999999999999</v>
      </c>
    </row>
    <row r="993" spans="2:8">
      <c r="B993" s="217" t="str">
        <f t="shared" si="77"/>
        <v>4Q</v>
      </c>
      <c r="C993" s="217">
        <f t="shared" si="81"/>
        <v>10</v>
      </c>
      <c r="D993" s="217" t="str">
        <f t="shared" si="78"/>
        <v>17</v>
      </c>
      <c r="E993">
        <f t="shared" si="79"/>
        <v>2017</v>
      </c>
      <c r="F993" s="217" t="str">
        <f t="shared" si="80"/>
        <v>4Q17</v>
      </c>
      <c r="G993" s="218">
        <v>43026</v>
      </c>
      <c r="H993" s="217">
        <v>3.1711</v>
      </c>
    </row>
    <row r="994" spans="2:8">
      <c r="B994" s="217" t="str">
        <f t="shared" si="77"/>
        <v>4Q</v>
      </c>
      <c r="C994" s="217">
        <f t="shared" si="81"/>
        <v>10</v>
      </c>
      <c r="D994" s="217" t="str">
        <f t="shared" si="78"/>
        <v>17</v>
      </c>
      <c r="E994">
        <f t="shared" si="79"/>
        <v>2017</v>
      </c>
      <c r="F994" s="217" t="str">
        <f t="shared" si="80"/>
        <v>4Q17</v>
      </c>
      <c r="G994" s="218">
        <v>43027</v>
      </c>
      <c r="H994" s="217">
        <v>3.1671</v>
      </c>
    </row>
    <row r="995" spans="2:8">
      <c r="B995" s="217" t="str">
        <f t="shared" si="77"/>
        <v>4Q</v>
      </c>
      <c r="C995" s="217">
        <f t="shared" si="81"/>
        <v>10</v>
      </c>
      <c r="D995" s="217" t="str">
        <f t="shared" si="78"/>
        <v>17</v>
      </c>
      <c r="E995">
        <f t="shared" si="79"/>
        <v>2017</v>
      </c>
      <c r="F995" s="217" t="str">
        <f t="shared" si="80"/>
        <v>4Q17</v>
      </c>
      <c r="G995" s="218">
        <v>43028</v>
      </c>
      <c r="H995" s="217">
        <v>3.1924999999999999</v>
      </c>
    </row>
    <row r="996" spans="2:8">
      <c r="B996" s="217" t="str">
        <f t="shared" si="77"/>
        <v>4Q</v>
      </c>
      <c r="C996" s="217">
        <f t="shared" si="81"/>
        <v>10</v>
      </c>
      <c r="D996" s="217" t="str">
        <f t="shared" si="78"/>
        <v>17</v>
      </c>
      <c r="E996">
        <f t="shared" si="79"/>
        <v>2017</v>
      </c>
      <c r="F996" s="217" t="str">
        <f t="shared" si="80"/>
        <v>4Q17</v>
      </c>
      <c r="G996" s="218">
        <v>43031</v>
      </c>
      <c r="H996" s="217">
        <v>3.2378</v>
      </c>
    </row>
    <row r="997" spans="2:8">
      <c r="B997" s="217" t="str">
        <f t="shared" si="77"/>
        <v>4Q</v>
      </c>
      <c r="C997" s="217">
        <f t="shared" si="81"/>
        <v>10</v>
      </c>
      <c r="D997" s="217" t="str">
        <f t="shared" si="78"/>
        <v>17</v>
      </c>
      <c r="E997">
        <f t="shared" si="79"/>
        <v>2017</v>
      </c>
      <c r="F997" s="217" t="str">
        <f t="shared" si="80"/>
        <v>4Q17</v>
      </c>
      <c r="G997" s="218">
        <v>43032</v>
      </c>
      <c r="H997" s="217">
        <v>3.2435</v>
      </c>
    </row>
    <row r="998" spans="2:8">
      <c r="B998" s="217" t="str">
        <f t="shared" si="77"/>
        <v>4Q</v>
      </c>
      <c r="C998" s="217">
        <f t="shared" si="81"/>
        <v>10</v>
      </c>
      <c r="D998" s="217" t="str">
        <f t="shared" si="78"/>
        <v>17</v>
      </c>
      <c r="E998">
        <f t="shared" si="79"/>
        <v>2017</v>
      </c>
      <c r="F998" s="217" t="str">
        <f t="shared" si="80"/>
        <v>4Q17</v>
      </c>
      <c r="G998" s="218">
        <v>43033</v>
      </c>
      <c r="H998" s="217">
        <v>3.2332000000000001</v>
      </c>
    </row>
    <row r="999" spans="2:8">
      <c r="B999" s="217" t="str">
        <f t="shared" si="77"/>
        <v>4Q</v>
      </c>
      <c r="C999" s="217">
        <f t="shared" si="81"/>
        <v>10</v>
      </c>
      <c r="D999" s="217" t="str">
        <f t="shared" si="78"/>
        <v>17</v>
      </c>
      <c r="E999">
        <f t="shared" si="79"/>
        <v>2017</v>
      </c>
      <c r="F999" s="217" t="str">
        <f t="shared" si="80"/>
        <v>4Q17</v>
      </c>
      <c r="G999" s="218">
        <v>43034</v>
      </c>
      <c r="H999" s="217">
        <v>3.2905000000000002</v>
      </c>
    </row>
    <row r="1000" spans="2:8">
      <c r="B1000" s="217" t="str">
        <f t="shared" si="77"/>
        <v>4Q</v>
      </c>
      <c r="C1000" s="217">
        <f t="shared" si="81"/>
        <v>10</v>
      </c>
      <c r="D1000" s="217" t="str">
        <f t="shared" si="78"/>
        <v>17</v>
      </c>
      <c r="E1000">
        <f t="shared" si="79"/>
        <v>2017</v>
      </c>
      <c r="F1000" s="217" t="str">
        <f t="shared" si="80"/>
        <v>4Q17</v>
      </c>
      <c r="G1000" s="218">
        <v>43035</v>
      </c>
      <c r="H1000" s="217">
        <v>3.2363</v>
      </c>
    </row>
    <row r="1001" spans="2:8">
      <c r="B1001" s="217" t="str">
        <f t="shared" si="77"/>
        <v>4Q</v>
      </c>
      <c r="C1001" s="217">
        <f t="shared" si="81"/>
        <v>10</v>
      </c>
      <c r="D1001" s="217" t="str">
        <f t="shared" si="78"/>
        <v>17</v>
      </c>
      <c r="E1001">
        <f t="shared" si="79"/>
        <v>2017</v>
      </c>
      <c r="F1001" s="217" t="str">
        <f t="shared" si="80"/>
        <v>4Q17</v>
      </c>
      <c r="G1001" s="218">
        <v>43038</v>
      </c>
      <c r="H1001" s="217">
        <v>3.2890999999999999</v>
      </c>
    </row>
    <row r="1002" spans="2:8">
      <c r="B1002" s="217" t="str">
        <f t="shared" si="77"/>
        <v>4Q</v>
      </c>
      <c r="C1002" s="217">
        <f t="shared" si="81"/>
        <v>10</v>
      </c>
      <c r="D1002" s="217" t="str">
        <f t="shared" si="78"/>
        <v>17</v>
      </c>
      <c r="E1002">
        <f t="shared" si="79"/>
        <v>2017</v>
      </c>
      <c r="F1002" s="217" t="str">
        <f t="shared" si="80"/>
        <v>4Q17</v>
      </c>
      <c r="G1002" s="218">
        <v>43039</v>
      </c>
      <c r="H1002" s="217">
        <v>3.2728000000000002</v>
      </c>
    </row>
    <row r="1003" spans="2:8">
      <c r="B1003" s="217" t="str">
        <f t="shared" si="77"/>
        <v>4Q</v>
      </c>
      <c r="C1003" s="217">
        <f t="shared" si="81"/>
        <v>11</v>
      </c>
      <c r="D1003" s="217" t="str">
        <f t="shared" si="78"/>
        <v>17</v>
      </c>
      <c r="E1003">
        <f t="shared" si="79"/>
        <v>2017</v>
      </c>
      <c r="F1003" s="217" t="str">
        <f t="shared" si="80"/>
        <v>4Q17</v>
      </c>
      <c r="G1003" s="218">
        <v>43040</v>
      </c>
      <c r="H1003" s="217">
        <v>3.2675999999999998</v>
      </c>
    </row>
    <row r="1004" spans="2:8">
      <c r="B1004" s="217" t="str">
        <f t="shared" si="77"/>
        <v>4Q</v>
      </c>
      <c r="C1004" s="217">
        <f t="shared" si="81"/>
        <v>11</v>
      </c>
      <c r="D1004" s="217" t="str">
        <f t="shared" si="78"/>
        <v>17</v>
      </c>
      <c r="E1004">
        <f t="shared" si="79"/>
        <v>2017</v>
      </c>
      <c r="F1004" s="217" t="str">
        <f t="shared" si="80"/>
        <v>4Q17</v>
      </c>
      <c r="G1004" s="218">
        <v>43041</v>
      </c>
      <c r="H1004" s="217">
        <v>3.2679999999999998</v>
      </c>
    </row>
    <row r="1005" spans="2:8">
      <c r="B1005" s="217" t="str">
        <f t="shared" si="77"/>
        <v>4Q</v>
      </c>
      <c r="C1005" s="217">
        <f t="shared" si="81"/>
        <v>11</v>
      </c>
      <c r="D1005" s="217" t="str">
        <f t="shared" si="78"/>
        <v>17</v>
      </c>
      <c r="E1005">
        <f t="shared" si="79"/>
        <v>2017</v>
      </c>
      <c r="F1005" s="217" t="str">
        <f t="shared" si="80"/>
        <v>4Q17</v>
      </c>
      <c r="G1005" s="218">
        <v>43042</v>
      </c>
      <c r="H1005" s="217">
        <v>3.3144</v>
      </c>
    </row>
    <row r="1006" spans="2:8">
      <c r="B1006" s="217" t="str">
        <f t="shared" si="77"/>
        <v>4Q</v>
      </c>
      <c r="C1006" s="217">
        <f t="shared" si="81"/>
        <v>11</v>
      </c>
      <c r="D1006" s="217" t="str">
        <f t="shared" si="78"/>
        <v>17</v>
      </c>
      <c r="E1006">
        <f t="shared" si="79"/>
        <v>2017</v>
      </c>
      <c r="F1006" s="217" t="str">
        <f t="shared" si="80"/>
        <v>4Q17</v>
      </c>
      <c r="G1006" s="218">
        <v>43045</v>
      </c>
      <c r="H1006" s="217">
        <v>3.2494999999999998</v>
      </c>
    </row>
    <row r="1007" spans="2:8">
      <c r="B1007" s="217" t="str">
        <f t="shared" si="77"/>
        <v>4Q</v>
      </c>
      <c r="C1007" s="217">
        <f t="shared" si="81"/>
        <v>11</v>
      </c>
      <c r="D1007" s="217" t="str">
        <f t="shared" si="78"/>
        <v>17</v>
      </c>
      <c r="E1007">
        <f t="shared" si="79"/>
        <v>2017</v>
      </c>
      <c r="F1007" s="217" t="str">
        <f t="shared" si="80"/>
        <v>4Q17</v>
      </c>
      <c r="G1007" s="218">
        <v>43046</v>
      </c>
      <c r="H1007" s="217">
        <v>3.2713999999999999</v>
      </c>
    </row>
    <row r="1008" spans="2:8">
      <c r="B1008" s="217" t="str">
        <f t="shared" si="77"/>
        <v>4Q</v>
      </c>
      <c r="C1008" s="217">
        <f t="shared" si="81"/>
        <v>11</v>
      </c>
      <c r="D1008" s="217" t="str">
        <f t="shared" si="78"/>
        <v>17</v>
      </c>
      <c r="E1008">
        <f t="shared" si="79"/>
        <v>2017</v>
      </c>
      <c r="F1008" s="217" t="str">
        <f t="shared" si="80"/>
        <v>4Q17</v>
      </c>
      <c r="G1008" s="218">
        <v>43047</v>
      </c>
      <c r="H1008" s="217">
        <v>3.2547999999999999</v>
      </c>
    </row>
    <row r="1009" spans="2:8">
      <c r="B1009" s="217" t="str">
        <f t="shared" si="77"/>
        <v>4Q</v>
      </c>
      <c r="C1009" s="217">
        <f t="shared" si="81"/>
        <v>11</v>
      </c>
      <c r="D1009" s="217" t="str">
        <f t="shared" si="78"/>
        <v>17</v>
      </c>
      <c r="E1009">
        <f t="shared" si="79"/>
        <v>2017</v>
      </c>
      <c r="F1009" s="217" t="str">
        <f t="shared" si="80"/>
        <v>4Q17</v>
      </c>
      <c r="G1009" s="218">
        <v>43048</v>
      </c>
      <c r="H1009" s="217">
        <v>3.2521</v>
      </c>
    </row>
    <row r="1010" spans="2:8">
      <c r="B1010" s="217" t="str">
        <f t="shared" si="77"/>
        <v>4Q</v>
      </c>
      <c r="C1010" s="217">
        <f t="shared" si="81"/>
        <v>11</v>
      </c>
      <c r="D1010" s="217" t="str">
        <f t="shared" si="78"/>
        <v>17</v>
      </c>
      <c r="E1010">
        <f t="shared" si="79"/>
        <v>2017</v>
      </c>
      <c r="F1010" s="217" t="str">
        <f t="shared" si="80"/>
        <v>4Q17</v>
      </c>
      <c r="G1010" s="218">
        <v>43049</v>
      </c>
      <c r="H1010" s="217">
        <v>3.2778999999999998</v>
      </c>
    </row>
    <row r="1011" spans="2:8">
      <c r="B1011" s="217" t="str">
        <f t="shared" si="77"/>
        <v>4Q</v>
      </c>
      <c r="C1011" s="217">
        <f t="shared" si="81"/>
        <v>11</v>
      </c>
      <c r="D1011" s="217" t="str">
        <f t="shared" si="78"/>
        <v>17</v>
      </c>
      <c r="E1011">
        <f t="shared" si="79"/>
        <v>2017</v>
      </c>
      <c r="F1011" s="217" t="str">
        <f t="shared" si="80"/>
        <v>4Q17</v>
      </c>
      <c r="G1011" s="218">
        <v>43052</v>
      </c>
      <c r="H1011" s="217">
        <v>3.2793999999999999</v>
      </c>
    </row>
    <row r="1012" spans="2:8">
      <c r="B1012" s="217" t="str">
        <f t="shared" si="77"/>
        <v>4Q</v>
      </c>
      <c r="C1012" s="217">
        <f t="shared" si="81"/>
        <v>11</v>
      </c>
      <c r="D1012" s="217" t="str">
        <f t="shared" si="78"/>
        <v>17</v>
      </c>
      <c r="E1012">
        <f t="shared" si="79"/>
        <v>2017</v>
      </c>
      <c r="F1012" s="217" t="str">
        <f t="shared" si="80"/>
        <v>4Q17</v>
      </c>
      <c r="G1012" s="218">
        <v>43053</v>
      </c>
      <c r="H1012" s="217">
        <v>3.3130999999999999</v>
      </c>
    </row>
    <row r="1013" spans="2:8">
      <c r="B1013" s="217" t="str">
        <f t="shared" si="77"/>
        <v>4Q</v>
      </c>
      <c r="C1013" s="217">
        <f t="shared" si="81"/>
        <v>11</v>
      </c>
      <c r="D1013" s="217" t="str">
        <f t="shared" si="78"/>
        <v>17</v>
      </c>
      <c r="E1013">
        <f t="shared" si="79"/>
        <v>2017</v>
      </c>
      <c r="F1013" s="217" t="str">
        <f t="shared" si="80"/>
        <v>4Q17</v>
      </c>
      <c r="G1013" s="218">
        <v>43054</v>
      </c>
      <c r="H1013" s="217">
        <v>3.3132999999999999</v>
      </c>
    </row>
    <row r="1014" spans="2:8">
      <c r="B1014" s="217" t="str">
        <f t="shared" si="77"/>
        <v>4Q</v>
      </c>
      <c r="C1014" s="217">
        <f t="shared" si="81"/>
        <v>11</v>
      </c>
      <c r="D1014" s="217" t="str">
        <f t="shared" si="78"/>
        <v>17</v>
      </c>
      <c r="E1014">
        <f t="shared" si="79"/>
        <v>2017</v>
      </c>
      <c r="F1014" s="217" t="str">
        <f t="shared" si="80"/>
        <v>4Q17</v>
      </c>
      <c r="G1014" s="218">
        <v>43055</v>
      </c>
      <c r="H1014" s="217">
        <v>3.274</v>
      </c>
    </row>
    <row r="1015" spans="2:8">
      <c r="B1015" s="217" t="str">
        <f t="shared" si="77"/>
        <v>4Q</v>
      </c>
      <c r="C1015" s="217">
        <f t="shared" si="81"/>
        <v>11</v>
      </c>
      <c r="D1015" s="217" t="str">
        <f t="shared" si="78"/>
        <v>17</v>
      </c>
      <c r="E1015">
        <f t="shared" si="79"/>
        <v>2017</v>
      </c>
      <c r="F1015" s="217" t="str">
        <f t="shared" si="80"/>
        <v>4Q17</v>
      </c>
      <c r="G1015" s="218">
        <v>43056</v>
      </c>
      <c r="H1015" s="217">
        <v>3.2574000000000001</v>
      </c>
    </row>
    <row r="1016" spans="2:8">
      <c r="B1016" s="217" t="str">
        <f t="shared" si="77"/>
        <v>4Q</v>
      </c>
      <c r="C1016" s="217">
        <f t="shared" si="81"/>
        <v>11</v>
      </c>
      <c r="D1016" s="217" t="str">
        <f t="shared" si="78"/>
        <v>17</v>
      </c>
      <c r="E1016">
        <f t="shared" si="79"/>
        <v>2017</v>
      </c>
      <c r="F1016" s="217" t="str">
        <f t="shared" si="80"/>
        <v>4Q17</v>
      </c>
      <c r="G1016" s="218">
        <v>43059</v>
      </c>
      <c r="H1016" s="217">
        <v>3.2572999999999999</v>
      </c>
    </row>
    <row r="1017" spans="2:8">
      <c r="B1017" s="217" t="str">
        <f t="shared" si="77"/>
        <v>4Q</v>
      </c>
      <c r="C1017" s="217">
        <f t="shared" si="81"/>
        <v>11</v>
      </c>
      <c r="D1017" s="217" t="str">
        <f t="shared" si="78"/>
        <v>17</v>
      </c>
      <c r="E1017">
        <f t="shared" si="79"/>
        <v>2017</v>
      </c>
      <c r="F1017" s="217" t="str">
        <f t="shared" si="80"/>
        <v>4Q17</v>
      </c>
      <c r="G1017" s="218">
        <v>43060</v>
      </c>
      <c r="H1017" s="217">
        <v>3.2587999999999999</v>
      </c>
    </row>
    <row r="1018" spans="2:8">
      <c r="B1018" s="217" t="str">
        <f t="shared" si="77"/>
        <v>4Q</v>
      </c>
      <c r="C1018" s="217">
        <f t="shared" si="81"/>
        <v>11</v>
      </c>
      <c r="D1018" s="217" t="str">
        <f t="shared" si="78"/>
        <v>17</v>
      </c>
      <c r="E1018">
        <f t="shared" si="79"/>
        <v>2017</v>
      </c>
      <c r="F1018" s="217" t="str">
        <f t="shared" si="80"/>
        <v>4Q17</v>
      </c>
      <c r="G1018" s="218">
        <v>43061</v>
      </c>
      <c r="H1018" s="217">
        <v>3.2242999999999999</v>
      </c>
    </row>
    <row r="1019" spans="2:8">
      <c r="B1019" s="217" t="str">
        <f t="shared" si="77"/>
        <v>4Q</v>
      </c>
      <c r="C1019" s="217">
        <f t="shared" si="81"/>
        <v>11</v>
      </c>
      <c r="D1019" s="217" t="str">
        <f t="shared" si="78"/>
        <v>17</v>
      </c>
      <c r="E1019">
        <f t="shared" si="79"/>
        <v>2017</v>
      </c>
      <c r="F1019" s="217" t="str">
        <f t="shared" si="80"/>
        <v>4Q17</v>
      </c>
      <c r="G1019" s="218">
        <v>43062</v>
      </c>
      <c r="H1019" s="217">
        <v>3.2219000000000002</v>
      </c>
    </row>
    <row r="1020" spans="2:8">
      <c r="B1020" s="217" t="str">
        <f t="shared" si="77"/>
        <v>4Q</v>
      </c>
      <c r="C1020" s="217">
        <f t="shared" si="81"/>
        <v>11</v>
      </c>
      <c r="D1020" s="217" t="str">
        <f t="shared" si="78"/>
        <v>17</v>
      </c>
      <c r="E1020">
        <f t="shared" si="79"/>
        <v>2017</v>
      </c>
      <c r="F1020" s="217" t="str">
        <f t="shared" si="80"/>
        <v>4Q17</v>
      </c>
      <c r="G1020" s="218">
        <v>43063</v>
      </c>
      <c r="H1020" s="217">
        <v>3.2330000000000001</v>
      </c>
    </row>
    <row r="1021" spans="2:8">
      <c r="B1021" s="217" t="str">
        <f t="shared" si="77"/>
        <v>4Q</v>
      </c>
      <c r="C1021" s="217">
        <f t="shared" si="81"/>
        <v>11</v>
      </c>
      <c r="D1021" s="217" t="str">
        <f t="shared" si="78"/>
        <v>17</v>
      </c>
      <c r="E1021">
        <f t="shared" si="79"/>
        <v>2017</v>
      </c>
      <c r="F1021" s="217" t="str">
        <f t="shared" si="80"/>
        <v>4Q17</v>
      </c>
      <c r="G1021" s="218">
        <v>43066</v>
      </c>
      <c r="H1021" s="217">
        <v>3.2277999999999998</v>
      </c>
    </row>
    <row r="1022" spans="2:8">
      <c r="B1022" s="217" t="str">
        <f t="shared" si="77"/>
        <v>4Q</v>
      </c>
      <c r="C1022" s="217">
        <f t="shared" si="81"/>
        <v>11</v>
      </c>
      <c r="D1022" s="217" t="str">
        <f t="shared" si="78"/>
        <v>17</v>
      </c>
      <c r="E1022">
        <f t="shared" si="79"/>
        <v>2017</v>
      </c>
      <c r="F1022" s="217" t="str">
        <f t="shared" si="80"/>
        <v>4Q17</v>
      </c>
      <c r="G1022" s="218">
        <v>43067</v>
      </c>
      <c r="H1022" s="217">
        <v>3.2130999999999998</v>
      </c>
    </row>
    <row r="1023" spans="2:8">
      <c r="B1023" s="217" t="str">
        <f t="shared" si="77"/>
        <v>4Q</v>
      </c>
      <c r="C1023" s="217">
        <f t="shared" si="81"/>
        <v>11</v>
      </c>
      <c r="D1023" s="217" t="str">
        <f t="shared" si="78"/>
        <v>17</v>
      </c>
      <c r="E1023">
        <f t="shared" si="79"/>
        <v>2017</v>
      </c>
      <c r="F1023" s="217" t="str">
        <f t="shared" si="80"/>
        <v>4Q17</v>
      </c>
      <c r="G1023" s="218">
        <v>43068</v>
      </c>
      <c r="H1023" s="217">
        <v>3.2461000000000002</v>
      </c>
    </row>
    <row r="1024" spans="2:8">
      <c r="B1024" s="217" t="str">
        <f t="shared" si="77"/>
        <v>4Q</v>
      </c>
      <c r="C1024" s="217">
        <f t="shared" si="81"/>
        <v>11</v>
      </c>
      <c r="D1024" s="217" t="str">
        <f t="shared" si="78"/>
        <v>17</v>
      </c>
      <c r="E1024">
        <f t="shared" si="79"/>
        <v>2017</v>
      </c>
      <c r="F1024" s="217" t="str">
        <f t="shared" si="80"/>
        <v>4Q17</v>
      </c>
      <c r="G1024" s="218">
        <v>43069</v>
      </c>
      <c r="H1024" s="217">
        <v>3.2726999999999999</v>
      </c>
    </row>
    <row r="1025" spans="2:8">
      <c r="B1025" s="217" t="str">
        <f t="shared" si="77"/>
        <v>4Q</v>
      </c>
      <c r="C1025" s="217">
        <f t="shared" si="81"/>
        <v>12</v>
      </c>
      <c r="D1025" s="217" t="str">
        <f t="shared" si="78"/>
        <v>17</v>
      </c>
      <c r="E1025">
        <f t="shared" si="79"/>
        <v>2017</v>
      </c>
      <c r="F1025" s="217" t="str">
        <f t="shared" si="80"/>
        <v>4Q17</v>
      </c>
      <c r="G1025" s="218">
        <v>43070</v>
      </c>
      <c r="H1025" s="217">
        <v>3.2581000000000002</v>
      </c>
    </row>
    <row r="1026" spans="2:8">
      <c r="B1026" s="217" t="str">
        <f t="shared" si="77"/>
        <v>4Q</v>
      </c>
      <c r="C1026" s="217">
        <f t="shared" si="81"/>
        <v>12</v>
      </c>
      <c r="D1026" s="217" t="str">
        <f t="shared" si="78"/>
        <v>17</v>
      </c>
      <c r="E1026">
        <f t="shared" si="79"/>
        <v>2017</v>
      </c>
      <c r="F1026" s="217" t="str">
        <f t="shared" si="80"/>
        <v>4Q17</v>
      </c>
      <c r="G1026" s="218">
        <v>43073</v>
      </c>
      <c r="H1026" s="217">
        <v>3.2442000000000002</v>
      </c>
    </row>
    <row r="1027" spans="2:8">
      <c r="B1027" s="217" t="str">
        <f t="shared" ref="B1027:B1090" si="82">VLOOKUP(C1027,$N$3:$O$14,2,0)</f>
        <v>4Q</v>
      </c>
      <c r="C1027" s="217">
        <f t="shared" si="81"/>
        <v>12</v>
      </c>
      <c r="D1027" s="217" t="str">
        <f t="shared" ref="D1027:D1090" si="83">RIGHT(E1027,2)</f>
        <v>17</v>
      </c>
      <c r="E1027">
        <f t="shared" ref="E1027:E1090" si="84">YEAR(G1027)</f>
        <v>2017</v>
      </c>
      <c r="F1027" s="217" t="str">
        <f t="shared" ref="F1027:F1090" si="85">+B1027&amp;D1027</f>
        <v>4Q17</v>
      </c>
      <c r="G1027" s="218">
        <v>43074</v>
      </c>
      <c r="H1027" s="217">
        <v>3.2418</v>
      </c>
    </row>
    <row r="1028" spans="2:8">
      <c r="B1028" s="217" t="str">
        <f t="shared" si="82"/>
        <v>4Q</v>
      </c>
      <c r="C1028" s="217">
        <f t="shared" ref="C1028:C1091" si="86">MONTH(G1028)</f>
        <v>12</v>
      </c>
      <c r="D1028" s="217" t="str">
        <f t="shared" si="83"/>
        <v>17</v>
      </c>
      <c r="E1028">
        <f t="shared" si="84"/>
        <v>2017</v>
      </c>
      <c r="F1028" s="217" t="str">
        <f t="shared" si="85"/>
        <v>4Q17</v>
      </c>
      <c r="G1028" s="218">
        <v>43075</v>
      </c>
      <c r="H1028" s="217">
        <v>3.2357</v>
      </c>
    </row>
    <row r="1029" spans="2:8">
      <c r="B1029" s="217" t="str">
        <f t="shared" si="82"/>
        <v>4Q</v>
      </c>
      <c r="C1029" s="217">
        <f t="shared" si="86"/>
        <v>12</v>
      </c>
      <c r="D1029" s="217" t="str">
        <f t="shared" si="83"/>
        <v>17</v>
      </c>
      <c r="E1029">
        <f t="shared" si="84"/>
        <v>2017</v>
      </c>
      <c r="F1029" s="217" t="str">
        <f t="shared" si="85"/>
        <v>4Q17</v>
      </c>
      <c r="G1029" s="218">
        <v>43076</v>
      </c>
      <c r="H1029" s="217">
        <v>3.2907000000000002</v>
      </c>
    </row>
    <row r="1030" spans="2:8">
      <c r="B1030" s="217" t="str">
        <f t="shared" si="82"/>
        <v>4Q</v>
      </c>
      <c r="C1030" s="217">
        <f t="shared" si="86"/>
        <v>12</v>
      </c>
      <c r="D1030" s="217" t="str">
        <f t="shared" si="83"/>
        <v>17</v>
      </c>
      <c r="E1030">
        <f t="shared" si="84"/>
        <v>2017</v>
      </c>
      <c r="F1030" s="217" t="str">
        <f t="shared" si="85"/>
        <v>4Q17</v>
      </c>
      <c r="G1030" s="218">
        <v>43077</v>
      </c>
      <c r="H1030" s="217">
        <v>3.2919</v>
      </c>
    </row>
    <row r="1031" spans="2:8">
      <c r="B1031" s="217" t="str">
        <f t="shared" si="82"/>
        <v>4Q</v>
      </c>
      <c r="C1031" s="217">
        <f t="shared" si="86"/>
        <v>12</v>
      </c>
      <c r="D1031" s="217" t="str">
        <f t="shared" si="83"/>
        <v>17</v>
      </c>
      <c r="E1031">
        <f t="shared" si="84"/>
        <v>2017</v>
      </c>
      <c r="F1031" s="217" t="str">
        <f t="shared" si="85"/>
        <v>4Q17</v>
      </c>
      <c r="G1031" s="218">
        <v>43080</v>
      </c>
      <c r="H1031" s="217">
        <v>3.3048000000000002</v>
      </c>
    </row>
    <row r="1032" spans="2:8">
      <c r="B1032" s="217" t="str">
        <f t="shared" si="82"/>
        <v>4Q</v>
      </c>
      <c r="C1032" s="217">
        <f t="shared" si="86"/>
        <v>12</v>
      </c>
      <c r="D1032" s="217" t="str">
        <f t="shared" si="83"/>
        <v>17</v>
      </c>
      <c r="E1032">
        <f t="shared" si="84"/>
        <v>2017</v>
      </c>
      <c r="F1032" s="217" t="str">
        <f t="shared" si="85"/>
        <v>4Q17</v>
      </c>
      <c r="G1032" s="218">
        <v>43081</v>
      </c>
      <c r="H1032" s="217">
        <v>3.3065000000000002</v>
      </c>
    </row>
    <row r="1033" spans="2:8">
      <c r="B1033" s="217" t="str">
        <f t="shared" si="82"/>
        <v>4Q</v>
      </c>
      <c r="C1033" s="217">
        <f t="shared" si="86"/>
        <v>12</v>
      </c>
      <c r="D1033" s="217" t="str">
        <f t="shared" si="83"/>
        <v>17</v>
      </c>
      <c r="E1033">
        <f t="shared" si="84"/>
        <v>2017</v>
      </c>
      <c r="F1033" s="217" t="str">
        <f t="shared" si="85"/>
        <v>4Q17</v>
      </c>
      <c r="G1033" s="218">
        <v>43082</v>
      </c>
      <c r="H1033" s="217">
        <v>3.31</v>
      </c>
    </row>
    <row r="1034" spans="2:8">
      <c r="B1034" s="217" t="str">
        <f t="shared" si="82"/>
        <v>4Q</v>
      </c>
      <c r="C1034" s="217">
        <f t="shared" si="86"/>
        <v>12</v>
      </c>
      <c r="D1034" s="217" t="str">
        <f t="shared" si="83"/>
        <v>17</v>
      </c>
      <c r="E1034">
        <f t="shared" si="84"/>
        <v>2017</v>
      </c>
      <c r="F1034" s="217" t="str">
        <f t="shared" si="85"/>
        <v>4Q17</v>
      </c>
      <c r="G1034" s="218">
        <v>43083</v>
      </c>
      <c r="H1034" s="217">
        <v>3.3418999999999999</v>
      </c>
    </row>
    <row r="1035" spans="2:8">
      <c r="B1035" s="217" t="str">
        <f t="shared" si="82"/>
        <v>4Q</v>
      </c>
      <c r="C1035" s="217">
        <f t="shared" si="86"/>
        <v>12</v>
      </c>
      <c r="D1035" s="217" t="str">
        <f t="shared" si="83"/>
        <v>17</v>
      </c>
      <c r="E1035">
        <f t="shared" si="84"/>
        <v>2017</v>
      </c>
      <c r="F1035" s="217" t="str">
        <f t="shared" si="85"/>
        <v>4Q17</v>
      </c>
      <c r="G1035" s="218">
        <v>43084</v>
      </c>
      <c r="H1035" s="217">
        <v>3.2947000000000002</v>
      </c>
    </row>
    <row r="1036" spans="2:8">
      <c r="B1036" s="217" t="str">
        <f t="shared" si="82"/>
        <v>4Q</v>
      </c>
      <c r="C1036" s="217">
        <f t="shared" si="86"/>
        <v>12</v>
      </c>
      <c r="D1036" s="217" t="str">
        <f t="shared" si="83"/>
        <v>17</v>
      </c>
      <c r="E1036">
        <f t="shared" si="84"/>
        <v>2017</v>
      </c>
      <c r="F1036" s="217" t="str">
        <f t="shared" si="85"/>
        <v>4Q17</v>
      </c>
      <c r="G1036" s="218">
        <v>43087</v>
      </c>
      <c r="H1036" s="217">
        <v>3.2923</v>
      </c>
    </row>
    <row r="1037" spans="2:8">
      <c r="B1037" s="217" t="str">
        <f t="shared" si="82"/>
        <v>4Q</v>
      </c>
      <c r="C1037" s="217">
        <f t="shared" si="86"/>
        <v>12</v>
      </c>
      <c r="D1037" s="217" t="str">
        <f t="shared" si="83"/>
        <v>17</v>
      </c>
      <c r="E1037">
        <f t="shared" si="84"/>
        <v>2017</v>
      </c>
      <c r="F1037" s="217" t="str">
        <f t="shared" si="85"/>
        <v>4Q17</v>
      </c>
      <c r="G1037" s="218">
        <v>43088</v>
      </c>
      <c r="H1037" s="217">
        <v>3.29</v>
      </c>
    </row>
    <row r="1038" spans="2:8">
      <c r="B1038" s="217" t="str">
        <f t="shared" si="82"/>
        <v>4Q</v>
      </c>
      <c r="C1038" s="217">
        <f t="shared" si="86"/>
        <v>12</v>
      </c>
      <c r="D1038" s="217" t="str">
        <f t="shared" si="83"/>
        <v>17</v>
      </c>
      <c r="E1038">
        <f t="shared" si="84"/>
        <v>2017</v>
      </c>
      <c r="F1038" s="217" t="str">
        <f t="shared" si="85"/>
        <v>4Q17</v>
      </c>
      <c r="G1038" s="218">
        <v>43089</v>
      </c>
      <c r="H1038" s="217">
        <v>3.2978999999999998</v>
      </c>
    </row>
    <row r="1039" spans="2:8">
      <c r="B1039" s="217" t="str">
        <f t="shared" si="82"/>
        <v>4Q</v>
      </c>
      <c r="C1039" s="217">
        <f t="shared" si="86"/>
        <v>12</v>
      </c>
      <c r="D1039" s="217" t="str">
        <f t="shared" si="83"/>
        <v>17</v>
      </c>
      <c r="E1039">
        <f t="shared" si="84"/>
        <v>2017</v>
      </c>
      <c r="F1039" s="217" t="str">
        <f t="shared" si="85"/>
        <v>4Q17</v>
      </c>
      <c r="G1039" s="218">
        <v>43090</v>
      </c>
      <c r="H1039" s="217">
        <v>3.3083999999999998</v>
      </c>
    </row>
    <row r="1040" spans="2:8">
      <c r="B1040" s="217" t="str">
        <f t="shared" si="82"/>
        <v>4Q</v>
      </c>
      <c r="C1040" s="217">
        <f t="shared" si="86"/>
        <v>12</v>
      </c>
      <c r="D1040" s="217" t="str">
        <f t="shared" si="83"/>
        <v>17</v>
      </c>
      <c r="E1040">
        <f t="shared" si="84"/>
        <v>2017</v>
      </c>
      <c r="F1040" s="217" t="str">
        <f t="shared" si="85"/>
        <v>4Q17</v>
      </c>
      <c r="G1040" s="218">
        <v>43091</v>
      </c>
      <c r="H1040" s="217">
        <v>3.3370000000000002</v>
      </c>
    </row>
    <row r="1041" spans="2:8">
      <c r="B1041" s="217" t="str">
        <f t="shared" si="82"/>
        <v>4Q</v>
      </c>
      <c r="C1041" s="217">
        <f t="shared" si="86"/>
        <v>12</v>
      </c>
      <c r="D1041" s="217" t="str">
        <f t="shared" si="83"/>
        <v>17</v>
      </c>
      <c r="E1041">
        <f t="shared" si="84"/>
        <v>2017</v>
      </c>
      <c r="F1041" s="217" t="str">
        <f t="shared" si="85"/>
        <v>4Q17</v>
      </c>
      <c r="G1041" s="218">
        <v>43094</v>
      </c>
      <c r="H1041" s="217">
        <v>3.3370000000000002</v>
      </c>
    </row>
    <row r="1042" spans="2:8">
      <c r="B1042" s="217" t="str">
        <f t="shared" si="82"/>
        <v>4Q</v>
      </c>
      <c r="C1042" s="217">
        <f t="shared" si="86"/>
        <v>12</v>
      </c>
      <c r="D1042" s="217" t="str">
        <f t="shared" si="83"/>
        <v>17</v>
      </c>
      <c r="E1042">
        <f t="shared" si="84"/>
        <v>2017</v>
      </c>
      <c r="F1042" s="217" t="str">
        <f t="shared" si="85"/>
        <v>4Q17</v>
      </c>
      <c r="G1042" s="218">
        <v>43095</v>
      </c>
      <c r="H1042" s="217">
        <v>3.3111000000000002</v>
      </c>
    </row>
    <row r="1043" spans="2:8">
      <c r="B1043" s="217" t="str">
        <f t="shared" si="82"/>
        <v>4Q</v>
      </c>
      <c r="C1043" s="217">
        <f t="shared" si="86"/>
        <v>12</v>
      </c>
      <c r="D1043" s="217" t="str">
        <f t="shared" si="83"/>
        <v>17</v>
      </c>
      <c r="E1043">
        <f t="shared" si="84"/>
        <v>2017</v>
      </c>
      <c r="F1043" s="217" t="str">
        <f t="shared" si="85"/>
        <v>4Q17</v>
      </c>
      <c r="G1043" s="218">
        <v>43096</v>
      </c>
      <c r="H1043" s="217">
        <v>3.3149999999999999</v>
      </c>
    </row>
    <row r="1044" spans="2:8">
      <c r="B1044" s="217" t="str">
        <f t="shared" si="82"/>
        <v>4Q</v>
      </c>
      <c r="C1044" s="217">
        <f t="shared" si="86"/>
        <v>12</v>
      </c>
      <c r="D1044" s="217" t="str">
        <f t="shared" si="83"/>
        <v>17</v>
      </c>
      <c r="E1044">
        <f t="shared" si="84"/>
        <v>2017</v>
      </c>
      <c r="F1044" s="217" t="str">
        <f t="shared" si="85"/>
        <v>4Q17</v>
      </c>
      <c r="G1044" s="218">
        <v>43097</v>
      </c>
      <c r="H1044" s="217">
        <v>3.3125</v>
      </c>
    </row>
    <row r="1045" spans="2:8">
      <c r="B1045" s="217" t="str">
        <f t="shared" si="82"/>
        <v>4Q</v>
      </c>
      <c r="C1045" s="217">
        <f t="shared" si="86"/>
        <v>12</v>
      </c>
      <c r="D1045" s="217" t="str">
        <f t="shared" si="83"/>
        <v>17</v>
      </c>
      <c r="E1045">
        <f t="shared" si="84"/>
        <v>2017</v>
      </c>
      <c r="F1045" s="217" t="str">
        <f t="shared" si="85"/>
        <v>4Q17</v>
      </c>
      <c r="G1045" s="218">
        <v>43098</v>
      </c>
      <c r="H1045" s="217">
        <v>3.3125</v>
      </c>
    </row>
    <row r="1046" spans="2:8">
      <c r="B1046" s="217" t="str">
        <f t="shared" si="82"/>
        <v>1Q</v>
      </c>
      <c r="C1046" s="217">
        <f t="shared" si="86"/>
        <v>1</v>
      </c>
      <c r="D1046" s="217" t="str">
        <f t="shared" si="83"/>
        <v>18</v>
      </c>
      <c r="E1046">
        <f t="shared" si="84"/>
        <v>2018</v>
      </c>
      <c r="F1046" s="217" t="str">
        <f t="shared" si="85"/>
        <v>1Q18</v>
      </c>
      <c r="G1046" s="218">
        <v>43101</v>
      </c>
      <c r="H1046" s="217">
        <v>3.3125</v>
      </c>
    </row>
    <row r="1047" spans="2:8">
      <c r="B1047" s="217" t="str">
        <f t="shared" si="82"/>
        <v>1Q</v>
      </c>
      <c r="C1047" s="217">
        <f t="shared" si="86"/>
        <v>1</v>
      </c>
      <c r="D1047" s="217" t="str">
        <f t="shared" si="83"/>
        <v>18</v>
      </c>
      <c r="E1047">
        <f t="shared" si="84"/>
        <v>2018</v>
      </c>
      <c r="F1047" s="217" t="str">
        <f t="shared" si="85"/>
        <v>1Q18</v>
      </c>
      <c r="G1047" s="218">
        <v>43102</v>
      </c>
      <c r="H1047" s="217">
        <v>3.2591000000000001</v>
      </c>
    </row>
    <row r="1048" spans="2:8">
      <c r="B1048" s="217" t="str">
        <f t="shared" si="82"/>
        <v>1Q</v>
      </c>
      <c r="C1048" s="217">
        <f t="shared" si="86"/>
        <v>1</v>
      </c>
      <c r="D1048" s="217" t="str">
        <f t="shared" si="83"/>
        <v>18</v>
      </c>
      <c r="E1048">
        <f t="shared" si="84"/>
        <v>2018</v>
      </c>
      <c r="F1048" s="217" t="str">
        <f t="shared" si="85"/>
        <v>1Q18</v>
      </c>
      <c r="G1048" s="218">
        <v>43103</v>
      </c>
      <c r="H1048" s="217">
        <v>3.2370000000000001</v>
      </c>
    </row>
    <row r="1049" spans="2:8">
      <c r="B1049" s="217" t="str">
        <f t="shared" si="82"/>
        <v>1Q</v>
      </c>
      <c r="C1049" s="217">
        <f t="shared" si="86"/>
        <v>1</v>
      </c>
      <c r="D1049" s="217" t="str">
        <f t="shared" si="83"/>
        <v>18</v>
      </c>
      <c r="E1049">
        <f t="shared" si="84"/>
        <v>2018</v>
      </c>
      <c r="F1049" s="217" t="str">
        <f t="shared" si="85"/>
        <v>1Q18</v>
      </c>
      <c r="G1049" s="218">
        <v>43104</v>
      </c>
      <c r="H1049" s="217">
        <v>3.2347000000000001</v>
      </c>
    </row>
    <row r="1050" spans="2:8">
      <c r="B1050" s="217" t="str">
        <f t="shared" si="82"/>
        <v>1Q</v>
      </c>
      <c r="C1050" s="217">
        <f t="shared" si="86"/>
        <v>1</v>
      </c>
      <c r="D1050" s="217" t="str">
        <f t="shared" si="83"/>
        <v>18</v>
      </c>
      <c r="E1050">
        <f t="shared" si="84"/>
        <v>2018</v>
      </c>
      <c r="F1050" s="217" t="str">
        <f t="shared" si="85"/>
        <v>1Q18</v>
      </c>
      <c r="G1050" s="218">
        <v>43105</v>
      </c>
      <c r="H1050" s="217">
        <v>3.2290999999999999</v>
      </c>
    </row>
    <row r="1051" spans="2:8">
      <c r="B1051" s="217" t="str">
        <f t="shared" si="82"/>
        <v>1Q</v>
      </c>
      <c r="C1051" s="217">
        <f t="shared" si="86"/>
        <v>1</v>
      </c>
      <c r="D1051" s="217" t="str">
        <f t="shared" si="83"/>
        <v>18</v>
      </c>
      <c r="E1051">
        <f t="shared" si="84"/>
        <v>2018</v>
      </c>
      <c r="F1051" s="217" t="str">
        <f t="shared" si="85"/>
        <v>1Q18</v>
      </c>
      <c r="G1051" s="218">
        <v>43108</v>
      </c>
      <c r="H1051" s="217">
        <v>3.2406999999999999</v>
      </c>
    </row>
    <row r="1052" spans="2:8">
      <c r="B1052" s="217" t="str">
        <f t="shared" si="82"/>
        <v>1Q</v>
      </c>
      <c r="C1052" s="217">
        <f t="shared" si="86"/>
        <v>1</v>
      </c>
      <c r="D1052" s="217" t="str">
        <f t="shared" si="83"/>
        <v>18</v>
      </c>
      <c r="E1052">
        <f t="shared" si="84"/>
        <v>2018</v>
      </c>
      <c r="F1052" s="217" t="str">
        <f t="shared" si="85"/>
        <v>1Q18</v>
      </c>
      <c r="G1052" s="218">
        <v>43109</v>
      </c>
      <c r="H1052" s="217">
        <v>3.2483</v>
      </c>
    </row>
    <row r="1053" spans="2:8">
      <c r="B1053" s="217" t="str">
        <f t="shared" si="82"/>
        <v>1Q</v>
      </c>
      <c r="C1053" s="217">
        <f t="shared" si="86"/>
        <v>1</v>
      </c>
      <c r="D1053" s="217" t="str">
        <f t="shared" si="83"/>
        <v>18</v>
      </c>
      <c r="E1053">
        <f t="shared" si="84"/>
        <v>2018</v>
      </c>
      <c r="F1053" s="217" t="str">
        <f t="shared" si="85"/>
        <v>1Q18</v>
      </c>
      <c r="G1053" s="218">
        <v>43110</v>
      </c>
      <c r="H1053" s="217">
        <v>3.2282999999999999</v>
      </c>
    </row>
    <row r="1054" spans="2:8">
      <c r="B1054" s="217" t="str">
        <f t="shared" si="82"/>
        <v>1Q</v>
      </c>
      <c r="C1054" s="217">
        <f t="shared" si="86"/>
        <v>1</v>
      </c>
      <c r="D1054" s="217" t="str">
        <f t="shared" si="83"/>
        <v>18</v>
      </c>
      <c r="E1054">
        <f t="shared" si="84"/>
        <v>2018</v>
      </c>
      <c r="F1054" s="217" t="str">
        <f t="shared" si="85"/>
        <v>1Q18</v>
      </c>
      <c r="G1054" s="218">
        <v>43111</v>
      </c>
      <c r="H1054" s="217">
        <v>3.2155</v>
      </c>
    </row>
    <row r="1055" spans="2:8">
      <c r="B1055" s="217" t="str">
        <f t="shared" si="82"/>
        <v>1Q</v>
      </c>
      <c r="C1055" s="217">
        <f t="shared" si="86"/>
        <v>1</v>
      </c>
      <c r="D1055" s="217" t="str">
        <f t="shared" si="83"/>
        <v>18</v>
      </c>
      <c r="E1055">
        <f t="shared" si="84"/>
        <v>2018</v>
      </c>
      <c r="F1055" s="217" t="str">
        <f t="shared" si="85"/>
        <v>1Q18</v>
      </c>
      <c r="G1055" s="218">
        <v>43112</v>
      </c>
      <c r="H1055" s="217">
        <v>3.2063999999999999</v>
      </c>
    </row>
    <row r="1056" spans="2:8">
      <c r="B1056" s="217" t="str">
        <f t="shared" si="82"/>
        <v>1Q</v>
      </c>
      <c r="C1056" s="217">
        <f t="shared" si="86"/>
        <v>1</v>
      </c>
      <c r="D1056" s="217" t="str">
        <f t="shared" si="83"/>
        <v>18</v>
      </c>
      <c r="E1056">
        <f t="shared" si="84"/>
        <v>2018</v>
      </c>
      <c r="F1056" s="217" t="str">
        <f t="shared" si="85"/>
        <v>1Q18</v>
      </c>
      <c r="G1056" s="218">
        <v>43115</v>
      </c>
      <c r="H1056" s="217">
        <v>3.2162999999999999</v>
      </c>
    </row>
    <row r="1057" spans="2:8">
      <c r="B1057" s="217" t="str">
        <f t="shared" si="82"/>
        <v>1Q</v>
      </c>
      <c r="C1057" s="217">
        <f t="shared" si="86"/>
        <v>1</v>
      </c>
      <c r="D1057" s="217" t="str">
        <f t="shared" si="83"/>
        <v>18</v>
      </c>
      <c r="E1057">
        <f t="shared" si="84"/>
        <v>2018</v>
      </c>
      <c r="F1057" s="217" t="str">
        <f t="shared" si="85"/>
        <v>1Q18</v>
      </c>
      <c r="G1057" s="218">
        <v>43116</v>
      </c>
      <c r="H1057" s="217">
        <v>3.2242999999999999</v>
      </c>
    </row>
    <row r="1058" spans="2:8">
      <c r="B1058" s="217" t="str">
        <f t="shared" si="82"/>
        <v>1Q</v>
      </c>
      <c r="C1058" s="217">
        <f t="shared" si="86"/>
        <v>1</v>
      </c>
      <c r="D1058" s="217" t="str">
        <f t="shared" si="83"/>
        <v>18</v>
      </c>
      <c r="E1058">
        <f t="shared" si="84"/>
        <v>2018</v>
      </c>
      <c r="F1058" s="217" t="str">
        <f t="shared" si="85"/>
        <v>1Q18</v>
      </c>
      <c r="G1058" s="218">
        <v>43117</v>
      </c>
      <c r="H1058" s="217">
        <v>3.2238000000000002</v>
      </c>
    </row>
    <row r="1059" spans="2:8">
      <c r="B1059" s="217" t="str">
        <f t="shared" si="82"/>
        <v>1Q</v>
      </c>
      <c r="C1059" s="217">
        <f t="shared" si="86"/>
        <v>1</v>
      </c>
      <c r="D1059" s="217" t="str">
        <f t="shared" si="83"/>
        <v>18</v>
      </c>
      <c r="E1059">
        <f t="shared" si="84"/>
        <v>2018</v>
      </c>
      <c r="F1059" s="217" t="str">
        <f t="shared" si="85"/>
        <v>1Q18</v>
      </c>
      <c r="G1059" s="218">
        <v>43118</v>
      </c>
      <c r="H1059" s="217">
        <v>3.2065000000000001</v>
      </c>
    </row>
    <row r="1060" spans="2:8">
      <c r="B1060" s="217" t="str">
        <f t="shared" si="82"/>
        <v>1Q</v>
      </c>
      <c r="C1060" s="217">
        <f t="shared" si="86"/>
        <v>1</v>
      </c>
      <c r="D1060" s="217" t="str">
        <f t="shared" si="83"/>
        <v>18</v>
      </c>
      <c r="E1060">
        <f t="shared" si="84"/>
        <v>2018</v>
      </c>
      <c r="F1060" s="217" t="str">
        <f t="shared" si="85"/>
        <v>1Q18</v>
      </c>
      <c r="G1060" s="218">
        <v>43119</v>
      </c>
      <c r="H1060" s="217">
        <v>3.1962000000000002</v>
      </c>
    </row>
    <row r="1061" spans="2:8">
      <c r="B1061" s="217" t="str">
        <f t="shared" si="82"/>
        <v>1Q</v>
      </c>
      <c r="C1061" s="217">
        <f t="shared" si="86"/>
        <v>1</v>
      </c>
      <c r="D1061" s="217" t="str">
        <f t="shared" si="83"/>
        <v>18</v>
      </c>
      <c r="E1061">
        <f t="shared" si="84"/>
        <v>2018</v>
      </c>
      <c r="F1061" s="217" t="str">
        <f t="shared" si="85"/>
        <v>1Q18</v>
      </c>
      <c r="G1061" s="218">
        <v>43122</v>
      </c>
      <c r="H1061" s="217">
        <v>3.2021000000000002</v>
      </c>
    </row>
    <row r="1062" spans="2:8">
      <c r="B1062" s="217" t="str">
        <f t="shared" si="82"/>
        <v>1Q</v>
      </c>
      <c r="C1062" s="217">
        <f t="shared" si="86"/>
        <v>1</v>
      </c>
      <c r="D1062" s="217" t="str">
        <f t="shared" si="83"/>
        <v>18</v>
      </c>
      <c r="E1062">
        <f t="shared" si="84"/>
        <v>2018</v>
      </c>
      <c r="F1062" s="217" t="str">
        <f t="shared" si="85"/>
        <v>1Q18</v>
      </c>
      <c r="G1062" s="218">
        <v>43123</v>
      </c>
      <c r="H1062" s="217">
        <v>3.2370000000000001</v>
      </c>
    </row>
    <row r="1063" spans="2:8">
      <c r="B1063" s="217" t="str">
        <f t="shared" si="82"/>
        <v>1Q</v>
      </c>
      <c r="C1063" s="217">
        <f t="shared" si="86"/>
        <v>1</v>
      </c>
      <c r="D1063" s="217" t="str">
        <f t="shared" si="83"/>
        <v>18</v>
      </c>
      <c r="E1063">
        <f t="shared" si="84"/>
        <v>2018</v>
      </c>
      <c r="F1063" s="217" t="str">
        <f t="shared" si="85"/>
        <v>1Q18</v>
      </c>
      <c r="G1063" s="218">
        <v>43124</v>
      </c>
      <c r="H1063" s="217">
        <v>3.1465000000000001</v>
      </c>
    </row>
    <row r="1064" spans="2:8">
      <c r="B1064" s="217" t="str">
        <f t="shared" si="82"/>
        <v>1Q</v>
      </c>
      <c r="C1064" s="217">
        <f t="shared" si="86"/>
        <v>1</v>
      </c>
      <c r="D1064" s="217" t="str">
        <f t="shared" si="83"/>
        <v>18</v>
      </c>
      <c r="E1064">
        <f t="shared" si="84"/>
        <v>2018</v>
      </c>
      <c r="F1064" s="217" t="str">
        <f t="shared" si="85"/>
        <v>1Q18</v>
      </c>
      <c r="G1064" s="218">
        <v>43125</v>
      </c>
      <c r="H1064" s="217">
        <v>3.1484999999999999</v>
      </c>
    </row>
    <row r="1065" spans="2:8">
      <c r="B1065" s="217" t="str">
        <f t="shared" si="82"/>
        <v>1Q</v>
      </c>
      <c r="C1065" s="217">
        <f t="shared" si="86"/>
        <v>1</v>
      </c>
      <c r="D1065" s="217" t="str">
        <f t="shared" si="83"/>
        <v>18</v>
      </c>
      <c r="E1065">
        <f t="shared" si="84"/>
        <v>2018</v>
      </c>
      <c r="F1065" s="217" t="str">
        <f t="shared" si="85"/>
        <v>1Q18</v>
      </c>
      <c r="G1065" s="218">
        <v>43126</v>
      </c>
      <c r="H1065" s="217">
        <v>3.1509999999999998</v>
      </c>
    </row>
    <row r="1066" spans="2:8">
      <c r="B1066" s="217" t="str">
        <f t="shared" si="82"/>
        <v>1Q</v>
      </c>
      <c r="C1066" s="217">
        <f t="shared" si="86"/>
        <v>1</v>
      </c>
      <c r="D1066" s="217" t="str">
        <f t="shared" si="83"/>
        <v>18</v>
      </c>
      <c r="E1066">
        <f t="shared" si="84"/>
        <v>2018</v>
      </c>
      <c r="F1066" s="217" t="str">
        <f t="shared" si="85"/>
        <v>1Q18</v>
      </c>
      <c r="G1066" s="218">
        <v>43129</v>
      </c>
      <c r="H1066" s="217">
        <v>3.1549999999999998</v>
      </c>
    </row>
    <row r="1067" spans="2:8">
      <c r="B1067" s="217" t="str">
        <f t="shared" si="82"/>
        <v>1Q</v>
      </c>
      <c r="C1067" s="217">
        <f t="shared" si="86"/>
        <v>1</v>
      </c>
      <c r="D1067" s="217" t="str">
        <f t="shared" si="83"/>
        <v>18</v>
      </c>
      <c r="E1067">
        <f t="shared" si="84"/>
        <v>2018</v>
      </c>
      <c r="F1067" s="217" t="str">
        <f t="shared" si="85"/>
        <v>1Q18</v>
      </c>
      <c r="G1067" s="218">
        <v>43130</v>
      </c>
      <c r="H1067" s="217">
        <v>3.1812</v>
      </c>
    </row>
    <row r="1068" spans="2:8">
      <c r="B1068" s="217" t="str">
        <f t="shared" si="82"/>
        <v>1Q</v>
      </c>
      <c r="C1068" s="217">
        <f t="shared" si="86"/>
        <v>1</v>
      </c>
      <c r="D1068" s="217" t="str">
        <f t="shared" si="83"/>
        <v>18</v>
      </c>
      <c r="E1068">
        <f t="shared" si="84"/>
        <v>2018</v>
      </c>
      <c r="F1068" s="217" t="str">
        <f t="shared" si="85"/>
        <v>1Q18</v>
      </c>
      <c r="G1068" s="218">
        <v>43131</v>
      </c>
      <c r="H1068" s="217">
        <v>3.1859000000000002</v>
      </c>
    </row>
    <row r="1069" spans="2:8">
      <c r="B1069" s="217" t="str">
        <f t="shared" si="82"/>
        <v>1Q</v>
      </c>
      <c r="C1069" s="217">
        <f t="shared" si="86"/>
        <v>2</v>
      </c>
      <c r="D1069" s="217" t="str">
        <f t="shared" si="83"/>
        <v>18</v>
      </c>
      <c r="E1069">
        <f t="shared" si="84"/>
        <v>2018</v>
      </c>
      <c r="F1069" s="217" t="str">
        <f t="shared" si="85"/>
        <v>1Q18</v>
      </c>
      <c r="G1069" s="218">
        <v>43132</v>
      </c>
      <c r="H1069" s="217">
        <v>3.1669</v>
      </c>
    </row>
    <row r="1070" spans="2:8">
      <c r="B1070" s="217" t="str">
        <f t="shared" si="82"/>
        <v>1Q</v>
      </c>
      <c r="C1070" s="217">
        <f t="shared" si="86"/>
        <v>2</v>
      </c>
      <c r="D1070" s="217" t="str">
        <f t="shared" si="83"/>
        <v>18</v>
      </c>
      <c r="E1070">
        <f t="shared" si="84"/>
        <v>2018</v>
      </c>
      <c r="F1070" s="217" t="str">
        <f t="shared" si="85"/>
        <v>1Q18</v>
      </c>
      <c r="G1070" s="218">
        <v>43133</v>
      </c>
      <c r="H1070" s="217">
        <v>3.2181000000000002</v>
      </c>
    </row>
    <row r="1071" spans="2:8">
      <c r="B1071" s="217" t="str">
        <f t="shared" si="82"/>
        <v>1Q</v>
      </c>
      <c r="C1071" s="217">
        <f t="shared" si="86"/>
        <v>2</v>
      </c>
      <c r="D1071" s="217" t="str">
        <f t="shared" si="83"/>
        <v>18</v>
      </c>
      <c r="E1071">
        <f t="shared" si="84"/>
        <v>2018</v>
      </c>
      <c r="F1071" s="217" t="str">
        <f t="shared" si="85"/>
        <v>1Q18</v>
      </c>
      <c r="G1071" s="218">
        <v>43136</v>
      </c>
      <c r="H1071" s="217">
        <v>3.2625000000000002</v>
      </c>
    </row>
    <row r="1072" spans="2:8">
      <c r="B1072" s="217" t="str">
        <f t="shared" si="82"/>
        <v>1Q</v>
      </c>
      <c r="C1072" s="217">
        <f t="shared" si="86"/>
        <v>2</v>
      </c>
      <c r="D1072" s="217" t="str">
        <f t="shared" si="83"/>
        <v>18</v>
      </c>
      <c r="E1072">
        <f t="shared" si="84"/>
        <v>2018</v>
      </c>
      <c r="F1072" s="217" t="str">
        <f t="shared" si="85"/>
        <v>1Q18</v>
      </c>
      <c r="G1072" s="218">
        <v>43137</v>
      </c>
      <c r="H1072" s="217">
        <v>3.2347999999999999</v>
      </c>
    </row>
    <row r="1073" spans="2:8">
      <c r="B1073" s="217" t="str">
        <f t="shared" si="82"/>
        <v>1Q</v>
      </c>
      <c r="C1073" s="217">
        <f t="shared" si="86"/>
        <v>2</v>
      </c>
      <c r="D1073" s="217" t="str">
        <f t="shared" si="83"/>
        <v>18</v>
      </c>
      <c r="E1073">
        <f t="shared" si="84"/>
        <v>2018</v>
      </c>
      <c r="F1073" s="217" t="str">
        <f t="shared" si="85"/>
        <v>1Q18</v>
      </c>
      <c r="G1073" s="218">
        <v>43138</v>
      </c>
      <c r="H1073" s="217">
        <v>3.2713999999999999</v>
      </c>
    </row>
    <row r="1074" spans="2:8">
      <c r="B1074" s="217" t="str">
        <f t="shared" si="82"/>
        <v>1Q</v>
      </c>
      <c r="C1074" s="217">
        <f t="shared" si="86"/>
        <v>2</v>
      </c>
      <c r="D1074" s="217" t="str">
        <f t="shared" si="83"/>
        <v>18</v>
      </c>
      <c r="E1074">
        <f t="shared" si="84"/>
        <v>2018</v>
      </c>
      <c r="F1074" s="217" t="str">
        <f t="shared" si="85"/>
        <v>1Q18</v>
      </c>
      <c r="G1074" s="218">
        <v>43139</v>
      </c>
      <c r="H1074" s="217">
        <v>3.2858000000000001</v>
      </c>
    </row>
    <row r="1075" spans="2:8">
      <c r="B1075" s="217" t="str">
        <f t="shared" si="82"/>
        <v>1Q</v>
      </c>
      <c r="C1075" s="217">
        <f t="shared" si="86"/>
        <v>2</v>
      </c>
      <c r="D1075" s="217" t="str">
        <f t="shared" si="83"/>
        <v>18</v>
      </c>
      <c r="E1075">
        <f t="shared" si="84"/>
        <v>2018</v>
      </c>
      <c r="F1075" s="217" t="str">
        <f t="shared" si="85"/>
        <v>1Q18</v>
      </c>
      <c r="G1075" s="218">
        <v>43140</v>
      </c>
      <c r="H1075" s="217">
        <v>3.2942</v>
      </c>
    </row>
    <row r="1076" spans="2:8">
      <c r="B1076" s="217" t="str">
        <f t="shared" si="82"/>
        <v>1Q</v>
      </c>
      <c r="C1076" s="217">
        <f t="shared" si="86"/>
        <v>2</v>
      </c>
      <c r="D1076" s="217" t="str">
        <f t="shared" si="83"/>
        <v>18</v>
      </c>
      <c r="E1076">
        <f t="shared" si="84"/>
        <v>2018</v>
      </c>
      <c r="F1076" s="217" t="str">
        <f t="shared" si="85"/>
        <v>1Q18</v>
      </c>
      <c r="G1076" s="218">
        <v>43143</v>
      </c>
      <c r="H1076" s="217">
        <v>3.2953999999999999</v>
      </c>
    </row>
    <row r="1077" spans="2:8">
      <c r="B1077" s="217" t="str">
        <f t="shared" si="82"/>
        <v>1Q</v>
      </c>
      <c r="C1077" s="217">
        <f t="shared" si="86"/>
        <v>2</v>
      </c>
      <c r="D1077" s="217" t="str">
        <f t="shared" si="83"/>
        <v>18</v>
      </c>
      <c r="E1077">
        <f t="shared" si="84"/>
        <v>2018</v>
      </c>
      <c r="F1077" s="217" t="str">
        <f t="shared" si="85"/>
        <v>1Q18</v>
      </c>
      <c r="G1077" s="218">
        <v>43144</v>
      </c>
      <c r="H1077" s="217">
        <v>3.2957000000000001</v>
      </c>
    </row>
    <row r="1078" spans="2:8">
      <c r="B1078" s="217" t="str">
        <f t="shared" si="82"/>
        <v>1Q</v>
      </c>
      <c r="C1078" s="217">
        <f t="shared" si="86"/>
        <v>2</v>
      </c>
      <c r="D1078" s="217" t="str">
        <f t="shared" si="83"/>
        <v>18</v>
      </c>
      <c r="E1078">
        <f t="shared" si="84"/>
        <v>2018</v>
      </c>
      <c r="F1078" s="217" t="str">
        <f t="shared" si="85"/>
        <v>1Q18</v>
      </c>
      <c r="G1078" s="218">
        <v>43145</v>
      </c>
      <c r="H1078" s="217">
        <v>3.2174</v>
      </c>
    </row>
    <row r="1079" spans="2:8">
      <c r="B1079" s="217" t="str">
        <f t="shared" si="82"/>
        <v>1Q</v>
      </c>
      <c r="C1079" s="217">
        <f t="shared" si="86"/>
        <v>2</v>
      </c>
      <c r="D1079" s="217" t="str">
        <f t="shared" si="83"/>
        <v>18</v>
      </c>
      <c r="E1079">
        <f t="shared" si="84"/>
        <v>2018</v>
      </c>
      <c r="F1079" s="217" t="str">
        <f t="shared" si="85"/>
        <v>1Q18</v>
      </c>
      <c r="G1079" s="218">
        <v>43146</v>
      </c>
      <c r="H1079" s="217">
        <v>3.2279</v>
      </c>
    </row>
    <row r="1080" spans="2:8">
      <c r="B1080" s="217" t="str">
        <f t="shared" si="82"/>
        <v>1Q</v>
      </c>
      <c r="C1080" s="217">
        <f t="shared" si="86"/>
        <v>2</v>
      </c>
      <c r="D1080" s="217" t="str">
        <f t="shared" si="83"/>
        <v>18</v>
      </c>
      <c r="E1080">
        <f t="shared" si="84"/>
        <v>2018</v>
      </c>
      <c r="F1080" s="217" t="str">
        <f t="shared" si="85"/>
        <v>1Q18</v>
      </c>
      <c r="G1080" s="218">
        <v>43147</v>
      </c>
      <c r="H1080" s="217">
        <v>3.2311999999999999</v>
      </c>
    </row>
    <row r="1081" spans="2:8">
      <c r="B1081" s="217" t="str">
        <f t="shared" si="82"/>
        <v>1Q</v>
      </c>
      <c r="C1081" s="217">
        <f t="shared" si="86"/>
        <v>2</v>
      </c>
      <c r="D1081" s="217" t="str">
        <f t="shared" si="83"/>
        <v>18</v>
      </c>
      <c r="E1081">
        <f t="shared" si="84"/>
        <v>2018</v>
      </c>
      <c r="F1081" s="217" t="str">
        <f t="shared" si="85"/>
        <v>1Q18</v>
      </c>
      <c r="G1081" s="218">
        <v>43150</v>
      </c>
      <c r="H1081" s="217">
        <v>3.2347000000000001</v>
      </c>
    </row>
    <row r="1082" spans="2:8">
      <c r="B1082" s="217" t="str">
        <f t="shared" si="82"/>
        <v>1Q</v>
      </c>
      <c r="C1082" s="217">
        <f t="shared" si="86"/>
        <v>2</v>
      </c>
      <c r="D1082" s="217" t="str">
        <f t="shared" si="83"/>
        <v>18</v>
      </c>
      <c r="E1082">
        <f t="shared" si="84"/>
        <v>2018</v>
      </c>
      <c r="F1082" s="217" t="str">
        <f t="shared" si="85"/>
        <v>1Q18</v>
      </c>
      <c r="G1082" s="218">
        <v>43151</v>
      </c>
      <c r="H1082" s="217">
        <v>3.2557</v>
      </c>
    </row>
    <row r="1083" spans="2:8">
      <c r="B1083" s="217" t="str">
        <f t="shared" si="82"/>
        <v>1Q</v>
      </c>
      <c r="C1083" s="217">
        <f t="shared" si="86"/>
        <v>2</v>
      </c>
      <c r="D1083" s="217" t="str">
        <f t="shared" si="83"/>
        <v>18</v>
      </c>
      <c r="E1083">
        <f t="shared" si="84"/>
        <v>2018</v>
      </c>
      <c r="F1083" s="217" t="str">
        <f t="shared" si="85"/>
        <v>1Q18</v>
      </c>
      <c r="G1083" s="218">
        <v>43152</v>
      </c>
      <c r="H1083" s="217">
        <v>3.2692000000000001</v>
      </c>
    </row>
    <row r="1084" spans="2:8">
      <c r="B1084" s="217" t="str">
        <f t="shared" si="82"/>
        <v>1Q</v>
      </c>
      <c r="C1084" s="217">
        <f t="shared" si="86"/>
        <v>2</v>
      </c>
      <c r="D1084" s="217" t="str">
        <f t="shared" si="83"/>
        <v>18</v>
      </c>
      <c r="E1084">
        <f t="shared" si="84"/>
        <v>2018</v>
      </c>
      <c r="F1084" s="217" t="str">
        <f t="shared" si="85"/>
        <v>1Q18</v>
      </c>
      <c r="G1084" s="218">
        <v>43153</v>
      </c>
      <c r="H1084" s="217">
        <v>3.2502</v>
      </c>
    </row>
    <row r="1085" spans="2:8">
      <c r="B1085" s="217" t="str">
        <f t="shared" si="82"/>
        <v>1Q</v>
      </c>
      <c r="C1085" s="217">
        <f t="shared" si="86"/>
        <v>2</v>
      </c>
      <c r="D1085" s="217" t="str">
        <f t="shared" si="83"/>
        <v>18</v>
      </c>
      <c r="E1085">
        <f t="shared" si="84"/>
        <v>2018</v>
      </c>
      <c r="F1085" s="217" t="str">
        <f t="shared" si="85"/>
        <v>1Q18</v>
      </c>
      <c r="G1085" s="218">
        <v>43154</v>
      </c>
      <c r="H1085" s="217">
        <v>3.2378999999999998</v>
      </c>
    </row>
    <row r="1086" spans="2:8">
      <c r="B1086" s="217" t="str">
        <f t="shared" si="82"/>
        <v>1Q</v>
      </c>
      <c r="C1086" s="217">
        <f t="shared" si="86"/>
        <v>2</v>
      </c>
      <c r="D1086" s="217" t="str">
        <f t="shared" si="83"/>
        <v>18</v>
      </c>
      <c r="E1086">
        <f t="shared" si="84"/>
        <v>2018</v>
      </c>
      <c r="F1086" s="217" t="str">
        <f t="shared" si="85"/>
        <v>1Q18</v>
      </c>
      <c r="G1086" s="218">
        <v>43157</v>
      </c>
      <c r="H1086" s="217">
        <v>3.2258</v>
      </c>
    </row>
    <row r="1087" spans="2:8">
      <c r="B1087" s="217" t="str">
        <f t="shared" si="82"/>
        <v>1Q</v>
      </c>
      <c r="C1087" s="217">
        <f t="shared" si="86"/>
        <v>2</v>
      </c>
      <c r="D1087" s="217" t="str">
        <f t="shared" si="83"/>
        <v>18</v>
      </c>
      <c r="E1087">
        <f t="shared" si="84"/>
        <v>2018</v>
      </c>
      <c r="F1087" s="217" t="str">
        <f t="shared" si="85"/>
        <v>1Q18</v>
      </c>
      <c r="G1087" s="218">
        <v>43158</v>
      </c>
      <c r="H1087" s="217">
        <v>3.2515999999999998</v>
      </c>
    </row>
    <row r="1088" spans="2:8">
      <c r="B1088" s="217" t="str">
        <f t="shared" si="82"/>
        <v>1Q</v>
      </c>
      <c r="C1088" s="217">
        <f t="shared" si="86"/>
        <v>2</v>
      </c>
      <c r="D1088" s="217" t="str">
        <f t="shared" si="83"/>
        <v>18</v>
      </c>
      <c r="E1088">
        <f t="shared" si="84"/>
        <v>2018</v>
      </c>
      <c r="F1088" s="217" t="str">
        <f t="shared" si="85"/>
        <v>1Q18</v>
      </c>
      <c r="G1088" s="218">
        <v>43159</v>
      </c>
      <c r="H1088" s="217">
        <v>3.2462</v>
      </c>
    </row>
    <row r="1089" spans="2:8">
      <c r="B1089" s="217" t="str">
        <f t="shared" si="82"/>
        <v>1Q</v>
      </c>
      <c r="C1089" s="217">
        <f t="shared" si="86"/>
        <v>3</v>
      </c>
      <c r="D1089" s="217" t="str">
        <f t="shared" si="83"/>
        <v>18</v>
      </c>
      <c r="E1089">
        <f t="shared" si="84"/>
        <v>2018</v>
      </c>
      <c r="F1089" s="217" t="str">
        <f t="shared" si="85"/>
        <v>1Q18</v>
      </c>
      <c r="G1089" s="218">
        <v>43160</v>
      </c>
      <c r="H1089" s="217">
        <v>3.2515000000000001</v>
      </c>
    </row>
    <row r="1090" spans="2:8">
      <c r="B1090" s="217" t="str">
        <f t="shared" si="82"/>
        <v>1Q</v>
      </c>
      <c r="C1090" s="217">
        <f t="shared" si="86"/>
        <v>3</v>
      </c>
      <c r="D1090" s="217" t="str">
        <f t="shared" si="83"/>
        <v>18</v>
      </c>
      <c r="E1090">
        <f t="shared" si="84"/>
        <v>2018</v>
      </c>
      <c r="F1090" s="217" t="str">
        <f t="shared" si="85"/>
        <v>1Q18</v>
      </c>
      <c r="G1090" s="218">
        <v>43161</v>
      </c>
      <c r="H1090" s="217">
        <v>3.2528000000000001</v>
      </c>
    </row>
    <row r="1091" spans="2:8">
      <c r="B1091" s="217" t="str">
        <f t="shared" ref="B1091:B1154" si="87">VLOOKUP(C1091,$N$3:$O$14,2,0)</f>
        <v>1Q</v>
      </c>
      <c r="C1091" s="217">
        <f t="shared" si="86"/>
        <v>3</v>
      </c>
      <c r="D1091" s="217" t="str">
        <f t="shared" ref="D1091:D1154" si="88">RIGHT(E1091,2)</f>
        <v>18</v>
      </c>
      <c r="E1091">
        <f t="shared" ref="E1091:E1154" si="89">YEAR(G1091)</f>
        <v>2018</v>
      </c>
      <c r="F1091" s="217" t="str">
        <f t="shared" ref="F1091:F1154" si="90">+B1091&amp;D1091</f>
        <v>1Q18</v>
      </c>
      <c r="G1091" s="218">
        <v>43164</v>
      </c>
      <c r="H1091" s="217">
        <v>3.2429999999999999</v>
      </c>
    </row>
    <row r="1092" spans="2:8">
      <c r="B1092" s="217" t="str">
        <f t="shared" si="87"/>
        <v>1Q</v>
      </c>
      <c r="C1092" s="217">
        <f t="shared" ref="C1092:C1155" si="91">MONTH(G1092)</f>
        <v>3</v>
      </c>
      <c r="D1092" s="217" t="str">
        <f t="shared" si="88"/>
        <v>18</v>
      </c>
      <c r="E1092">
        <f t="shared" si="89"/>
        <v>2018</v>
      </c>
      <c r="F1092" s="217" t="str">
        <f t="shared" si="90"/>
        <v>1Q18</v>
      </c>
      <c r="G1092" s="218">
        <v>43165</v>
      </c>
      <c r="H1092" s="217">
        <v>3.2117</v>
      </c>
    </row>
    <row r="1093" spans="2:8">
      <c r="B1093" s="217" t="str">
        <f t="shared" si="87"/>
        <v>1Q</v>
      </c>
      <c r="C1093" s="217">
        <f t="shared" si="91"/>
        <v>3</v>
      </c>
      <c r="D1093" s="217" t="str">
        <f t="shared" si="88"/>
        <v>18</v>
      </c>
      <c r="E1093">
        <f t="shared" si="89"/>
        <v>2018</v>
      </c>
      <c r="F1093" s="217" t="str">
        <f t="shared" si="90"/>
        <v>1Q18</v>
      </c>
      <c r="G1093" s="218">
        <v>43166</v>
      </c>
      <c r="H1093" s="217">
        <v>3.2454000000000001</v>
      </c>
    </row>
    <row r="1094" spans="2:8">
      <c r="B1094" s="217" t="str">
        <f t="shared" si="87"/>
        <v>1Q</v>
      </c>
      <c r="C1094" s="217">
        <f t="shared" si="91"/>
        <v>3</v>
      </c>
      <c r="D1094" s="217" t="str">
        <f t="shared" si="88"/>
        <v>18</v>
      </c>
      <c r="E1094">
        <f t="shared" si="89"/>
        <v>2018</v>
      </c>
      <c r="F1094" s="217" t="str">
        <f t="shared" si="90"/>
        <v>1Q18</v>
      </c>
      <c r="G1094" s="218">
        <v>43167</v>
      </c>
      <c r="H1094" s="217">
        <v>3.2669000000000001</v>
      </c>
    </row>
    <row r="1095" spans="2:8">
      <c r="B1095" s="217" t="str">
        <f t="shared" si="87"/>
        <v>1Q</v>
      </c>
      <c r="C1095" s="217">
        <f t="shared" si="91"/>
        <v>3</v>
      </c>
      <c r="D1095" s="217" t="str">
        <f t="shared" si="88"/>
        <v>18</v>
      </c>
      <c r="E1095">
        <f t="shared" si="89"/>
        <v>2018</v>
      </c>
      <c r="F1095" s="217" t="str">
        <f t="shared" si="90"/>
        <v>1Q18</v>
      </c>
      <c r="G1095" s="218">
        <v>43168</v>
      </c>
      <c r="H1095" s="217">
        <v>3.2553000000000001</v>
      </c>
    </row>
    <row r="1096" spans="2:8">
      <c r="B1096" s="217" t="str">
        <f t="shared" si="87"/>
        <v>1Q</v>
      </c>
      <c r="C1096" s="217">
        <f t="shared" si="91"/>
        <v>3</v>
      </c>
      <c r="D1096" s="217" t="str">
        <f t="shared" si="88"/>
        <v>18</v>
      </c>
      <c r="E1096">
        <f t="shared" si="89"/>
        <v>2018</v>
      </c>
      <c r="F1096" s="217" t="str">
        <f t="shared" si="90"/>
        <v>1Q18</v>
      </c>
      <c r="G1096" s="218">
        <v>43171</v>
      </c>
      <c r="H1096" s="217">
        <v>3.2622</v>
      </c>
    </row>
    <row r="1097" spans="2:8">
      <c r="B1097" s="217" t="str">
        <f t="shared" si="87"/>
        <v>1Q</v>
      </c>
      <c r="C1097" s="217">
        <f t="shared" si="91"/>
        <v>3</v>
      </c>
      <c r="D1097" s="217" t="str">
        <f t="shared" si="88"/>
        <v>18</v>
      </c>
      <c r="E1097">
        <f t="shared" si="89"/>
        <v>2018</v>
      </c>
      <c r="F1097" s="217" t="str">
        <f t="shared" si="90"/>
        <v>1Q18</v>
      </c>
      <c r="G1097" s="218">
        <v>43172</v>
      </c>
      <c r="H1097" s="217">
        <v>3.2606999999999999</v>
      </c>
    </row>
    <row r="1098" spans="2:8">
      <c r="B1098" s="217" t="str">
        <f t="shared" si="87"/>
        <v>1Q</v>
      </c>
      <c r="C1098" s="217">
        <f t="shared" si="91"/>
        <v>3</v>
      </c>
      <c r="D1098" s="217" t="str">
        <f t="shared" si="88"/>
        <v>18</v>
      </c>
      <c r="E1098">
        <f t="shared" si="89"/>
        <v>2018</v>
      </c>
      <c r="F1098" s="217" t="str">
        <f t="shared" si="90"/>
        <v>1Q18</v>
      </c>
      <c r="G1098" s="218">
        <v>43173</v>
      </c>
      <c r="H1098" s="217">
        <v>3.2606999999999999</v>
      </c>
    </row>
    <row r="1099" spans="2:8">
      <c r="B1099" s="217" t="str">
        <f t="shared" si="87"/>
        <v>1Q</v>
      </c>
      <c r="C1099" s="217">
        <f t="shared" si="91"/>
        <v>3</v>
      </c>
      <c r="D1099" s="217" t="str">
        <f t="shared" si="88"/>
        <v>18</v>
      </c>
      <c r="E1099">
        <f t="shared" si="89"/>
        <v>2018</v>
      </c>
      <c r="F1099" s="217" t="str">
        <f t="shared" si="90"/>
        <v>1Q18</v>
      </c>
      <c r="G1099" s="218">
        <v>43174</v>
      </c>
      <c r="H1099" s="217">
        <v>3.2862</v>
      </c>
    </row>
    <row r="1100" spans="2:8">
      <c r="B1100" s="217" t="str">
        <f t="shared" si="87"/>
        <v>1Q</v>
      </c>
      <c r="C1100" s="217">
        <f t="shared" si="91"/>
        <v>3</v>
      </c>
      <c r="D1100" s="217" t="str">
        <f t="shared" si="88"/>
        <v>18</v>
      </c>
      <c r="E1100">
        <f t="shared" si="89"/>
        <v>2018</v>
      </c>
      <c r="F1100" s="217" t="str">
        <f t="shared" si="90"/>
        <v>1Q18</v>
      </c>
      <c r="G1100" s="218">
        <v>43175</v>
      </c>
      <c r="H1100" s="217">
        <v>3.2810999999999999</v>
      </c>
    </row>
    <row r="1101" spans="2:8">
      <c r="B1101" s="217" t="str">
        <f t="shared" si="87"/>
        <v>1Q</v>
      </c>
      <c r="C1101" s="217">
        <f t="shared" si="91"/>
        <v>3</v>
      </c>
      <c r="D1101" s="217" t="str">
        <f t="shared" si="88"/>
        <v>18</v>
      </c>
      <c r="E1101">
        <f t="shared" si="89"/>
        <v>2018</v>
      </c>
      <c r="F1101" s="217" t="str">
        <f t="shared" si="90"/>
        <v>1Q18</v>
      </c>
      <c r="G1101" s="218">
        <v>43178</v>
      </c>
      <c r="H1101" s="217">
        <v>3.2862</v>
      </c>
    </row>
    <row r="1102" spans="2:8">
      <c r="B1102" s="217" t="str">
        <f t="shared" si="87"/>
        <v>1Q</v>
      </c>
      <c r="C1102" s="217">
        <f t="shared" si="91"/>
        <v>3</v>
      </c>
      <c r="D1102" s="217" t="str">
        <f t="shared" si="88"/>
        <v>18</v>
      </c>
      <c r="E1102">
        <f t="shared" si="89"/>
        <v>2018</v>
      </c>
      <c r="F1102" s="217" t="str">
        <f t="shared" si="90"/>
        <v>1Q18</v>
      </c>
      <c r="G1102" s="218">
        <v>43179</v>
      </c>
      <c r="H1102" s="217">
        <v>3.3117000000000001</v>
      </c>
    </row>
    <row r="1103" spans="2:8">
      <c r="B1103" s="217" t="str">
        <f t="shared" si="87"/>
        <v>1Q</v>
      </c>
      <c r="C1103" s="217">
        <f t="shared" si="91"/>
        <v>3</v>
      </c>
      <c r="D1103" s="217" t="str">
        <f t="shared" si="88"/>
        <v>18</v>
      </c>
      <c r="E1103">
        <f t="shared" si="89"/>
        <v>2018</v>
      </c>
      <c r="F1103" s="217" t="str">
        <f t="shared" si="90"/>
        <v>1Q18</v>
      </c>
      <c r="G1103" s="218">
        <v>43180</v>
      </c>
      <c r="H1103" s="217">
        <v>3.2725</v>
      </c>
    </row>
    <row r="1104" spans="2:8">
      <c r="B1104" s="217" t="str">
        <f t="shared" si="87"/>
        <v>1Q</v>
      </c>
      <c r="C1104" s="217">
        <f t="shared" si="91"/>
        <v>3</v>
      </c>
      <c r="D1104" s="217" t="str">
        <f t="shared" si="88"/>
        <v>18</v>
      </c>
      <c r="E1104">
        <f t="shared" si="89"/>
        <v>2018</v>
      </c>
      <c r="F1104" s="217" t="str">
        <f t="shared" si="90"/>
        <v>1Q18</v>
      </c>
      <c r="G1104" s="218">
        <v>43181</v>
      </c>
      <c r="H1104" s="217">
        <v>3.3159000000000001</v>
      </c>
    </row>
    <row r="1105" spans="2:8">
      <c r="B1105" s="217" t="str">
        <f t="shared" si="87"/>
        <v>1Q</v>
      </c>
      <c r="C1105" s="217">
        <f t="shared" si="91"/>
        <v>3</v>
      </c>
      <c r="D1105" s="217" t="str">
        <f t="shared" si="88"/>
        <v>18</v>
      </c>
      <c r="E1105">
        <f t="shared" si="89"/>
        <v>2018</v>
      </c>
      <c r="F1105" s="217" t="str">
        <f t="shared" si="90"/>
        <v>1Q18</v>
      </c>
      <c r="G1105" s="218">
        <v>43182</v>
      </c>
      <c r="H1105" s="217">
        <v>3.3123</v>
      </c>
    </row>
    <row r="1106" spans="2:8">
      <c r="B1106" s="217" t="str">
        <f t="shared" si="87"/>
        <v>1Q</v>
      </c>
      <c r="C1106" s="217">
        <f t="shared" si="91"/>
        <v>3</v>
      </c>
      <c r="D1106" s="217" t="str">
        <f t="shared" si="88"/>
        <v>18</v>
      </c>
      <c r="E1106">
        <f t="shared" si="89"/>
        <v>2018</v>
      </c>
      <c r="F1106" s="217" t="str">
        <f t="shared" si="90"/>
        <v>1Q18</v>
      </c>
      <c r="G1106" s="218">
        <v>43185</v>
      </c>
      <c r="H1106" s="217">
        <v>3.3119000000000001</v>
      </c>
    </row>
    <row r="1107" spans="2:8">
      <c r="B1107" s="217" t="str">
        <f t="shared" si="87"/>
        <v>1Q</v>
      </c>
      <c r="C1107" s="217">
        <f t="shared" si="91"/>
        <v>3</v>
      </c>
      <c r="D1107" s="217" t="str">
        <f t="shared" si="88"/>
        <v>18</v>
      </c>
      <c r="E1107">
        <f t="shared" si="89"/>
        <v>2018</v>
      </c>
      <c r="F1107" s="217" t="str">
        <f t="shared" si="90"/>
        <v>1Q18</v>
      </c>
      <c r="G1107" s="218">
        <v>43186</v>
      </c>
      <c r="H1107" s="217">
        <v>3.3288000000000002</v>
      </c>
    </row>
    <row r="1108" spans="2:8">
      <c r="B1108" s="217" t="str">
        <f t="shared" si="87"/>
        <v>1Q</v>
      </c>
      <c r="C1108" s="217">
        <f t="shared" si="91"/>
        <v>3</v>
      </c>
      <c r="D1108" s="217" t="str">
        <f t="shared" si="88"/>
        <v>18</v>
      </c>
      <c r="E1108">
        <f t="shared" si="89"/>
        <v>2018</v>
      </c>
      <c r="F1108" s="217" t="str">
        <f t="shared" si="90"/>
        <v>1Q18</v>
      </c>
      <c r="G1108" s="218">
        <v>43187</v>
      </c>
      <c r="H1108" s="217">
        <v>3.3205</v>
      </c>
    </row>
    <row r="1109" spans="2:8">
      <c r="B1109" s="217" t="str">
        <f t="shared" si="87"/>
        <v>1Q</v>
      </c>
      <c r="C1109" s="217">
        <f t="shared" si="91"/>
        <v>3</v>
      </c>
      <c r="D1109" s="217" t="str">
        <f t="shared" si="88"/>
        <v>18</v>
      </c>
      <c r="E1109">
        <f t="shared" si="89"/>
        <v>2018</v>
      </c>
      <c r="F1109" s="217" t="str">
        <f t="shared" si="90"/>
        <v>1Q18</v>
      </c>
      <c r="G1109" s="218">
        <v>43188</v>
      </c>
      <c r="H1109" s="217">
        <v>3.306</v>
      </c>
    </row>
    <row r="1110" spans="2:8">
      <c r="B1110" s="217" t="str">
        <f t="shared" si="87"/>
        <v>1Q</v>
      </c>
      <c r="C1110" s="217">
        <f t="shared" si="91"/>
        <v>3</v>
      </c>
      <c r="D1110" s="217" t="str">
        <f t="shared" si="88"/>
        <v>18</v>
      </c>
      <c r="E1110">
        <f t="shared" si="89"/>
        <v>2018</v>
      </c>
      <c r="F1110" s="217" t="str">
        <f t="shared" si="90"/>
        <v>1Q18</v>
      </c>
      <c r="G1110" s="218">
        <v>43189</v>
      </c>
      <c r="H1110" s="217">
        <v>3.3050999999999999</v>
      </c>
    </row>
    <row r="1111" spans="2:8">
      <c r="B1111" s="217" t="str">
        <f t="shared" si="87"/>
        <v>2Q</v>
      </c>
      <c r="C1111" s="217">
        <f t="shared" si="91"/>
        <v>4</v>
      </c>
      <c r="D1111" s="217" t="str">
        <f t="shared" si="88"/>
        <v>18</v>
      </c>
      <c r="E1111">
        <f t="shared" si="89"/>
        <v>2018</v>
      </c>
      <c r="F1111" s="217" t="str">
        <f t="shared" si="90"/>
        <v>2Q18</v>
      </c>
      <c r="G1111" s="218">
        <v>43192</v>
      </c>
      <c r="H1111" s="217">
        <v>3.3111000000000002</v>
      </c>
    </row>
    <row r="1112" spans="2:8">
      <c r="B1112" s="217" t="str">
        <f t="shared" si="87"/>
        <v>2Q</v>
      </c>
      <c r="C1112" s="217">
        <f t="shared" si="91"/>
        <v>4</v>
      </c>
      <c r="D1112" s="217" t="str">
        <f t="shared" si="88"/>
        <v>18</v>
      </c>
      <c r="E1112">
        <f t="shared" si="89"/>
        <v>2018</v>
      </c>
      <c r="F1112" s="217" t="str">
        <f t="shared" si="90"/>
        <v>2Q18</v>
      </c>
      <c r="G1112" s="218">
        <v>43193</v>
      </c>
      <c r="H1112" s="217">
        <v>3.3412999999999999</v>
      </c>
    </row>
    <row r="1113" spans="2:8">
      <c r="B1113" s="217" t="str">
        <f t="shared" si="87"/>
        <v>2Q</v>
      </c>
      <c r="C1113" s="217">
        <f t="shared" si="91"/>
        <v>4</v>
      </c>
      <c r="D1113" s="217" t="str">
        <f t="shared" si="88"/>
        <v>18</v>
      </c>
      <c r="E1113">
        <f t="shared" si="89"/>
        <v>2018</v>
      </c>
      <c r="F1113" s="217" t="str">
        <f t="shared" si="90"/>
        <v>2Q18</v>
      </c>
      <c r="G1113" s="218">
        <v>43194</v>
      </c>
      <c r="H1113" s="217">
        <v>3.3296999999999999</v>
      </c>
    </row>
    <row r="1114" spans="2:8">
      <c r="B1114" s="217" t="str">
        <f t="shared" si="87"/>
        <v>2Q</v>
      </c>
      <c r="C1114" s="217">
        <f t="shared" si="91"/>
        <v>4</v>
      </c>
      <c r="D1114" s="217" t="str">
        <f t="shared" si="88"/>
        <v>18</v>
      </c>
      <c r="E1114">
        <f t="shared" si="89"/>
        <v>2018</v>
      </c>
      <c r="F1114" s="217" t="str">
        <f t="shared" si="90"/>
        <v>2Q18</v>
      </c>
      <c r="G1114" s="218">
        <v>43195</v>
      </c>
      <c r="H1114" s="217">
        <v>3.3449</v>
      </c>
    </row>
    <row r="1115" spans="2:8">
      <c r="B1115" s="217" t="str">
        <f t="shared" si="87"/>
        <v>2Q</v>
      </c>
      <c r="C1115" s="217">
        <f t="shared" si="91"/>
        <v>4</v>
      </c>
      <c r="D1115" s="217" t="str">
        <f t="shared" si="88"/>
        <v>18</v>
      </c>
      <c r="E1115">
        <f t="shared" si="89"/>
        <v>2018</v>
      </c>
      <c r="F1115" s="217" t="str">
        <f t="shared" si="90"/>
        <v>2Q18</v>
      </c>
      <c r="G1115" s="218">
        <v>43196</v>
      </c>
      <c r="H1115" s="217">
        <v>3.3696999999999999</v>
      </c>
    </row>
    <row r="1116" spans="2:8">
      <c r="B1116" s="217" t="str">
        <f t="shared" si="87"/>
        <v>2Q</v>
      </c>
      <c r="C1116" s="217">
        <f t="shared" si="91"/>
        <v>4</v>
      </c>
      <c r="D1116" s="217" t="str">
        <f t="shared" si="88"/>
        <v>18</v>
      </c>
      <c r="E1116">
        <f t="shared" si="89"/>
        <v>2018</v>
      </c>
      <c r="F1116" s="217" t="str">
        <f t="shared" si="90"/>
        <v>2Q18</v>
      </c>
      <c r="G1116" s="218">
        <v>43199</v>
      </c>
      <c r="H1116" s="217">
        <v>3.42</v>
      </c>
    </row>
    <row r="1117" spans="2:8">
      <c r="B1117" s="217" t="str">
        <f t="shared" si="87"/>
        <v>2Q</v>
      </c>
      <c r="C1117" s="217">
        <f t="shared" si="91"/>
        <v>4</v>
      </c>
      <c r="D1117" s="217" t="str">
        <f t="shared" si="88"/>
        <v>18</v>
      </c>
      <c r="E1117">
        <f t="shared" si="89"/>
        <v>2018</v>
      </c>
      <c r="F1117" s="217" t="str">
        <f t="shared" si="90"/>
        <v>2Q18</v>
      </c>
      <c r="G1117" s="218">
        <v>43200</v>
      </c>
      <c r="H1117" s="217">
        <v>3.4087999999999998</v>
      </c>
    </row>
    <row r="1118" spans="2:8">
      <c r="B1118" s="217" t="str">
        <f t="shared" si="87"/>
        <v>2Q</v>
      </c>
      <c r="C1118" s="217">
        <f t="shared" si="91"/>
        <v>4</v>
      </c>
      <c r="D1118" s="217" t="str">
        <f t="shared" si="88"/>
        <v>18</v>
      </c>
      <c r="E1118">
        <f t="shared" si="89"/>
        <v>2018</v>
      </c>
      <c r="F1118" s="217" t="str">
        <f t="shared" si="90"/>
        <v>2Q18</v>
      </c>
      <c r="G1118" s="218">
        <v>43201</v>
      </c>
      <c r="H1118" s="217">
        <v>3.3746</v>
      </c>
    </row>
    <row r="1119" spans="2:8">
      <c r="B1119" s="217" t="str">
        <f t="shared" si="87"/>
        <v>2Q</v>
      </c>
      <c r="C1119" s="217">
        <f t="shared" si="91"/>
        <v>4</v>
      </c>
      <c r="D1119" s="217" t="str">
        <f t="shared" si="88"/>
        <v>18</v>
      </c>
      <c r="E1119">
        <f t="shared" si="89"/>
        <v>2018</v>
      </c>
      <c r="F1119" s="217" t="str">
        <f t="shared" si="90"/>
        <v>2Q18</v>
      </c>
      <c r="G1119" s="218">
        <v>43202</v>
      </c>
      <c r="H1119" s="217">
        <v>3.4131999999999998</v>
      </c>
    </row>
    <row r="1120" spans="2:8">
      <c r="B1120" s="217" t="str">
        <f t="shared" si="87"/>
        <v>2Q</v>
      </c>
      <c r="C1120" s="217">
        <f t="shared" si="91"/>
        <v>4</v>
      </c>
      <c r="D1120" s="217" t="str">
        <f t="shared" si="88"/>
        <v>18</v>
      </c>
      <c r="E1120">
        <f t="shared" si="89"/>
        <v>2018</v>
      </c>
      <c r="F1120" s="217" t="str">
        <f t="shared" si="90"/>
        <v>2Q18</v>
      </c>
      <c r="G1120" s="218">
        <v>43203</v>
      </c>
      <c r="H1120" s="217">
        <v>3.4222999999999999</v>
      </c>
    </row>
    <row r="1121" spans="2:8">
      <c r="B1121" s="217" t="str">
        <f t="shared" si="87"/>
        <v>2Q</v>
      </c>
      <c r="C1121" s="217">
        <f t="shared" si="91"/>
        <v>4</v>
      </c>
      <c r="D1121" s="217" t="str">
        <f t="shared" si="88"/>
        <v>18</v>
      </c>
      <c r="E1121">
        <f t="shared" si="89"/>
        <v>2018</v>
      </c>
      <c r="F1121" s="217" t="str">
        <f t="shared" si="90"/>
        <v>2Q18</v>
      </c>
      <c r="G1121" s="218">
        <v>43206</v>
      </c>
      <c r="H1121" s="217">
        <v>3.4194</v>
      </c>
    </row>
    <row r="1122" spans="2:8">
      <c r="B1122" s="217" t="str">
        <f t="shared" si="87"/>
        <v>2Q</v>
      </c>
      <c r="C1122" s="217">
        <f t="shared" si="91"/>
        <v>4</v>
      </c>
      <c r="D1122" s="217" t="str">
        <f t="shared" si="88"/>
        <v>18</v>
      </c>
      <c r="E1122">
        <f t="shared" si="89"/>
        <v>2018</v>
      </c>
      <c r="F1122" s="217" t="str">
        <f t="shared" si="90"/>
        <v>2Q18</v>
      </c>
      <c r="G1122" s="218">
        <v>43207</v>
      </c>
      <c r="H1122" s="217">
        <v>3.4079000000000002</v>
      </c>
    </row>
    <row r="1123" spans="2:8">
      <c r="B1123" s="217" t="str">
        <f t="shared" si="87"/>
        <v>2Q</v>
      </c>
      <c r="C1123" s="217">
        <f t="shared" si="91"/>
        <v>4</v>
      </c>
      <c r="D1123" s="217" t="str">
        <f t="shared" si="88"/>
        <v>18</v>
      </c>
      <c r="E1123">
        <f t="shared" si="89"/>
        <v>2018</v>
      </c>
      <c r="F1123" s="217" t="str">
        <f t="shared" si="90"/>
        <v>2Q18</v>
      </c>
      <c r="G1123" s="218">
        <v>43208</v>
      </c>
      <c r="H1123" s="217">
        <v>3.3803999999999998</v>
      </c>
    </row>
    <row r="1124" spans="2:8">
      <c r="B1124" s="217" t="str">
        <f t="shared" si="87"/>
        <v>2Q</v>
      </c>
      <c r="C1124" s="217">
        <f t="shared" si="91"/>
        <v>4</v>
      </c>
      <c r="D1124" s="217" t="str">
        <f t="shared" si="88"/>
        <v>18</v>
      </c>
      <c r="E1124">
        <f t="shared" si="89"/>
        <v>2018</v>
      </c>
      <c r="F1124" s="217" t="str">
        <f t="shared" si="90"/>
        <v>2Q18</v>
      </c>
      <c r="G1124" s="218">
        <v>43209</v>
      </c>
      <c r="H1124" s="217">
        <v>3.3885000000000001</v>
      </c>
    </row>
    <row r="1125" spans="2:8">
      <c r="B1125" s="217" t="str">
        <f t="shared" si="87"/>
        <v>2Q</v>
      </c>
      <c r="C1125" s="217">
        <f t="shared" si="91"/>
        <v>4</v>
      </c>
      <c r="D1125" s="217" t="str">
        <f t="shared" si="88"/>
        <v>18</v>
      </c>
      <c r="E1125">
        <f t="shared" si="89"/>
        <v>2018</v>
      </c>
      <c r="F1125" s="217" t="str">
        <f t="shared" si="90"/>
        <v>2Q18</v>
      </c>
      <c r="G1125" s="218">
        <v>43210</v>
      </c>
      <c r="H1125" s="217">
        <v>3.4129999999999998</v>
      </c>
    </row>
    <row r="1126" spans="2:8">
      <c r="B1126" s="217" t="str">
        <f t="shared" si="87"/>
        <v>2Q</v>
      </c>
      <c r="C1126" s="217">
        <f t="shared" si="91"/>
        <v>4</v>
      </c>
      <c r="D1126" s="217" t="str">
        <f t="shared" si="88"/>
        <v>18</v>
      </c>
      <c r="E1126">
        <f t="shared" si="89"/>
        <v>2018</v>
      </c>
      <c r="F1126" s="217" t="str">
        <f t="shared" si="90"/>
        <v>2Q18</v>
      </c>
      <c r="G1126" s="218">
        <v>43213</v>
      </c>
      <c r="H1126" s="217">
        <v>3.4527000000000001</v>
      </c>
    </row>
    <row r="1127" spans="2:8">
      <c r="B1127" s="217" t="str">
        <f t="shared" si="87"/>
        <v>2Q</v>
      </c>
      <c r="C1127" s="217">
        <f t="shared" si="91"/>
        <v>4</v>
      </c>
      <c r="D1127" s="217" t="str">
        <f t="shared" si="88"/>
        <v>18</v>
      </c>
      <c r="E1127">
        <f t="shared" si="89"/>
        <v>2018</v>
      </c>
      <c r="F1127" s="217" t="str">
        <f t="shared" si="90"/>
        <v>2Q18</v>
      </c>
      <c r="G1127" s="218">
        <v>43214</v>
      </c>
      <c r="H1127" s="217">
        <v>3.4714</v>
      </c>
    </row>
    <row r="1128" spans="2:8">
      <c r="B1128" s="217" t="str">
        <f t="shared" si="87"/>
        <v>2Q</v>
      </c>
      <c r="C1128" s="217">
        <f t="shared" si="91"/>
        <v>4</v>
      </c>
      <c r="D1128" s="217" t="str">
        <f t="shared" si="88"/>
        <v>18</v>
      </c>
      <c r="E1128">
        <f t="shared" si="89"/>
        <v>2018</v>
      </c>
      <c r="F1128" s="217" t="str">
        <f t="shared" si="90"/>
        <v>2Q18</v>
      </c>
      <c r="G1128" s="218">
        <v>43215</v>
      </c>
      <c r="H1128" s="217">
        <v>3.4849999999999999</v>
      </c>
    </row>
    <row r="1129" spans="2:8">
      <c r="B1129" s="217" t="str">
        <f t="shared" si="87"/>
        <v>2Q</v>
      </c>
      <c r="C1129" s="217">
        <f t="shared" si="91"/>
        <v>4</v>
      </c>
      <c r="D1129" s="217" t="str">
        <f t="shared" si="88"/>
        <v>18</v>
      </c>
      <c r="E1129">
        <f t="shared" si="89"/>
        <v>2018</v>
      </c>
      <c r="F1129" s="217" t="str">
        <f t="shared" si="90"/>
        <v>2Q18</v>
      </c>
      <c r="G1129" s="218">
        <v>43216</v>
      </c>
      <c r="H1129" s="217">
        <v>3.4754999999999998</v>
      </c>
    </row>
    <row r="1130" spans="2:8">
      <c r="B1130" s="217" t="str">
        <f t="shared" si="87"/>
        <v>2Q</v>
      </c>
      <c r="C1130" s="217">
        <f t="shared" si="91"/>
        <v>4</v>
      </c>
      <c r="D1130" s="217" t="str">
        <f t="shared" si="88"/>
        <v>18</v>
      </c>
      <c r="E1130">
        <f t="shared" si="89"/>
        <v>2018</v>
      </c>
      <c r="F1130" s="217" t="str">
        <f t="shared" si="90"/>
        <v>2Q18</v>
      </c>
      <c r="G1130" s="218">
        <v>43217</v>
      </c>
      <c r="H1130" s="217">
        <v>3.4567999999999999</v>
      </c>
    </row>
    <row r="1131" spans="2:8">
      <c r="B1131" s="217" t="str">
        <f t="shared" si="87"/>
        <v>2Q</v>
      </c>
      <c r="C1131" s="217">
        <f t="shared" si="91"/>
        <v>4</v>
      </c>
      <c r="D1131" s="217" t="str">
        <f t="shared" si="88"/>
        <v>18</v>
      </c>
      <c r="E1131">
        <f t="shared" si="89"/>
        <v>2018</v>
      </c>
      <c r="F1131" s="217" t="str">
        <f t="shared" si="90"/>
        <v>2Q18</v>
      </c>
      <c r="G1131" s="218">
        <v>43220</v>
      </c>
      <c r="H1131" s="217">
        <v>3.5072000000000001</v>
      </c>
    </row>
    <row r="1132" spans="2:8">
      <c r="B1132" s="217" t="str">
        <f t="shared" si="87"/>
        <v>2Q</v>
      </c>
      <c r="C1132" s="217">
        <f t="shared" si="91"/>
        <v>5</v>
      </c>
      <c r="D1132" s="217" t="str">
        <f t="shared" si="88"/>
        <v>18</v>
      </c>
      <c r="E1132">
        <f t="shared" si="89"/>
        <v>2018</v>
      </c>
      <c r="F1132" s="217" t="str">
        <f t="shared" si="90"/>
        <v>2Q18</v>
      </c>
      <c r="G1132" s="218">
        <v>43221</v>
      </c>
      <c r="H1132" s="217">
        <v>3.5076000000000001</v>
      </c>
    </row>
    <row r="1133" spans="2:8">
      <c r="B1133" s="217" t="str">
        <f t="shared" si="87"/>
        <v>2Q</v>
      </c>
      <c r="C1133" s="217">
        <f t="shared" si="91"/>
        <v>5</v>
      </c>
      <c r="D1133" s="217" t="str">
        <f t="shared" si="88"/>
        <v>18</v>
      </c>
      <c r="E1133">
        <f t="shared" si="89"/>
        <v>2018</v>
      </c>
      <c r="F1133" s="217" t="str">
        <f t="shared" si="90"/>
        <v>2Q18</v>
      </c>
      <c r="G1133" s="218">
        <v>43222</v>
      </c>
      <c r="H1133" s="217">
        <v>3.5518000000000001</v>
      </c>
    </row>
    <row r="1134" spans="2:8">
      <c r="B1134" s="217" t="str">
        <f t="shared" si="87"/>
        <v>2Q</v>
      </c>
      <c r="C1134" s="217">
        <f t="shared" si="91"/>
        <v>5</v>
      </c>
      <c r="D1134" s="217" t="str">
        <f t="shared" si="88"/>
        <v>18</v>
      </c>
      <c r="E1134">
        <f t="shared" si="89"/>
        <v>2018</v>
      </c>
      <c r="F1134" s="217" t="str">
        <f t="shared" si="90"/>
        <v>2Q18</v>
      </c>
      <c r="G1134" s="218">
        <v>43223</v>
      </c>
      <c r="H1134" s="217">
        <v>3.5282</v>
      </c>
    </row>
    <row r="1135" spans="2:8">
      <c r="B1135" s="217" t="str">
        <f t="shared" si="87"/>
        <v>2Q</v>
      </c>
      <c r="C1135" s="217">
        <f t="shared" si="91"/>
        <v>5</v>
      </c>
      <c r="D1135" s="217" t="str">
        <f t="shared" si="88"/>
        <v>18</v>
      </c>
      <c r="E1135">
        <f t="shared" si="89"/>
        <v>2018</v>
      </c>
      <c r="F1135" s="217" t="str">
        <f t="shared" si="90"/>
        <v>2Q18</v>
      </c>
      <c r="G1135" s="218">
        <v>43224</v>
      </c>
      <c r="H1135" s="217">
        <v>3.5304000000000002</v>
      </c>
    </row>
    <row r="1136" spans="2:8">
      <c r="B1136" s="217" t="str">
        <f t="shared" si="87"/>
        <v>2Q</v>
      </c>
      <c r="C1136" s="217">
        <f t="shared" si="91"/>
        <v>5</v>
      </c>
      <c r="D1136" s="217" t="str">
        <f t="shared" si="88"/>
        <v>18</v>
      </c>
      <c r="E1136">
        <f t="shared" si="89"/>
        <v>2018</v>
      </c>
      <c r="F1136" s="217" t="str">
        <f t="shared" si="90"/>
        <v>2Q18</v>
      </c>
      <c r="G1136" s="218">
        <v>43227</v>
      </c>
      <c r="H1136" s="217">
        <v>3.5533999999999999</v>
      </c>
    </row>
    <row r="1137" spans="2:8">
      <c r="B1137" s="217" t="str">
        <f t="shared" si="87"/>
        <v>2Q</v>
      </c>
      <c r="C1137" s="217">
        <f t="shared" si="91"/>
        <v>5</v>
      </c>
      <c r="D1137" s="217" t="str">
        <f t="shared" si="88"/>
        <v>18</v>
      </c>
      <c r="E1137">
        <f t="shared" si="89"/>
        <v>2018</v>
      </c>
      <c r="F1137" s="217" t="str">
        <f t="shared" si="90"/>
        <v>2Q18</v>
      </c>
      <c r="G1137" s="218">
        <v>43228</v>
      </c>
      <c r="H1137" s="217">
        <v>3.5636000000000001</v>
      </c>
    </row>
    <row r="1138" spans="2:8">
      <c r="B1138" s="217" t="str">
        <f t="shared" si="87"/>
        <v>2Q</v>
      </c>
      <c r="C1138" s="217">
        <f t="shared" si="91"/>
        <v>5</v>
      </c>
      <c r="D1138" s="217" t="str">
        <f t="shared" si="88"/>
        <v>18</v>
      </c>
      <c r="E1138">
        <f t="shared" si="89"/>
        <v>2018</v>
      </c>
      <c r="F1138" s="217" t="str">
        <f t="shared" si="90"/>
        <v>2Q18</v>
      </c>
      <c r="G1138" s="218">
        <v>43229</v>
      </c>
      <c r="H1138" s="217">
        <v>3.5924</v>
      </c>
    </row>
    <row r="1139" spans="2:8">
      <c r="B1139" s="217" t="str">
        <f t="shared" si="87"/>
        <v>2Q</v>
      </c>
      <c r="C1139" s="217">
        <f t="shared" si="91"/>
        <v>5</v>
      </c>
      <c r="D1139" s="217" t="str">
        <f t="shared" si="88"/>
        <v>18</v>
      </c>
      <c r="E1139">
        <f t="shared" si="89"/>
        <v>2018</v>
      </c>
      <c r="F1139" s="217" t="str">
        <f t="shared" si="90"/>
        <v>2Q18</v>
      </c>
      <c r="G1139" s="218">
        <v>43230</v>
      </c>
      <c r="H1139" s="217">
        <v>3.5501999999999998</v>
      </c>
    </row>
    <row r="1140" spans="2:8">
      <c r="B1140" s="217" t="str">
        <f t="shared" si="87"/>
        <v>2Q</v>
      </c>
      <c r="C1140" s="217">
        <f t="shared" si="91"/>
        <v>5</v>
      </c>
      <c r="D1140" s="217" t="str">
        <f t="shared" si="88"/>
        <v>18</v>
      </c>
      <c r="E1140">
        <f t="shared" si="89"/>
        <v>2018</v>
      </c>
      <c r="F1140" s="217" t="str">
        <f t="shared" si="90"/>
        <v>2Q18</v>
      </c>
      <c r="G1140" s="218">
        <v>43231</v>
      </c>
      <c r="H1140" s="217">
        <v>3.5998999999999999</v>
      </c>
    </row>
    <row r="1141" spans="2:8">
      <c r="B1141" s="217" t="str">
        <f t="shared" si="87"/>
        <v>2Q</v>
      </c>
      <c r="C1141" s="217">
        <f t="shared" si="91"/>
        <v>5</v>
      </c>
      <c r="D1141" s="217" t="str">
        <f t="shared" si="88"/>
        <v>18</v>
      </c>
      <c r="E1141">
        <f t="shared" si="89"/>
        <v>2018</v>
      </c>
      <c r="F1141" s="217" t="str">
        <f t="shared" si="90"/>
        <v>2Q18</v>
      </c>
      <c r="G1141" s="218">
        <v>43234</v>
      </c>
      <c r="H1141" s="217">
        <v>3.6231</v>
      </c>
    </row>
    <row r="1142" spans="2:8">
      <c r="B1142" s="217" t="str">
        <f t="shared" si="87"/>
        <v>2Q</v>
      </c>
      <c r="C1142" s="217">
        <f t="shared" si="91"/>
        <v>5</v>
      </c>
      <c r="D1142" s="217" t="str">
        <f t="shared" si="88"/>
        <v>18</v>
      </c>
      <c r="E1142">
        <f t="shared" si="89"/>
        <v>2018</v>
      </c>
      <c r="F1142" s="217" t="str">
        <f t="shared" si="90"/>
        <v>2Q18</v>
      </c>
      <c r="G1142" s="218">
        <v>43235</v>
      </c>
      <c r="H1142" s="217">
        <v>3.6539999999999999</v>
      </c>
    </row>
    <row r="1143" spans="2:8">
      <c r="B1143" s="217" t="str">
        <f t="shared" si="87"/>
        <v>2Q</v>
      </c>
      <c r="C1143" s="217">
        <f t="shared" si="91"/>
        <v>5</v>
      </c>
      <c r="D1143" s="217" t="str">
        <f t="shared" si="88"/>
        <v>18</v>
      </c>
      <c r="E1143">
        <f t="shared" si="89"/>
        <v>2018</v>
      </c>
      <c r="F1143" s="217" t="str">
        <f t="shared" si="90"/>
        <v>2Q18</v>
      </c>
      <c r="G1143" s="218">
        <v>43236</v>
      </c>
      <c r="H1143" s="217">
        <v>3.6760999999999999</v>
      </c>
    </row>
    <row r="1144" spans="2:8">
      <c r="B1144" s="217" t="str">
        <f t="shared" si="87"/>
        <v>2Q</v>
      </c>
      <c r="C1144" s="217">
        <f t="shared" si="91"/>
        <v>5</v>
      </c>
      <c r="D1144" s="217" t="str">
        <f t="shared" si="88"/>
        <v>18</v>
      </c>
      <c r="E1144">
        <f t="shared" si="89"/>
        <v>2018</v>
      </c>
      <c r="F1144" s="217" t="str">
        <f t="shared" si="90"/>
        <v>2Q18</v>
      </c>
      <c r="G1144" s="218">
        <v>43237</v>
      </c>
      <c r="H1144" s="217">
        <v>3.6966000000000001</v>
      </c>
    </row>
    <row r="1145" spans="2:8">
      <c r="B1145" s="217" t="str">
        <f t="shared" si="87"/>
        <v>2Q</v>
      </c>
      <c r="C1145" s="217">
        <f t="shared" si="91"/>
        <v>5</v>
      </c>
      <c r="D1145" s="217" t="str">
        <f t="shared" si="88"/>
        <v>18</v>
      </c>
      <c r="E1145">
        <f t="shared" si="89"/>
        <v>2018</v>
      </c>
      <c r="F1145" s="217" t="str">
        <f t="shared" si="90"/>
        <v>2Q18</v>
      </c>
      <c r="G1145" s="218">
        <v>43238</v>
      </c>
      <c r="H1145" s="217">
        <v>3.7370000000000001</v>
      </c>
    </row>
    <row r="1146" spans="2:8">
      <c r="B1146" s="217" t="str">
        <f t="shared" si="87"/>
        <v>2Q</v>
      </c>
      <c r="C1146" s="217">
        <f t="shared" si="91"/>
        <v>5</v>
      </c>
      <c r="D1146" s="217" t="str">
        <f t="shared" si="88"/>
        <v>18</v>
      </c>
      <c r="E1146">
        <f t="shared" si="89"/>
        <v>2018</v>
      </c>
      <c r="F1146" s="217" t="str">
        <f t="shared" si="90"/>
        <v>2Q18</v>
      </c>
      <c r="G1146" s="218">
        <v>43241</v>
      </c>
      <c r="H1146" s="217">
        <v>3.6772</v>
      </c>
    </row>
    <row r="1147" spans="2:8">
      <c r="B1147" s="217" t="str">
        <f t="shared" si="87"/>
        <v>2Q</v>
      </c>
      <c r="C1147" s="217">
        <f t="shared" si="91"/>
        <v>5</v>
      </c>
      <c r="D1147" s="217" t="str">
        <f t="shared" si="88"/>
        <v>18</v>
      </c>
      <c r="E1147">
        <f t="shared" si="89"/>
        <v>2018</v>
      </c>
      <c r="F1147" s="217" t="str">
        <f t="shared" si="90"/>
        <v>2Q18</v>
      </c>
      <c r="G1147" s="218">
        <v>43242</v>
      </c>
      <c r="H1147" s="217">
        <v>3.6448</v>
      </c>
    </row>
    <row r="1148" spans="2:8">
      <c r="B1148" s="217" t="str">
        <f t="shared" si="87"/>
        <v>2Q</v>
      </c>
      <c r="C1148" s="217">
        <f t="shared" si="91"/>
        <v>5</v>
      </c>
      <c r="D1148" s="217" t="str">
        <f t="shared" si="88"/>
        <v>18</v>
      </c>
      <c r="E1148">
        <f t="shared" si="89"/>
        <v>2018</v>
      </c>
      <c r="F1148" s="217" t="str">
        <f t="shared" si="90"/>
        <v>2Q18</v>
      </c>
      <c r="G1148" s="218">
        <v>43243</v>
      </c>
      <c r="H1148" s="217">
        <v>3.6288</v>
      </c>
    </row>
    <row r="1149" spans="2:8">
      <c r="B1149" s="217" t="str">
        <f t="shared" si="87"/>
        <v>2Q</v>
      </c>
      <c r="C1149" s="217">
        <f t="shared" si="91"/>
        <v>5</v>
      </c>
      <c r="D1149" s="217" t="str">
        <f t="shared" si="88"/>
        <v>18</v>
      </c>
      <c r="E1149">
        <f t="shared" si="89"/>
        <v>2018</v>
      </c>
      <c r="F1149" s="217" t="str">
        <f t="shared" si="90"/>
        <v>2Q18</v>
      </c>
      <c r="G1149" s="218">
        <v>43244</v>
      </c>
      <c r="H1149" s="217">
        <v>3.6495000000000002</v>
      </c>
    </row>
    <row r="1150" spans="2:8">
      <c r="B1150" s="217" t="str">
        <f t="shared" si="87"/>
        <v>2Q</v>
      </c>
      <c r="C1150" s="217">
        <f t="shared" si="91"/>
        <v>5</v>
      </c>
      <c r="D1150" s="217" t="str">
        <f t="shared" si="88"/>
        <v>18</v>
      </c>
      <c r="E1150">
        <f t="shared" si="89"/>
        <v>2018</v>
      </c>
      <c r="F1150" s="217" t="str">
        <f t="shared" si="90"/>
        <v>2Q18</v>
      </c>
      <c r="G1150" s="218">
        <v>43245</v>
      </c>
      <c r="H1150" s="217">
        <v>3.6524000000000001</v>
      </c>
    </row>
    <row r="1151" spans="2:8">
      <c r="B1151" s="217" t="str">
        <f t="shared" si="87"/>
        <v>2Q</v>
      </c>
      <c r="C1151" s="217">
        <f t="shared" si="91"/>
        <v>5</v>
      </c>
      <c r="D1151" s="217" t="str">
        <f t="shared" si="88"/>
        <v>18</v>
      </c>
      <c r="E1151">
        <f t="shared" si="89"/>
        <v>2018</v>
      </c>
      <c r="F1151" s="217" t="str">
        <f t="shared" si="90"/>
        <v>2Q18</v>
      </c>
      <c r="G1151" s="218">
        <v>43248</v>
      </c>
      <c r="H1151" s="217">
        <v>3.7351999999999999</v>
      </c>
    </row>
    <row r="1152" spans="2:8">
      <c r="B1152" s="217" t="str">
        <f t="shared" si="87"/>
        <v>2Q</v>
      </c>
      <c r="C1152" s="217">
        <f t="shared" si="91"/>
        <v>5</v>
      </c>
      <c r="D1152" s="217" t="str">
        <f t="shared" si="88"/>
        <v>18</v>
      </c>
      <c r="E1152">
        <f t="shared" si="89"/>
        <v>2018</v>
      </c>
      <c r="F1152" s="217" t="str">
        <f t="shared" si="90"/>
        <v>2Q18</v>
      </c>
      <c r="G1152" s="218">
        <v>43249</v>
      </c>
      <c r="H1152" s="217">
        <v>3.7254</v>
      </c>
    </row>
    <row r="1153" spans="2:8">
      <c r="B1153" s="217" t="str">
        <f t="shared" si="87"/>
        <v>2Q</v>
      </c>
      <c r="C1153" s="217">
        <f t="shared" si="91"/>
        <v>5</v>
      </c>
      <c r="D1153" s="217" t="str">
        <f t="shared" si="88"/>
        <v>18</v>
      </c>
      <c r="E1153">
        <f t="shared" si="89"/>
        <v>2018</v>
      </c>
      <c r="F1153" s="217" t="str">
        <f t="shared" si="90"/>
        <v>2Q18</v>
      </c>
      <c r="G1153" s="218">
        <v>43250</v>
      </c>
      <c r="H1153" s="217">
        <v>3.7241</v>
      </c>
    </row>
    <row r="1154" spans="2:8">
      <c r="B1154" s="217" t="str">
        <f t="shared" si="87"/>
        <v>2Q</v>
      </c>
      <c r="C1154" s="217">
        <f t="shared" si="91"/>
        <v>5</v>
      </c>
      <c r="D1154" s="217" t="str">
        <f t="shared" si="88"/>
        <v>18</v>
      </c>
      <c r="E1154">
        <f t="shared" si="89"/>
        <v>2018</v>
      </c>
      <c r="F1154" s="217" t="str">
        <f t="shared" si="90"/>
        <v>2Q18</v>
      </c>
      <c r="G1154" s="218">
        <v>43251</v>
      </c>
      <c r="H1154" s="217">
        <v>3.7235</v>
      </c>
    </row>
    <row r="1155" spans="2:8">
      <c r="B1155" s="217" t="str">
        <f t="shared" ref="B1155:B1218" si="92">VLOOKUP(C1155,$N$3:$O$14,2,0)</f>
        <v>2Q</v>
      </c>
      <c r="C1155" s="217">
        <f t="shared" si="91"/>
        <v>6</v>
      </c>
      <c r="D1155" s="217" t="str">
        <f t="shared" ref="D1155:D1218" si="93">RIGHT(E1155,2)</f>
        <v>18</v>
      </c>
      <c r="E1155">
        <f t="shared" ref="E1155:E1218" si="94">YEAR(G1155)</f>
        <v>2018</v>
      </c>
      <c r="F1155" s="217" t="str">
        <f t="shared" ref="F1155:F1218" si="95">+B1155&amp;D1155</f>
        <v>2Q18</v>
      </c>
      <c r="G1155" s="218">
        <v>43252</v>
      </c>
      <c r="H1155" s="217">
        <v>3.7633000000000001</v>
      </c>
    </row>
    <row r="1156" spans="2:8">
      <c r="B1156" s="217" t="str">
        <f t="shared" si="92"/>
        <v>2Q</v>
      </c>
      <c r="C1156" s="217">
        <f t="shared" ref="C1156:C1219" si="96">MONTH(G1156)</f>
        <v>6</v>
      </c>
      <c r="D1156" s="217" t="str">
        <f t="shared" si="93"/>
        <v>18</v>
      </c>
      <c r="E1156">
        <f t="shared" si="94"/>
        <v>2018</v>
      </c>
      <c r="F1156" s="217" t="str">
        <f t="shared" si="95"/>
        <v>2Q18</v>
      </c>
      <c r="G1156" s="218">
        <v>43255</v>
      </c>
      <c r="H1156" s="217">
        <v>3.7467999999999999</v>
      </c>
    </row>
    <row r="1157" spans="2:8">
      <c r="B1157" s="217" t="str">
        <f t="shared" si="92"/>
        <v>2Q</v>
      </c>
      <c r="C1157" s="217">
        <f t="shared" si="96"/>
        <v>6</v>
      </c>
      <c r="D1157" s="217" t="str">
        <f t="shared" si="93"/>
        <v>18</v>
      </c>
      <c r="E1157">
        <f t="shared" si="94"/>
        <v>2018</v>
      </c>
      <c r="F1157" s="217" t="str">
        <f t="shared" si="95"/>
        <v>2Q18</v>
      </c>
      <c r="G1157" s="218">
        <v>43256</v>
      </c>
      <c r="H1157" s="217">
        <v>3.8068</v>
      </c>
    </row>
    <row r="1158" spans="2:8">
      <c r="B1158" s="217" t="str">
        <f t="shared" si="92"/>
        <v>2Q</v>
      </c>
      <c r="C1158" s="217">
        <f t="shared" si="96"/>
        <v>6</v>
      </c>
      <c r="D1158" s="217" t="str">
        <f t="shared" si="93"/>
        <v>18</v>
      </c>
      <c r="E1158">
        <f t="shared" si="94"/>
        <v>2018</v>
      </c>
      <c r="F1158" s="217" t="str">
        <f t="shared" si="95"/>
        <v>2Q18</v>
      </c>
      <c r="G1158" s="218">
        <v>43257</v>
      </c>
      <c r="H1158" s="217">
        <v>3.8488000000000002</v>
      </c>
    </row>
    <row r="1159" spans="2:8">
      <c r="B1159" s="217" t="str">
        <f t="shared" si="92"/>
        <v>2Q</v>
      </c>
      <c r="C1159" s="217">
        <f t="shared" si="96"/>
        <v>6</v>
      </c>
      <c r="D1159" s="217" t="str">
        <f t="shared" si="93"/>
        <v>18</v>
      </c>
      <c r="E1159">
        <f t="shared" si="94"/>
        <v>2018</v>
      </c>
      <c r="F1159" s="217" t="str">
        <f t="shared" si="95"/>
        <v>2Q18</v>
      </c>
      <c r="G1159" s="218">
        <v>43258</v>
      </c>
      <c r="H1159" s="217">
        <v>3.9077999999999999</v>
      </c>
    </row>
    <row r="1160" spans="2:8">
      <c r="B1160" s="217" t="str">
        <f t="shared" si="92"/>
        <v>2Q</v>
      </c>
      <c r="C1160" s="217">
        <f t="shared" si="96"/>
        <v>6</v>
      </c>
      <c r="D1160" s="217" t="str">
        <f t="shared" si="93"/>
        <v>18</v>
      </c>
      <c r="E1160">
        <f t="shared" si="94"/>
        <v>2018</v>
      </c>
      <c r="F1160" s="217" t="str">
        <f t="shared" si="95"/>
        <v>2Q18</v>
      </c>
      <c r="G1160" s="218">
        <v>43259</v>
      </c>
      <c r="H1160" s="217">
        <v>3.7094</v>
      </c>
    </row>
    <row r="1161" spans="2:8">
      <c r="B1161" s="217" t="str">
        <f t="shared" si="92"/>
        <v>2Q</v>
      </c>
      <c r="C1161" s="217">
        <f t="shared" si="96"/>
        <v>6</v>
      </c>
      <c r="D1161" s="217" t="str">
        <f t="shared" si="93"/>
        <v>18</v>
      </c>
      <c r="E1161">
        <f t="shared" si="94"/>
        <v>2018</v>
      </c>
      <c r="F1161" s="217" t="str">
        <f t="shared" si="95"/>
        <v>2Q18</v>
      </c>
      <c r="G1161" s="218">
        <v>43262</v>
      </c>
      <c r="H1161" s="217">
        <v>3.7097000000000002</v>
      </c>
    </row>
    <row r="1162" spans="2:8">
      <c r="B1162" s="217" t="str">
        <f t="shared" si="92"/>
        <v>2Q</v>
      </c>
      <c r="C1162" s="217">
        <f t="shared" si="96"/>
        <v>6</v>
      </c>
      <c r="D1162" s="217" t="str">
        <f t="shared" si="93"/>
        <v>18</v>
      </c>
      <c r="E1162">
        <f t="shared" si="94"/>
        <v>2018</v>
      </c>
      <c r="F1162" s="217" t="str">
        <f t="shared" si="95"/>
        <v>2Q18</v>
      </c>
      <c r="G1162" s="218">
        <v>43263</v>
      </c>
      <c r="H1162" s="217">
        <v>3.7185000000000001</v>
      </c>
    </row>
    <row r="1163" spans="2:8">
      <c r="B1163" s="217" t="str">
        <f t="shared" si="92"/>
        <v>2Q</v>
      </c>
      <c r="C1163" s="217">
        <f t="shared" si="96"/>
        <v>6</v>
      </c>
      <c r="D1163" s="217" t="str">
        <f t="shared" si="93"/>
        <v>18</v>
      </c>
      <c r="E1163">
        <f t="shared" si="94"/>
        <v>2018</v>
      </c>
      <c r="F1163" s="217" t="str">
        <f t="shared" si="95"/>
        <v>2Q18</v>
      </c>
      <c r="G1163" s="218">
        <v>43264</v>
      </c>
      <c r="H1163" s="217">
        <v>3.7201</v>
      </c>
    </row>
    <row r="1164" spans="2:8">
      <c r="B1164" s="217" t="str">
        <f t="shared" si="92"/>
        <v>2Q</v>
      </c>
      <c r="C1164" s="217">
        <f t="shared" si="96"/>
        <v>6</v>
      </c>
      <c r="D1164" s="217" t="str">
        <f t="shared" si="93"/>
        <v>18</v>
      </c>
      <c r="E1164">
        <f t="shared" si="94"/>
        <v>2018</v>
      </c>
      <c r="F1164" s="217" t="str">
        <f t="shared" si="95"/>
        <v>2Q18</v>
      </c>
      <c r="G1164" s="218">
        <v>43265</v>
      </c>
      <c r="H1164" s="217">
        <v>3.806</v>
      </c>
    </row>
    <row r="1165" spans="2:8">
      <c r="B1165" s="217" t="str">
        <f t="shared" si="92"/>
        <v>2Q</v>
      </c>
      <c r="C1165" s="217">
        <f t="shared" si="96"/>
        <v>6</v>
      </c>
      <c r="D1165" s="217" t="str">
        <f t="shared" si="93"/>
        <v>18</v>
      </c>
      <c r="E1165">
        <f t="shared" si="94"/>
        <v>2018</v>
      </c>
      <c r="F1165" s="217" t="str">
        <f t="shared" si="95"/>
        <v>2Q18</v>
      </c>
      <c r="G1165" s="218">
        <v>43266</v>
      </c>
      <c r="H1165" s="217">
        <v>3.7296999999999998</v>
      </c>
    </row>
    <row r="1166" spans="2:8">
      <c r="B1166" s="217" t="str">
        <f t="shared" si="92"/>
        <v>2Q</v>
      </c>
      <c r="C1166" s="217">
        <f t="shared" si="96"/>
        <v>6</v>
      </c>
      <c r="D1166" s="217" t="str">
        <f t="shared" si="93"/>
        <v>18</v>
      </c>
      <c r="E1166">
        <f t="shared" si="94"/>
        <v>2018</v>
      </c>
      <c r="F1166" s="217" t="str">
        <f t="shared" si="95"/>
        <v>2Q18</v>
      </c>
      <c r="G1166" s="218">
        <v>43269</v>
      </c>
      <c r="H1166" s="217">
        <v>3.7469999999999999</v>
      </c>
    </row>
    <row r="1167" spans="2:8">
      <c r="B1167" s="217" t="str">
        <f t="shared" si="92"/>
        <v>2Q</v>
      </c>
      <c r="C1167" s="217">
        <f t="shared" si="96"/>
        <v>6</v>
      </c>
      <c r="D1167" s="217" t="str">
        <f t="shared" si="93"/>
        <v>18</v>
      </c>
      <c r="E1167">
        <f t="shared" si="94"/>
        <v>2018</v>
      </c>
      <c r="F1167" s="217" t="str">
        <f t="shared" si="95"/>
        <v>2Q18</v>
      </c>
      <c r="G1167" s="218">
        <v>43270</v>
      </c>
      <c r="H1167" s="217">
        <v>3.7471000000000001</v>
      </c>
    </row>
    <row r="1168" spans="2:8">
      <c r="B1168" s="217" t="str">
        <f t="shared" si="92"/>
        <v>2Q</v>
      </c>
      <c r="C1168" s="217">
        <f t="shared" si="96"/>
        <v>6</v>
      </c>
      <c r="D1168" s="217" t="str">
        <f t="shared" si="93"/>
        <v>18</v>
      </c>
      <c r="E1168">
        <f t="shared" si="94"/>
        <v>2018</v>
      </c>
      <c r="F1168" s="217" t="str">
        <f t="shared" si="95"/>
        <v>2Q18</v>
      </c>
      <c r="G1168" s="218">
        <v>43271</v>
      </c>
      <c r="H1168" s="217">
        <v>3.7713999999999999</v>
      </c>
    </row>
    <row r="1169" spans="2:8">
      <c r="B1169" s="217" t="str">
        <f t="shared" si="92"/>
        <v>2Q</v>
      </c>
      <c r="C1169" s="217">
        <f t="shared" si="96"/>
        <v>6</v>
      </c>
      <c r="D1169" s="217" t="str">
        <f t="shared" si="93"/>
        <v>18</v>
      </c>
      <c r="E1169">
        <f t="shared" si="94"/>
        <v>2018</v>
      </c>
      <c r="F1169" s="217" t="str">
        <f t="shared" si="95"/>
        <v>2Q18</v>
      </c>
      <c r="G1169" s="218">
        <v>43272</v>
      </c>
      <c r="H1169" s="217">
        <v>3.7690999999999999</v>
      </c>
    </row>
    <row r="1170" spans="2:8">
      <c r="B1170" s="217" t="str">
        <f t="shared" si="92"/>
        <v>2Q</v>
      </c>
      <c r="C1170" s="217">
        <f t="shared" si="96"/>
        <v>6</v>
      </c>
      <c r="D1170" s="217" t="str">
        <f t="shared" si="93"/>
        <v>18</v>
      </c>
      <c r="E1170">
        <f t="shared" si="94"/>
        <v>2018</v>
      </c>
      <c r="F1170" s="217" t="str">
        <f t="shared" si="95"/>
        <v>2Q18</v>
      </c>
      <c r="G1170" s="218">
        <v>43273</v>
      </c>
      <c r="H1170" s="217">
        <v>3.786</v>
      </c>
    </row>
    <row r="1171" spans="2:8">
      <c r="B1171" s="217" t="str">
        <f t="shared" si="92"/>
        <v>2Q</v>
      </c>
      <c r="C1171" s="217">
        <f t="shared" si="96"/>
        <v>6</v>
      </c>
      <c r="D1171" s="217" t="str">
        <f t="shared" si="93"/>
        <v>18</v>
      </c>
      <c r="E1171">
        <f t="shared" si="94"/>
        <v>2018</v>
      </c>
      <c r="F1171" s="217" t="str">
        <f t="shared" si="95"/>
        <v>2Q18</v>
      </c>
      <c r="G1171" s="218">
        <v>43276</v>
      </c>
      <c r="H1171" s="217">
        <v>3.7766999999999999</v>
      </c>
    </row>
    <row r="1172" spans="2:8">
      <c r="B1172" s="217" t="str">
        <f t="shared" si="92"/>
        <v>2Q</v>
      </c>
      <c r="C1172" s="217">
        <f t="shared" si="96"/>
        <v>6</v>
      </c>
      <c r="D1172" s="217" t="str">
        <f t="shared" si="93"/>
        <v>18</v>
      </c>
      <c r="E1172">
        <f t="shared" si="94"/>
        <v>2018</v>
      </c>
      <c r="F1172" s="217" t="str">
        <f t="shared" si="95"/>
        <v>2Q18</v>
      </c>
      <c r="G1172" s="218">
        <v>43277</v>
      </c>
      <c r="H1172" s="217">
        <v>3.8016000000000001</v>
      </c>
    </row>
    <row r="1173" spans="2:8">
      <c r="B1173" s="217" t="str">
        <f t="shared" si="92"/>
        <v>2Q</v>
      </c>
      <c r="C1173" s="217">
        <f t="shared" si="96"/>
        <v>6</v>
      </c>
      <c r="D1173" s="217" t="str">
        <f t="shared" si="93"/>
        <v>18</v>
      </c>
      <c r="E1173">
        <f t="shared" si="94"/>
        <v>2018</v>
      </c>
      <c r="F1173" s="217" t="str">
        <f t="shared" si="95"/>
        <v>2Q18</v>
      </c>
      <c r="G1173" s="218">
        <v>43278</v>
      </c>
      <c r="H1173" s="217">
        <v>3.8628</v>
      </c>
    </row>
    <row r="1174" spans="2:8">
      <c r="B1174" s="217" t="str">
        <f t="shared" si="92"/>
        <v>2Q</v>
      </c>
      <c r="C1174" s="217">
        <f t="shared" si="96"/>
        <v>6</v>
      </c>
      <c r="D1174" s="217" t="str">
        <f t="shared" si="93"/>
        <v>18</v>
      </c>
      <c r="E1174">
        <f t="shared" si="94"/>
        <v>2018</v>
      </c>
      <c r="F1174" s="217" t="str">
        <f t="shared" si="95"/>
        <v>2Q18</v>
      </c>
      <c r="G1174" s="218">
        <v>43279</v>
      </c>
      <c r="H1174" s="217">
        <v>3.8624000000000001</v>
      </c>
    </row>
    <row r="1175" spans="2:8">
      <c r="B1175" s="217" t="str">
        <f t="shared" si="92"/>
        <v>2Q</v>
      </c>
      <c r="C1175" s="217">
        <f t="shared" si="96"/>
        <v>6</v>
      </c>
      <c r="D1175" s="217" t="str">
        <f t="shared" si="93"/>
        <v>18</v>
      </c>
      <c r="E1175">
        <f t="shared" si="94"/>
        <v>2018</v>
      </c>
      <c r="F1175" s="217" t="str">
        <f t="shared" si="95"/>
        <v>2Q18</v>
      </c>
      <c r="G1175" s="218">
        <v>43280</v>
      </c>
      <c r="H1175" s="217">
        <v>3.8771</v>
      </c>
    </row>
    <row r="1176" spans="2:8">
      <c r="B1176" s="217" t="str">
        <f t="shared" si="92"/>
        <v>3Q</v>
      </c>
      <c r="C1176" s="217">
        <f t="shared" si="96"/>
        <v>7</v>
      </c>
      <c r="D1176" s="217" t="str">
        <f t="shared" si="93"/>
        <v>18</v>
      </c>
      <c r="E1176">
        <f t="shared" si="94"/>
        <v>2018</v>
      </c>
      <c r="F1176" s="217" t="str">
        <f t="shared" si="95"/>
        <v>3Q18</v>
      </c>
      <c r="G1176" s="218">
        <v>43283</v>
      </c>
      <c r="H1176" s="217">
        <v>3.9129999999999998</v>
      </c>
    </row>
    <row r="1177" spans="2:8">
      <c r="B1177" s="217" t="str">
        <f t="shared" si="92"/>
        <v>3Q</v>
      </c>
      <c r="C1177" s="217">
        <f t="shared" si="96"/>
        <v>7</v>
      </c>
      <c r="D1177" s="217" t="str">
        <f t="shared" si="93"/>
        <v>18</v>
      </c>
      <c r="E1177">
        <f t="shared" si="94"/>
        <v>2018</v>
      </c>
      <c r="F1177" s="217" t="str">
        <f t="shared" si="95"/>
        <v>3Q18</v>
      </c>
      <c r="G1177" s="218">
        <v>43284</v>
      </c>
      <c r="H1177" s="217">
        <v>3.8975</v>
      </c>
    </row>
    <row r="1178" spans="2:8">
      <c r="B1178" s="217" t="str">
        <f t="shared" si="92"/>
        <v>3Q</v>
      </c>
      <c r="C1178" s="217">
        <f t="shared" si="96"/>
        <v>7</v>
      </c>
      <c r="D1178" s="217" t="str">
        <f t="shared" si="93"/>
        <v>18</v>
      </c>
      <c r="E1178">
        <f t="shared" si="94"/>
        <v>2018</v>
      </c>
      <c r="F1178" s="217" t="str">
        <f t="shared" si="95"/>
        <v>3Q18</v>
      </c>
      <c r="G1178" s="218">
        <v>43285</v>
      </c>
      <c r="H1178" s="217">
        <v>3.9138000000000002</v>
      </c>
    </row>
    <row r="1179" spans="2:8">
      <c r="B1179" s="217" t="str">
        <f t="shared" si="92"/>
        <v>3Q</v>
      </c>
      <c r="C1179" s="217">
        <f t="shared" si="96"/>
        <v>7</v>
      </c>
      <c r="D1179" s="217" t="str">
        <f t="shared" si="93"/>
        <v>18</v>
      </c>
      <c r="E1179">
        <f t="shared" si="94"/>
        <v>2018</v>
      </c>
      <c r="F1179" s="217" t="str">
        <f t="shared" si="95"/>
        <v>3Q18</v>
      </c>
      <c r="G1179" s="218">
        <v>43286</v>
      </c>
      <c r="H1179" s="217">
        <v>3.9327000000000001</v>
      </c>
    </row>
    <row r="1180" spans="2:8">
      <c r="B1180" s="217" t="str">
        <f t="shared" si="92"/>
        <v>3Q</v>
      </c>
      <c r="C1180" s="217">
        <f t="shared" si="96"/>
        <v>7</v>
      </c>
      <c r="D1180" s="217" t="str">
        <f t="shared" si="93"/>
        <v>18</v>
      </c>
      <c r="E1180">
        <f t="shared" si="94"/>
        <v>2018</v>
      </c>
      <c r="F1180" s="217" t="str">
        <f t="shared" si="95"/>
        <v>3Q18</v>
      </c>
      <c r="G1180" s="218">
        <v>43287</v>
      </c>
      <c r="H1180" s="217">
        <v>3.8628</v>
      </c>
    </row>
    <row r="1181" spans="2:8">
      <c r="B1181" s="217" t="str">
        <f t="shared" si="92"/>
        <v>3Q</v>
      </c>
      <c r="C1181" s="217">
        <f t="shared" si="96"/>
        <v>7</v>
      </c>
      <c r="D1181" s="217" t="str">
        <f t="shared" si="93"/>
        <v>18</v>
      </c>
      <c r="E1181">
        <f t="shared" si="94"/>
        <v>2018</v>
      </c>
      <c r="F1181" s="217" t="str">
        <f t="shared" si="95"/>
        <v>3Q18</v>
      </c>
      <c r="G1181" s="218">
        <v>43290</v>
      </c>
      <c r="H1181" s="217">
        <v>3.8727</v>
      </c>
    </row>
    <row r="1182" spans="2:8">
      <c r="B1182" s="217" t="str">
        <f t="shared" si="92"/>
        <v>3Q</v>
      </c>
      <c r="C1182" s="217">
        <f t="shared" si="96"/>
        <v>7</v>
      </c>
      <c r="D1182" s="217" t="str">
        <f t="shared" si="93"/>
        <v>18</v>
      </c>
      <c r="E1182">
        <f t="shared" si="94"/>
        <v>2018</v>
      </c>
      <c r="F1182" s="217" t="str">
        <f t="shared" si="95"/>
        <v>3Q18</v>
      </c>
      <c r="G1182" s="218">
        <v>43291</v>
      </c>
      <c r="H1182" s="217">
        <v>3.8151999999999999</v>
      </c>
    </row>
    <row r="1183" spans="2:8">
      <c r="B1183" s="217" t="str">
        <f t="shared" si="92"/>
        <v>3Q</v>
      </c>
      <c r="C1183" s="217">
        <f t="shared" si="96"/>
        <v>7</v>
      </c>
      <c r="D1183" s="217" t="str">
        <f t="shared" si="93"/>
        <v>18</v>
      </c>
      <c r="E1183">
        <f t="shared" si="94"/>
        <v>2018</v>
      </c>
      <c r="F1183" s="217" t="str">
        <f t="shared" si="95"/>
        <v>3Q18</v>
      </c>
      <c r="G1183" s="218">
        <v>43292</v>
      </c>
      <c r="H1183" s="217">
        <v>3.8773</v>
      </c>
    </row>
    <row r="1184" spans="2:8">
      <c r="B1184" s="217" t="str">
        <f t="shared" si="92"/>
        <v>3Q</v>
      </c>
      <c r="C1184" s="217">
        <f t="shared" si="96"/>
        <v>7</v>
      </c>
      <c r="D1184" s="217" t="str">
        <f t="shared" si="93"/>
        <v>18</v>
      </c>
      <c r="E1184">
        <f t="shared" si="94"/>
        <v>2018</v>
      </c>
      <c r="F1184" s="217" t="str">
        <f t="shared" si="95"/>
        <v>3Q18</v>
      </c>
      <c r="G1184" s="218">
        <v>43293</v>
      </c>
      <c r="H1184" s="217">
        <v>3.8822000000000001</v>
      </c>
    </row>
    <row r="1185" spans="2:8">
      <c r="B1185" s="217" t="str">
        <f t="shared" si="92"/>
        <v>3Q</v>
      </c>
      <c r="C1185" s="217">
        <f t="shared" si="96"/>
        <v>7</v>
      </c>
      <c r="D1185" s="217" t="str">
        <f t="shared" si="93"/>
        <v>18</v>
      </c>
      <c r="E1185">
        <f t="shared" si="94"/>
        <v>2018</v>
      </c>
      <c r="F1185" s="217" t="str">
        <f t="shared" si="95"/>
        <v>3Q18</v>
      </c>
      <c r="G1185" s="218">
        <v>43294</v>
      </c>
      <c r="H1185" s="217">
        <v>3.8517999999999999</v>
      </c>
    </row>
    <row r="1186" spans="2:8">
      <c r="B1186" s="217" t="str">
        <f t="shared" si="92"/>
        <v>3Q</v>
      </c>
      <c r="C1186" s="217">
        <f t="shared" si="96"/>
        <v>7</v>
      </c>
      <c r="D1186" s="217" t="str">
        <f t="shared" si="93"/>
        <v>18</v>
      </c>
      <c r="E1186">
        <f t="shared" si="94"/>
        <v>2018</v>
      </c>
      <c r="F1186" s="217" t="str">
        <f t="shared" si="95"/>
        <v>3Q18</v>
      </c>
      <c r="G1186" s="218">
        <v>43297</v>
      </c>
      <c r="H1186" s="217">
        <v>3.8605</v>
      </c>
    </row>
    <row r="1187" spans="2:8">
      <c r="B1187" s="217" t="str">
        <f t="shared" si="92"/>
        <v>3Q</v>
      </c>
      <c r="C1187" s="217">
        <f t="shared" si="96"/>
        <v>7</v>
      </c>
      <c r="D1187" s="217" t="str">
        <f t="shared" si="93"/>
        <v>18</v>
      </c>
      <c r="E1187">
        <f t="shared" si="94"/>
        <v>2018</v>
      </c>
      <c r="F1187" s="217" t="str">
        <f t="shared" si="95"/>
        <v>3Q18</v>
      </c>
      <c r="G1187" s="218">
        <v>43298</v>
      </c>
      <c r="H1187" s="217">
        <v>3.8388</v>
      </c>
    </row>
    <row r="1188" spans="2:8">
      <c r="B1188" s="217" t="str">
        <f t="shared" si="92"/>
        <v>3Q</v>
      </c>
      <c r="C1188" s="217">
        <f t="shared" si="96"/>
        <v>7</v>
      </c>
      <c r="D1188" s="217" t="str">
        <f t="shared" si="93"/>
        <v>18</v>
      </c>
      <c r="E1188">
        <f t="shared" si="94"/>
        <v>2018</v>
      </c>
      <c r="F1188" s="217" t="str">
        <f t="shared" si="95"/>
        <v>3Q18</v>
      </c>
      <c r="G1188" s="218">
        <v>43299</v>
      </c>
      <c r="H1188" s="217">
        <v>3.8513000000000002</v>
      </c>
    </row>
    <row r="1189" spans="2:8">
      <c r="B1189" s="217" t="str">
        <f t="shared" si="92"/>
        <v>3Q</v>
      </c>
      <c r="C1189" s="217">
        <f t="shared" si="96"/>
        <v>7</v>
      </c>
      <c r="D1189" s="217" t="str">
        <f t="shared" si="93"/>
        <v>18</v>
      </c>
      <c r="E1189">
        <f t="shared" si="94"/>
        <v>2018</v>
      </c>
      <c r="F1189" s="217" t="str">
        <f t="shared" si="95"/>
        <v>3Q18</v>
      </c>
      <c r="G1189" s="218">
        <v>43300</v>
      </c>
      <c r="H1189" s="217">
        <v>3.8294999999999999</v>
      </c>
    </row>
    <row r="1190" spans="2:8">
      <c r="B1190" s="217" t="str">
        <f t="shared" si="92"/>
        <v>3Q</v>
      </c>
      <c r="C1190" s="217">
        <f t="shared" si="96"/>
        <v>7</v>
      </c>
      <c r="D1190" s="217" t="str">
        <f t="shared" si="93"/>
        <v>18</v>
      </c>
      <c r="E1190">
        <f t="shared" si="94"/>
        <v>2018</v>
      </c>
      <c r="F1190" s="217" t="str">
        <f t="shared" si="95"/>
        <v>3Q18</v>
      </c>
      <c r="G1190" s="218">
        <v>43301</v>
      </c>
      <c r="H1190" s="217">
        <v>3.7681</v>
      </c>
    </row>
    <row r="1191" spans="2:8">
      <c r="B1191" s="217" t="str">
        <f t="shared" si="92"/>
        <v>3Q</v>
      </c>
      <c r="C1191" s="217">
        <f t="shared" si="96"/>
        <v>7</v>
      </c>
      <c r="D1191" s="217" t="str">
        <f t="shared" si="93"/>
        <v>18</v>
      </c>
      <c r="E1191">
        <f t="shared" si="94"/>
        <v>2018</v>
      </c>
      <c r="F1191" s="217" t="str">
        <f t="shared" si="95"/>
        <v>3Q18</v>
      </c>
      <c r="G1191" s="218">
        <v>43304</v>
      </c>
      <c r="H1191" s="217">
        <v>3.7827000000000002</v>
      </c>
    </row>
    <row r="1192" spans="2:8">
      <c r="B1192" s="217" t="str">
        <f t="shared" si="92"/>
        <v>3Q</v>
      </c>
      <c r="C1192" s="217">
        <f t="shared" si="96"/>
        <v>7</v>
      </c>
      <c r="D1192" s="217" t="str">
        <f t="shared" si="93"/>
        <v>18</v>
      </c>
      <c r="E1192">
        <f t="shared" si="94"/>
        <v>2018</v>
      </c>
      <c r="F1192" s="217" t="str">
        <f t="shared" si="95"/>
        <v>3Q18</v>
      </c>
      <c r="G1192" s="218">
        <v>43305</v>
      </c>
      <c r="H1192" s="217">
        <v>3.7481</v>
      </c>
    </row>
    <row r="1193" spans="2:8">
      <c r="B1193" s="217" t="str">
        <f t="shared" si="92"/>
        <v>3Q</v>
      </c>
      <c r="C1193" s="217">
        <f t="shared" si="96"/>
        <v>7</v>
      </c>
      <c r="D1193" s="217" t="str">
        <f t="shared" si="93"/>
        <v>18</v>
      </c>
      <c r="E1193">
        <f t="shared" si="94"/>
        <v>2018</v>
      </c>
      <c r="F1193" s="217" t="str">
        <f t="shared" si="95"/>
        <v>3Q18</v>
      </c>
      <c r="G1193" s="218">
        <v>43306</v>
      </c>
      <c r="H1193" s="217">
        <v>3.6886000000000001</v>
      </c>
    </row>
    <row r="1194" spans="2:8">
      <c r="B1194" s="217" t="str">
        <f t="shared" si="92"/>
        <v>3Q</v>
      </c>
      <c r="C1194" s="217">
        <f t="shared" si="96"/>
        <v>7</v>
      </c>
      <c r="D1194" s="217" t="str">
        <f t="shared" si="93"/>
        <v>18</v>
      </c>
      <c r="E1194">
        <f t="shared" si="94"/>
        <v>2018</v>
      </c>
      <c r="F1194" s="217" t="str">
        <f t="shared" si="95"/>
        <v>3Q18</v>
      </c>
      <c r="G1194" s="218">
        <v>43307</v>
      </c>
      <c r="H1194" s="217">
        <v>3.7462</v>
      </c>
    </row>
    <row r="1195" spans="2:8">
      <c r="B1195" s="217" t="str">
        <f t="shared" si="92"/>
        <v>3Q</v>
      </c>
      <c r="C1195" s="217">
        <f t="shared" si="96"/>
        <v>7</v>
      </c>
      <c r="D1195" s="217" t="str">
        <f t="shared" si="93"/>
        <v>18</v>
      </c>
      <c r="E1195">
        <f t="shared" si="94"/>
        <v>2018</v>
      </c>
      <c r="F1195" s="217" t="str">
        <f t="shared" si="95"/>
        <v>3Q18</v>
      </c>
      <c r="G1195" s="218">
        <v>43308</v>
      </c>
      <c r="H1195" s="217">
        <v>3.7113999999999998</v>
      </c>
    </row>
    <row r="1196" spans="2:8">
      <c r="B1196" s="217" t="str">
        <f t="shared" si="92"/>
        <v>3Q</v>
      </c>
      <c r="C1196" s="217">
        <f t="shared" si="96"/>
        <v>7</v>
      </c>
      <c r="D1196" s="217" t="str">
        <f t="shared" si="93"/>
        <v>18</v>
      </c>
      <c r="E1196">
        <f t="shared" si="94"/>
        <v>2018</v>
      </c>
      <c r="F1196" s="217" t="str">
        <f t="shared" si="95"/>
        <v>3Q18</v>
      </c>
      <c r="G1196" s="218">
        <v>43311</v>
      </c>
      <c r="H1196" s="217">
        <v>3.7307000000000001</v>
      </c>
    </row>
    <row r="1197" spans="2:8">
      <c r="B1197" s="217" t="str">
        <f t="shared" si="92"/>
        <v>3Q</v>
      </c>
      <c r="C1197" s="217">
        <f t="shared" si="96"/>
        <v>7</v>
      </c>
      <c r="D1197" s="217" t="str">
        <f t="shared" si="93"/>
        <v>18</v>
      </c>
      <c r="E1197">
        <f t="shared" si="94"/>
        <v>2018</v>
      </c>
      <c r="F1197" s="217" t="str">
        <f t="shared" si="95"/>
        <v>3Q18</v>
      </c>
      <c r="G1197" s="218">
        <v>43312</v>
      </c>
      <c r="H1197" s="217">
        <v>3.7564000000000002</v>
      </c>
    </row>
    <row r="1198" spans="2:8">
      <c r="B1198" s="217" t="str">
        <f t="shared" si="92"/>
        <v>3Q</v>
      </c>
      <c r="C1198" s="217">
        <f t="shared" si="96"/>
        <v>8</v>
      </c>
      <c r="D1198" s="217" t="str">
        <f t="shared" si="93"/>
        <v>18</v>
      </c>
      <c r="E1198">
        <f t="shared" si="94"/>
        <v>2018</v>
      </c>
      <c r="F1198" s="217" t="str">
        <f t="shared" si="95"/>
        <v>3Q18</v>
      </c>
      <c r="G1198" s="218">
        <v>43313</v>
      </c>
      <c r="H1198" s="217">
        <v>3.7498999999999998</v>
      </c>
    </row>
    <row r="1199" spans="2:8">
      <c r="B1199" s="217" t="str">
        <f t="shared" si="92"/>
        <v>3Q</v>
      </c>
      <c r="C1199" s="217">
        <f t="shared" si="96"/>
        <v>8</v>
      </c>
      <c r="D1199" s="217" t="str">
        <f t="shared" si="93"/>
        <v>18</v>
      </c>
      <c r="E1199">
        <f t="shared" si="94"/>
        <v>2018</v>
      </c>
      <c r="F1199" s="217" t="str">
        <f t="shared" si="95"/>
        <v>3Q18</v>
      </c>
      <c r="G1199" s="218">
        <v>43314</v>
      </c>
      <c r="H1199" s="217">
        <v>3.7503000000000002</v>
      </c>
    </row>
    <row r="1200" spans="2:8">
      <c r="B1200" s="217" t="str">
        <f t="shared" si="92"/>
        <v>3Q</v>
      </c>
      <c r="C1200" s="217">
        <f t="shared" si="96"/>
        <v>8</v>
      </c>
      <c r="D1200" s="217" t="str">
        <f t="shared" si="93"/>
        <v>18</v>
      </c>
      <c r="E1200">
        <f t="shared" si="94"/>
        <v>2018</v>
      </c>
      <c r="F1200" s="217" t="str">
        <f t="shared" si="95"/>
        <v>3Q18</v>
      </c>
      <c r="G1200" s="218">
        <v>43315</v>
      </c>
      <c r="H1200" s="217">
        <v>3.7080000000000002</v>
      </c>
    </row>
    <row r="1201" spans="2:8">
      <c r="B1201" s="217" t="str">
        <f t="shared" si="92"/>
        <v>3Q</v>
      </c>
      <c r="C1201" s="217">
        <f t="shared" si="96"/>
        <v>8</v>
      </c>
      <c r="D1201" s="217" t="str">
        <f t="shared" si="93"/>
        <v>18</v>
      </c>
      <c r="E1201">
        <f t="shared" si="94"/>
        <v>2018</v>
      </c>
      <c r="F1201" s="217" t="str">
        <f t="shared" si="95"/>
        <v>3Q18</v>
      </c>
      <c r="G1201" s="218">
        <v>43318</v>
      </c>
      <c r="H1201" s="217">
        <v>3.7363</v>
      </c>
    </row>
    <row r="1202" spans="2:8">
      <c r="B1202" s="217" t="str">
        <f t="shared" si="92"/>
        <v>3Q</v>
      </c>
      <c r="C1202" s="217">
        <f t="shared" si="96"/>
        <v>8</v>
      </c>
      <c r="D1202" s="217" t="str">
        <f t="shared" si="93"/>
        <v>18</v>
      </c>
      <c r="E1202">
        <f t="shared" si="94"/>
        <v>2018</v>
      </c>
      <c r="F1202" s="217" t="str">
        <f t="shared" si="95"/>
        <v>3Q18</v>
      </c>
      <c r="G1202" s="218">
        <v>43319</v>
      </c>
      <c r="H1202" s="217">
        <v>3.7515000000000001</v>
      </c>
    </row>
    <row r="1203" spans="2:8">
      <c r="B1203" s="217" t="str">
        <f t="shared" si="92"/>
        <v>3Q</v>
      </c>
      <c r="C1203" s="217">
        <f t="shared" si="96"/>
        <v>8</v>
      </c>
      <c r="D1203" s="217" t="str">
        <f t="shared" si="93"/>
        <v>18</v>
      </c>
      <c r="E1203">
        <f t="shared" si="94"/>
        <v>2018</v>
      </c>
      <c r="F1203" s="217" t="str">
        <f t="shared" si="95"/>
        <v>3Q18</v>
      </c>
      <c r="G1203" s="218">
        <v>43320</v>
      </c>
      <c r="H1203" s="217">
        <v>3.7721</v>
      </c>
    </row>
    <row r="1204" spans="2:8">
      <c r="B1204" s="217" t="str">
        <f t="shared" si="92"/>
        <v>3Q</v>
      </c>
      <c r="C1204" s="217">
        <f t="shared" si="96"/>
        <v>8</v>
      </c>
      <c r="D1204" s="217" t="str">
        <f t="shared" si="93"/>
        <v>18</v>
      </c>
      <c r="E1204">
        <f t="shared" si="94"/>
        <v>2018</v>
      </c>
      <c r="F1204" s="217" t="str">
        <f t="shared" si="95"/>
        <v>3Q18</v>
      </c>
      <c r="G1204" s="218">
        <v>43321</v>
      </c>
      <c r="H1204" s="217">
        <v>3.8014999999999999</v>
      </c>
    </row>
    <row r="1205" spans="2:8">
      <c r="B1205" s="217" t="str">
        <f t="shared" si="92"/>
        <v>3Q</v>
      </c>
      <c r="C1205" s="217">
        <f t="shared" si="96"/>
        <v>8</v>
      </c>
      <c r="D1205" s="217" t="str">
        <f t="shared" si="93"/>
        <v>18</v>
      </c>
      <c r="E1205">
        <f t="shared" si="94"/>
        <v>2018</v>
      </c>
      <c r="F1205" s="217" t="str">
        <f t="shared" si="95"/>
        <v>3Q18</v>
      </c>
      <c r="G1205" s="218">
        <v>43322</v>
      </c>
      <c r="H1205" s="217">
        <v>3.8597000000000001</v>
      </c>
    </row>
    <row r="1206" spans="2:8">
      <c r="B1206" s="217" t="str">
        <f t="shared" si="92"/>
        <v>3Q</v>
      </c>
      <c r="C1206" s="217">
        <f t="shared" si="96"/>
        <v>8</v>
      </c>
      <c r="D1206" s="217" t="str">
        <f t="shared" si="93"/>
        <v>18</v>
      </c>
      <c r="E1206">
        <f t="shared" si="94"/>
        <v>2018</v>
      </c>
      <c r="F1206" s="217" t="str">
        <f t="shared" si="95"/>
        <v>3Q18</v>
      </c>
      <c r="G1206" s="218">
        <v>43325</v>
      </c>
      <c r="H1206" s="217">
        <v>3.8839999999999999</v>
      </c>
    </row>
    <row r="1207" spans="2:8">
      <c r="B1207" s="217" t="str">
        <f t="shared" si="92"/>
        <v>3Q</v>
      </c>
      <c r="C1207" s="217">
        <f t="shared" si="96"/>
        <v>8</v>
      </c>
      <c r="D1207" s="217" t="str">
        <f t="shared" si="93"/>
        <v>18</v>
      </c>
      <c r="E1207">
        <f t="shared" si="94"/>
        <v>2018</v>
      </c>
      <c r="F1207" s="217" t="str">
        <f t="shared" si="95"/>
        <v>3Q18</v>
      </c>
      <c r="G1207" s="218">
        <v>43326</v>
      </c>
      <c r="H1207" s="217">
        <v>3.8673000000000002</v>
      </c>
    </row>
    <row r="1208" spans="2:8">
      <c r="B1208" s="217" t="str">
        <f t="shared" si="92"/>
        <v>3Q</v>
      </c>
      <c r="C1208" s="217">
        <f t="shared" si="96"/>
        <v>8</v>
      </c>
      <c r="D1208" s="217" t="str">
        <f t="shared" si="93"/>
        <v>18</v>
      </c>
      <c r="E1208">
        <f t="shared" si="94"/>
        <v>2018</v>
      </c>
      <c r="F1208" s="217" t="str">
        <f t="shared" si="95"/>
        <v>3Q18</v>
      </c>
      <c r="G1208" s="218">
        <v>43327</v>
      </c>
      <c r="H1208" s="217">
        <v>3.9055</v>
      </c>
    </row>
    <row r="1209" spans="2:8">
      <c r="B1209" s="217" t="str">
        <f t="shared" si="92"/>
        <v>3Q</v>
      </c>
      <c r="C1209" s="217">
        <f t="shared" si="96"/>
        <v>8</v>
      </c>
      <c r="D1209" s="217" t="str">
        <f t="shared" si="93"/>
        <v>18</v>
      </c>
      <c r="E1209">
        <f t="shared" si="94"/>
        <v>2018</v>
      </c>
      <c r="F1209" s="217" t="str">
        <f t="shared" si="95"/>
        <v>3Q18</v>
      </c>
      <c r="G1209" s="218">
        <v>43328</v>
      </c>
      <c r="H1209" s="217">
        <v>3.9070999999999998</v>
      </c>
    </row>
    <row r="1210" spans="2:8">
      <c r="B1210" s="217" t="str">
        <f t="shared" si="92"/>
        <v>3Q</v>
      </c>
      <c r="C1210" s="217">
        <f t="shared" si="96"/>
        <v>8</v>
      </c>
      <c r="D1210" s="217" t="str">
        <f t="shared" si="93"/>
        <v>18</v>
      </c>
      <c r="E1210">
        <f t="shared" si="94"/>
        <v>2018</v>
      </c>
      <c r="F1210" s="217" t="str">
        <f t="shared" si="95"/>
        <v>3Q18</v>
      </c>
      <c r="G1210" s="218">
        <v>43329</v>
      </c>
      <c r="H1210" s="217">
        <v>3.9116</v>
      </c>
    </row>
    <row r="1211" spans="2:8">
      <c r="B1211" s="217" t="str">
        <f t="shared" si="92"/>
        <v>3Q</v>
      </c>
      <c r="C1211" s="217">
        <f t="shared" si="96"/>
        <v>8</v>
      </c>
      <c r="D1211" s="217" t="str">
        <f t="shared" si="93"/>
        <v>18</v>
      </c>
      <c r="E1211">
        <f t="shared" si="94"/>
        <v>2018</v>
      </c>
      <c r="F1211" s="217" t="str">
        <f t="shared" si="95"/>
        <v>3Q18</v>
      </c>
      <c r="G1211" s="218">
        <v>43332</v>
      </c>
      <c r="H1211" s="217">
        <v>3.97</v>
      </c>
    </row>
    <row r="1212" spans="2:8">
      <c r="B1212" s="217" t="str">
        <f t="shared" si="92"/>
        <v>3Q</v>
      </c>
      <c r="C1212" s="217">
        <f t="shared" si="96"/>
        <v>8</v>
      </c>
      <c r="D1212" s="217" t="str">
        <f t="shared" si="93"/>
        <v>18</v>
      </c>
      <c r="E1212">
        <f t="shared" si="94"/>
        <v>2018</v>
      </c>
      <c r="F1212" s="217" t="str">
        <f t="shared" si="95"/>
        <v>3Q18</v>
      </c>
      <c r="G1212" s="218">
        <v>43333</v>
      </c>
      <c r="H1212" s="217">
        <v>4.0477999999999996</v>
      </c>
    </row>
    <row r="1213" spans="2:8">
      <c r="B1213" s="217" t="str">
        <f t="shared" si="92"/>
        <v>3Q</v>
      </c>
      <c r="C1213" s="217">
        <f t="shared" si="96"/>
        <v>8</v>
      </c>
      <c r="D1213" s="217" t="str">
        <f t="shared" si="93"/>
        <v>18</v>
      </c>
      <c r="E1213">
        <f t="shared" si="94"/>
        <v>2018</v>
      </c>
      <c r="F1213" s="217" t="str">
        <f t="shared" si="95"/>
        <v>3Q18</v>
      </c>
      <c r="G1213" s="218">
        <v>43334</v>
      </c>
      <c r="H1213" s="217">
        <v>4.0425000000000004</v>
      </c>
    </row>
    <row r="1214" spans="2:8">
      <c r="B1214" s="217" t="str">
        <f t="shared" si="92"/>
        <v>3Q</v>
      </c>
      <c r="C1214" s="217">
        <f t="shared" si="96"/>
        <v>8</v>
      </c>
      <c r="D1214" s="217" t="str">
        <f t="shared" si="93"/>
        <v>18</v>
      </c>
      <c r="E1214">
        <f t="shared" si="94"/>
        <v>2018</v>
      </c>
      <c r="F1214" s="217" t="str">
        <f t="shared" si="95"/>
        <v>3Q18</v>
      </c>
      <c r="G1214" s="218">
        <v>43335</v>
      </c>
      <c r="H1214" s="217">
        <v>4.1154999999999999</v>
      </c>
    </row>
    <row r="1215" spans="2:8">
      <c r="B1215" s="217" t="str">
        <f t="shared" si="92"/>
        <v>3Q</v>
      </c>
      <c r="C1215" s="217">
        <f t="shared" si="96"/>
        <v>8</v>
      </c>
      <c r="D1215" s="217" t="str">
        <f t="shared" si="93"/>
        <v>18</v>
      </c>
      <c r="E1215">
        <f t="shared" si="94"/>
        <v>2018</v>
      </c>
      <c r="F1215" s="217" t="str">
        <f t="shared" si="95"/>
        <v>3Q18</v>
      </c>
      <c r="G1215" s="218">
        <v>43336</v>
      </c>
      <c r="H1215" s="217">
        <v>4.1020000000000003</v>
      </c>
    </row>
    <row r="1216" spans="2:8">
      <c r="B1216" s="217" t="str">
        <f t="shared" si="92"/>
        <v>3Q</v>
      </c>
      <c r="C1216" s="217">
        <f t="shared" si="96"/>
        <v>8</v>
      </c>
      <c r="D1216" s="217" t="str">
        <f t="shared" si="93"/>
        <v>18</v>
      </c>
      <c r="E1216">
        <f t="shared" si="94"/>
        <v>2018</v>
      </c>
      <c r="F1216" s="217" t="str">
        <f t="shared" si="95"/>
        <v>3Q18</v>
      </c>
      <c r="G1216" s="218">
        <v>43339</v>
      </c>
      <c r="H1216" s="217">
        <v>4.0774999999999997</v>
      </c>
    </row>
    <row r="1217" spans="2:8">
      <c r="B1217" s="217" t="str">
        <f t="shared" si="92"/>
        <v>3Q</v>
      </c>
      <c r="C1217" s="217">
        <f t="shared" si="96"/>
        <v>8</v>
      </c>
      <c r="D1217" s="217" t="str">
        <f t="shared" si="93"/>
        <v>18</v>
      </c>
      <c r="E1217">
        <f t="shared" si="94"/>
        <v>2018</v>
      </c>
      <c r="F1217" s="217" t="str">
        <f t="shared" si="95"/>
        <v>3Q18</v>
      </c>
      <c r="G1217" s="218">
        <v>43340</v>
      </c>
      <c r="H1217" s="217">
        <v>4.1341999999999999</v>
      </c>
    </row>
    <row r="1218" spans="2:8">
      <c r="B1218" s="217" t="str">
        <f t="shared" si="92"/>
        <v>3Q</v>
      </c>
      <c r="C1218" s="217">
        <f t="shared" si="96"/>
        <v>8</v>
      </c>
      <c r="D1218" s="217" t="str">
        <f t="shared" si="93"/>
        <v>18</v>
      </c>
      <c r="E1218">
        <f t="shared" si="94"/>
        <v>2018</v>
      </c>
      <c r="F1218" s="217" t="str">
        <f t="shared" si="95"/>
        <v>3Q18</v>
      </c>
      <c r="G1218" s="218">
        <v>43341</v>
      </c>
      <c r="H1218" s="217">
        <v>4.1074000000000002</v>
      </c>
    </row>
    <row r="1219" spans="2:8">
      <c r="B1219" s="217" t="str">
        <f t="shared" ref="B1219:B1282" si="97">VLOOKUP(C1219,$N$3:$O$14,2,0)</f>
        <v>3Q</v>
      </c>
      <c r="C1219" s="217">
        <f t="shared" si="96"/>
        <v>8</v>
      </c>
      <c r="D1219" s="217" t="str">
        <f t="shared" ref="D1219:D1282" si="98">RIGHT(E1219,2)</f>
        <v>18</v>
      </c>
      <c r="E1219">
        <f t="shared" ref="E1219:E1282" si="99">YEAR(G1219)</f>
        <v>2018</v>
      </c>
      <c r="F1219" s="217" t="str">
        <f t="shared" ref="F1219:F1282" si="100">+B1219&amp;D1219</f>
        <v>3Q18</v>
      </c>
      <c r="G1219" s="218">
        <v>43342</v>
      </c>
      <c r="H1219" s="217">
        <v>4.1494999999999997</v>
      </c>
    </row>
    <row r="1220" spans="2:8">
      <c r="B1220" s="217" t="str">
        <f t="shared" si="97"/>
        <v>3Q</v>
      </c>
      <c r="C1220" s="217">
        <f t="shared" ref="C1220:C1283" si="101">MONTH(G1220)</f>
        <v>8</v>
      </c>
      <c r="D1220" s="217" t="str">
        <f t="shared" si="98"/>
        <v>18</v>
      </c>
      <c r="E1220">
        <f t="shared" si="99"/>
        <v>2018</v>
      </c>
      <c r="F1220" s="217" t="str">
        <f t="shared" si="100"/>
        <v>3Q18</v>
      </c>
      <c r="G1220" s="218">
        <v>43343</v>
      </c>
      <c r="H1220" s="217">
        <v>4.0556000000000001</v>
      </c>
    </row>
    <row r="1221" spans="2:8">
      <c r="B1221" s="217" t="str">
        <f t="shared" si="97"/>
        <v>3Q</v>
      </c>
      <c r="C1221" s="217">
        <f t="shared" si="101"/>
        <v>9</v>
      </c>
      <c r="D1221" s="217" t="str">
        <f t="shared" si="98"/>
        <v>18</v>
      </c>
      <c r="E1221">
        <f t="shared" si="99"/>
        <v>2018</v>
      </c>
      <c r="F1221" s="217" t="str">
        <f t="shared" si="100"/>
        <v>3Q18</v>
      </c>
      <c r="G1221" s="218">
        <v>43346</v>
      </c>
      <c r="H1221" s="217">
        <v>4.1589999999999998</v>
      </c>
    </row>
    <row r="1222" spans="2:8">
      <c r="B1222" s="217" t="str">
        <f t="shared" si="97"/>
        <v>3Q</v>
      </c>
      <c r="C1222" s="217">
        <f t="shared" si="101"/>
        <v>9</v>
      </c>
      <c r="D1222" s="217" t="str">
        <f t="shared" si="98"/>
        <v>18</v>
      </c>
      <c r="E1222">
        <f t="shared" si="99"/>
        <v>2018</v>
      </c>
      <c r="F1222" s="217" t="str">
        <f t="shared" si="100"/>
        <v>3Q18</v>
      </c>
      <c r="G1222" s="218">
        <v>43347</v>
      </c>
      <c r="H1222" s="217">
        <v>4.1601999999999997</v>
      </c>
    </row>
    <row r="1223" spans="2:8">
      <c r="B1223" s="217" t="str">
        <f t="shared" si="97"/>
        <v>3Q</v>
      </c>
      <c r="C1223" s="217">
        <f t="shared" si="101"/>
        <v>9</v>
      </c>
      <c r="D1223" s="217" t="str">
        <f t="shared" si="98"/>
        <v>18</v>
      </c>
      <c r="E1223">
        <f t="shared" si="99"/>
        <v>2018</v>
      </c>
      <c r="F1223" s="217" t="str">
        <f t="shared" si="100"/>
        <v>3Q18</v>
      </c>
      <c r="G1223" s="218">
        <v>43348</v>
      </c>
      <c r="H1223" s="217">
        <v>4.1466000000000003</v>
      </c>
    </row>
    <row r="1224" spans="2:8">
      <c r="B1224" s="217" t="str">
        <f t="shared" si="97"/>
        <v>3Q</v>
      </c>
      <c r="C1224" s="217">
        <f t="shared" si="101"/>
        <v>9</v>
      </c>
      <c r="D1224" s="217" t="str">
        <f t="shared" si="98"/>
        <v>18</v>
      </c>
      <c r="E1224">
        <f t="shared" si="99"/>
        <v>2018</v>
      </c>
      <c r="F1224" s="217" t="str">
        <f t="shared" si="100"/>
        <v>3Q18</v>
      </c>
      <c r="G1224" s="218">
        <v>43349</v>
      </c>
      <c r="H1224" s="217">
        <v>4.0589000000000004</v>
      </c>
    </row>
    <row r="1225" spans="2:8">
      <c r="B1225" s="217" t="str">
        <f t="shared" si="97"/>
        <v>3Q</v>
      </c>
      <c r="C1225" s="217">
        <f t="shared" si="101"/>
        <v>9</v>
      </c>
      <c r="D1225" s="217" t="str">
        <f t="shared" si="98"/>
        <v>18</v>
      </c>
      <c r="E1225">
        <f t="shared" si="99"/>
        <v>2018</v>
      </c>
      <c r="F1225" s="217" t="str">
        <f t="shared" si="100"/>
        <v>3Q18</v>
      </c>
      <c r="G1225" s="218">
        <v>43350</v>
      </c>
      <c r="H1225" s="217">
        <v>4.0595999999999997</v>
      </c>
    </row>
    <row r="1226" spans="2:8">
      <c r="B1226" s="217" t="str">
        <f t="shared" si="97"/>
        <v>3Q</v>
      </c>
      <c r="C1226" s="217">
        <f t="shared" si="101"/>
        <v>9</v>
      </c>
      <c r="D1226" s="217" t="str">
        <f t="shared" si="98"/>
        <v>18</v>
      </c>
      <c r="E1226">
        <f t="shared" si="99"/>
        <v>2018</v>
      </c>
      <c r="F1226" s="217" t="str">
        <f t="shared" si="100"/>
        <v>3Q18</v>
      </c>
      <c r="G1226" s="218">
        <v>43353</v>
      </c>
      <c r="H1226" s="217">
        <v>4.0867000000000004</v>
      </c>
    </row>
    <row r="1227" spans="2:8">
      <c r="B1227" s="217" t="str">
        <f t="shared" si="97"/>
        <v>3Q</v>
      </c>
      <c r="C1227" s="217">
        <f t="shared" si="101"/>
        <v>9</v>
      </c>
      <c r="D1227" s="217" t="str">
        <f t="shared" si="98"/>
        <v>18</v>
      </c>
      <c r="E1227">
        <f t="shared" si="99"/>
        <v>2018</v>
      </c>
      <c r="F1227" s="217" t="str">
        <f t="shared" si="100"/>
        <v>3Q18</v>
      </c>
      <c r="G1227" s="218">
        <v>43354</v>
      </c>
      <c r="H1227" s="217">
        <v>4.1535000000000002</v>
      </c>
    </row>
    <row r="1228" spans="2:8">
      <c r="B1228" s="217" t="str">
        <f t="shared" si="97"/>
        <v>3Q</v>
      </c>
      <c r="C1228" s="217">
        <f t="shared" si="101"/>
        <v>9</v>
      </c>
      <c r="D1228" s="217" t="str">
        <f t="shared" si="98"/>
        <v>18</v>
      </c>
      <c r="E1228">
        <f t="shared" si="99"/>
        <v>2018</v>
      </c>
      <c r="F1228" s="217" t="str">
        <f t="shared" si="100"/>
        <v>3Q18</v>
      </c>
      <c r="G1228" s="218">
        <v>43355</v>
      </c>
      <c r="H1228" s="217">
        <v>4.1578999999999997</v>
      </c>
    </row>
    <row r="1229" spans="2:8">
      <c r="B1229" s="217" t="str">
        <f t="shared" si="97"/>
        <v>3Q</v>
      </c>
      <c r="C1229" s="217">
        <f t="shared" si="101"/>
        <v>9</v>
      </c>
      <c r="D1229" s="217" t="str">
        <f t="shared" si="98"/>
        <v>18</v>
      </c>
      <c r="E1229">
        <f t="shared" si="99"/>
        <v>2018</v>
      </c>
      <c r="F1229" s="217" t="str">
        <f t="shared" si="100"/>
        <v>3Q18</v>
      </c>
      <c r="G1229" s="218">
        <v>43356</v>
      </c>
      <c r="H1229" s="217">
        <v>4.2077</v>
      </c>
    </row>
    <row r="1230" spans="2:8">
      <c r="B1230" s="217" t="str">
        <f t="shared" si="97"/>
        <v>3Q</v>
      </c>
      <c r="C1230" s="217">
        <f t="shared" si="101"/>
        <v>9</v>
      </c>
      <c r="D1230" s="217" t="str">
        <f t="shared" si="98"/>
        <v>18</v>
      </c>
      <c r="E1230">
        <f t="shared" si="99"/>
        <v>2018</v>
      </c>
      <c r="F1230" s="217" t="str">
        <f t="shared" si="100"/>
        <v>3Q18</v>
      </c>
      <c r="G1230" s="218">
        <v>43357</v>
      </c>
      <c r="H1230" s="217">
        <v>4.1741999999999999</v>
      </c>
    </row>
    <row r="1231" spans="2:8">
      <c r="B1231" s="217" t="str">
        <f t="shared" si="97"/>
        <v>3Q</v>
      </c>
      <c r="C1231" s="217">
        <f t="shared" si="101"/>
        <v>9</v>
      </c>
      <c r="D1231" s="217" t="str">
        <f t="shared" si="98"/>
        <v>18</v>
      </c>
      <c r="E1231">
        <f t="shared" si="99"/>
        <v>2018</v>
      </c>
      <c r="F1231" s="217" t="str">
        <f t="shared" si="100"/>
        <v>3Q18</v>
      </c>
      <c r="G1231" s="218">
        <v>43360</v>
      </c>
      <c r="H1231" s="217">
        <v>4.1323999999999996</v>
      </c>
    </row>
    <row r="1232" spans="2:8">
      <c r="B1232" s="217" t="str">
        <f t="shared" si="97"/>
        <v>3Q</v>
      </c>
      <c r="C1232" s="217">
        <f t="shared" si="101"/>
        <v>9</v>
      </c>
      <c r="D1232" s="217" t="str">
        <f t="shared" si="98"/>
        <v>18</v>
      </c>
      <c r="E1232">
        <f t="shared" si="99"/>
        <v>2018</v>
      </c>
      <c r="F1232" s="217" t="str">
        <f t="shared" si="100"/>
        <v>3Q18</v>
      </c>
      <c r="G1232" s="218">
        <v>43361</v>
      </c>
      <c r="H1232" s="217">
        <v>4.1604000000000001</v>
      </c>
    </row>
    <row r="1233" spans="2:8">
      <c r="B1233" s="217" t="str">
        <f t="shared" si="97"/>
        <v>3Q</v>
      </c>
      <c r="C1233" s="217">
        <f t="shared" si="101"/>
        <v>9</v>
      </c>
      <c r="D1233" s="217" t="str">
        <f t="shared" si="98"/>
        <v>18</v>
      </c>
      <c r="E1233">
        <f t="shared" si="99"/>
        <v>2018</v>
      </c>
      <c r="F1233" s="217" t="str">
        <f t="shared" si="100"/>
        <v>3Q18</v>
      </c>
      <c r="G1233" s="218">
        <v>43362</v>
      </c>
      <c r="H1233" s="217">
        <v>4.1315</v>
      </c>
    </row>
    <row r="1234" spans="2:8">
      <c r="B1234" s="217" t="str">
        <f t="shared" si="97"/>
        <v>3Q</v>
      </c>
      <c r="C1234" s="217">
        <f t="shared" si="101"/>
        <v>9</v>
      </c>
      <c r="D1234" s="217" t="str">
        <f t="shared" si="98"/>
        <v>18</v>
      </c>
      <c r="E1234">
        <f t="shared" si="99"/>
        <v>2018</v>
      </c>
      <c r="F1234" s="217" t="str">
        <f t="shared" si="100"/>
        <v>3Q18</v>
      </c>
      <c r="G1234" s="218">
        <v>43363</v>
      </c>
      <c r="H1234" s="217">
        <v>4.0770999999999997</v>
      </c>
    </row>
    <row r="1235" spans="2:8">
      <c r="B1235" s="217" t="str">
        <f t="shared" si="97"/>
        <v>3Q</v>
      </c>
      <c r="C1235" s="217">
        <f t="shared" si="101"/>
        <v>9</v>
      </c>
      <c r="D1235" s="217" t="str">
        <f t="shared" si="98"/>
        <v>18</v>
      </c>
      <c r="E1235">
        <f t="shared" si="99"/>
        <v>2018</v>
      </c>
      <c r="F1235" s="217" t="str">
        <f t="shared" si="100"/>
        <v>3Q18</v>
      </c>
      <c r="G1235" s="218">
        <v>43364</v>
      </c>
      <c r="H1235" s="217">
        <v>4.0515999999999996</v>
      </c>
    </row>
    <row r="1236" spans="2:8">
      <c r="B1236" s="217" t="str">
        <f t="shared" si="97"/>
        <v>3Q</v>
      </c>
      <c r="C1236" s="217">
        <f t="shared" si="101"/>
        <v>9</v>
      </c>
      <c r="D1236" s="217" t="str">
        <f t="shared" si="98"/>
        <v>18</v>
      </c>
      <c r="E1236">
        <f t="shared" si="99"/>
        <v>2018</v>
      </c>
      <c r="F1236" s="217" t="str">
        <f t="shared" si="100"/>
        <v>3Q18</v>
      </c>
      <c r="G1236" s="218">
        <v>43367</v>
      </c>
      <c r="H1236" s="217">
        <v>4.0928000000000004</v>
      </c>
    </row>
    <row r="1237" spans="2:8">
      <c r="B1237" s="217" t="str">
        <f t="shared" si="97"/>
        <v>3Q</v>
      </c>
      <c r="C1237" s="217">
        <f t="shared" si="101"/>
        <v>9</v>
      </c>
      <c r="D1237" s="217" t="str">
        <f t="shared" si="98"/>
        <v>18</v>
      </c>
      <c r="E1237">
        <f t="shared" si="99"/>
        <v>2018</v>
      </c>
      <c r="F1237" s="217" t="str">
        <f t="shared" si="100"/>
        <v>3Q18</v>
      </c>
      <c r="G1237" s="218">
        <v>43368</v>
      </c>
      <c r="H1237" s="217">
        <v>4.0755999999999997</v>
      </c>
    </row>
    <row r="1238" spans="2:8">
      <c r="B1238" s="217" t="str">
        <f t="shared" si="97"/>
        <v>3Q</v>
      </c>
      <c r="C1238" s="217">
        <f t="shared" si="101"/>
        <v>9</v>
      </c>
      <c r="D1238" s="217" t="str">
        <f t="shared" si="98"/>
        <v>18</v>
      </c>
      <c r="E1238">
        <f t="shared" si="99"/>
        <v>2018</v>
      </c>
      <c r="F1238" s="217" t="str">
        <f t="shared" si="100"/>
        <v>3Q18</v>
      </c>
      <c r="G1238" s="218">
        <v>43369</v>
      </c>
      <c r="H1238" s="217">
        <v>4.0321999999999996</v>
      </c>
    </row>
    <row r="1239" spans="2:8">
      <c r="B1239" s="217" t="str">
        <f t="shared" si="97"/>
        <v>3Q</v>
      </c>
      <c r="C1239" s="217">
        <f t="shared" si="101"/>
        <v>9</v>
      </c>
      <c r="D1239" s="217" t="str">
        <f t="shared" si="98"/>
        <v>18</v>
      </c>
      <c r="E1239">
        <f t="shared" si="99"/>
        <v>2018</v>
      </c>
      <c r="F1239" s="217" t="str">
        <f t="shared" si="100"/>
        <v>3Q18</v>
      </c>
      <c r="G1239" s="218">
        <v>43370</v>
      </c>
      <c r="H1239" s="217">
        <v>4.0122999999999998</v>
      </c>
    </row>
    <row r="1240" spans="2:8">
      <c r="B1240" s="217" t="str">
        <f t="shared" si="97"/>
        <v>3Q</v>
      </c>
      <c r="C1240" s="217">
        <f t="shared" si="101"/>
        <v>9</v>
      </c>
      <c r="D1240" s="217" t="str">
        <f t="shared" si="98"/>
        <v>18</v>
      </c>
      <c r="E1240">
        <f t="shared" si="99"/>
        <v>2018</v>
      </c>
      <c r="F1240" s="217" t="str">
        <f t="shared" si="100"/>
        <v>3Q18</v>
      </c>
      <c r="G1240" s="218">
        <v>43371</v>
      </c>
      <c r="H1240" s="217">
        <v>4.0491000000000001</v>
      </c>
    </row>
    <row r="1241" spans="2:8">
      <c r="B1241" s="217" t="str">
        <f t="shared" si="97"/>
        <v>4Q</v>
      </c>
      <c r="C1241" s="217">
        <f t="shared" si="101"/>
        <v>10</v>
      </c>
      <c r="D1241" s="217" t="str">
        <f t="shared" si="98"/>
        <v>18</v>
      </c>
      <c r="E1241">
        <f t="shared" si="99"/>
        <v>2018</v>
      </c>
      <c r="F1241" s="217" t="str">
        <f t="shared" si="100"/>
        <v>4Q18</v>
      </c>
      <c r="G1241" s="218">
        <v>43374</v>
      </c>
      <c r="H1241" s="217">
        <v>4.0180999999999996</v>
      </c>
    </row>
    <row r="1242" spans="2:8">
      <c r="B1242" s="217" t="str">
        <f t="shared" si="97"/>
        <v>4Q</v>
      </c>
      <c r="C1242" s="217">
        <f t="shared" si="101"/>
        <v>10</v>
      </c>
      <c r="D1242" s="217" t="str">
        <f t="shared" si="98"/>
        <v>18</v>
      </c>
      <c r="E1242">
        <f t="shared" si="99"/>
        <v>2018</v>
      </c>
      <c r="F1242" s="217" t="str">
        <f t="shared" si="100"/>
        <v>4Q18</v>
      </c>
      <c r="G1242" s="218">
        <v>43375</v>
      </c>
      <c r="H1242" s="217">
        <v>3.9413999999999998</v>
      </c>
    </row>
    <row r="1243" spans="2:8">
      <c r="B1243" s="217" t="str">
        <f t="shared" si="97"/>
        <v>4Q</v>
      </c>
      <c r="C1243" s="217">
        <f t="shared" si="101"/>
        <v>10</v>
      </c>
      <c r="D1243" s="217" t="str">
        <f t="shared" si="98"/>
        <v>18</v>
      </c>
      <c r="E1243">
        <f t="shared" si="99"/>
        <v>2018</v>
      </c>
      <c r="F1243" s="217" t="str">
        <f t="shared" si="100"/>
        <v>4Q18</v>
      </c>
      <c r="G1243" s="218">
        <v>43376</v>
      </c>
      <c r="H1243" s="217">
        <v>3.9015</v>
      </c>
    </row>
    <row r="1244" spans="2:8">
      <c r="B1244" s="217" t="str">
        <f t="shared" si="97"/>
        <v>4Q</v>
      </c>
      <c r="C1244" s="217">
        <f t="shared" si="101"/>
        <v>10</v>
      </c>
      <c r="D1244" s="217" t="str">
        <f t="shared" si="98"/>
        <v>18</v>
      </c>
      <c r="E1244">
        <f t="shared" si="99"/>
        <v>2018</v>
      </c>
      <c r="F1244" s="217" t="str">
        <f t="shared" si="100"/>
        <v>4Q18</v>
      </c>
      <c r="G1244" s="218">
        <v>43377</v>
      </c>
      <c r="H1244" s="217">
        <v>3.8744999999999998</v>
      </c>
    </row>
    <row r="1245" spans="2:8">
      <c r="B1245" s="217" t="str">
        <f t="shared" si="97"/>
        <v>4Q</v>
      </c>
      <c r="C1245" s="217">
        <f t="shared" si="101"/>
        <v>10</v>
      </c>
      <c r="D1245" s="217" t="str">
        <f t="shared" si="98"/>
        <v>18</v>
      </c>
      <c r="E1245">
        <f t="shared" si="99"/>
        <v>2018</v>
      </c>
      <c r="F1245" s="217" t="str">
        <f t="shared" si="100"/>
        <v>4Q18</v>
      </c>
      <c r="G1245" s="218">
        <v>43378</v>
      </c>
      <c r="H1245" s="217">
        <v>3.8412999999999999</v>
      </c>
    </row>
    <row r="1246" spans="2:8">
      <c r="B1246" s="217" t="str">
        <f t="shared" si="97"/>
        <v>4Q</v>
      </c>
      <c r="C1246" s="217">
        <f t="shared" si="101"/>
        <v>10</v>
      </c>
      <c r="D1246" s="217" t="str">
        <f t="shared" si="98"/>
        <v>18</v>
      </c>
      <c r="E1246">
        <f t="shared" si="99"/>
        <v>2018</v>
      </c>
      <c r="F1246" s="217" t="str">
        <f t="shared" si="100"/>
        <v>4Q18</v>
      </c>
      <c r="G1246" s="218">
        <v>43381</v>
      </c>
      <c r="H1246" s="217">
        <v>3.7789999999999999</v>
      </c>
    </row>
    <row r="1247" spans="2:8">
      <c r="B1247" s="217" t="str">
        <f t="shared" si="97"/>
        <v>4Q</v>
      </c>
      <c r="C1247" s="217">
        <f t="shared" si="101"/>
        <v>10</v>
      </c>
      <c r="D1247" s="217" t="str">
        <f t="shared" si="98"/>
        <v>18</v>
      </c>
      <c r="E1247">
        <f t="shared" si="99"/>
        <v>2018</v>
      </c>
      <c r="F1247" s="217" t="str">
        <f t="shared" si="100"/>
        <v>4Q18</v>
      </c>
      <c r="G1247" s="218">
        <v>43382</v>
      </c>
      <c r="H1247" s="217">
        <v>3.7155</v>
      </c>
    </row>
    <row r="1248" spans="2:8">
      <c r="B1248" s="217" t="str">
        <f t="shared" si="97"/>
        <v>4Q</v>
      </c>
      <c r="C1248" s="217">
        <f t="shared" si="101"/>
        <v>10</v>
      </c>
      <c r="D1248" s="217" t="str">
        <f t="shared" si="98"/>
        <v>18</v>
      </c>
      <c r="E1248">
        <f t="shared" si="99"/>
        <v>2018</v>
      </c>
      <c r="F1248" s="217" t="str">
        <f t="shared" si="100"/>
        <v>4Q18</v>
      </c>
      <c r="G1248" s="218">
        <v>43383</v>
      </c>
      <c r="H1248" s="217">
        <v>3.7555000000000001</v>
      </c>
    </row>
    <row r="1249" spans="2:8">
      <c r="B1249" s="217" t="str">
        <f t="shared" si="97"/>
        <v>4Q</v>
      </c>
      <c r="C1249" s="217">
        <f t="shared" si="101"/>
        <v>10</v>
      </c>
      <c r="D1249" s="217" t="str">
        <f t="shared" si="98"/>
        <v>18</v>
      </c>
      <c r="E1249">
        <f t="shared" si="99"/>
        <v>2018</v>
      </c>
      <c r="F1249" s="217" t="str">
        <f t="shared" si="100"/>
        <v>4Q18</v>
      </c>
      <c r="G1249" s="218">
        <v>43384</v>
      </c>
      <c r="H1249" s="217">
        <v>3.7812000000000001</v>
      </c>
    </row>
    <row r="1250" spans="2:8">
      <c r="B1250" s="217" t="str">
        <f t="shared" si="97"/>
        <v>4Q</v>
      </c>
      <c r="C1250" s="217">
        <f t="shared" si="101"/>
        <v>10</v>
      </c>
      <c r="D1250" s="217" t="str">
        <f t="shared" si="98"/>
        <v>18</v>
      </c>
      <c r="E1250">
        <f t="shared" si="99"/>
        <v>2018</v>
      </c>
      <c r="F1250" s="217" t="str">
        <f t="shared" si="100"/>
        <v>4Q18</v>
      </c>
      <c r="G1250" s="218">
        <v>43385</v>
      </c>
      <c r="H1250" s="217">
        <v>3.7829999999999999</v>
      </c>
    </row>
    <row r="1251" spans="2:8">
      <c r="B1251" s="217" t="str">
        <f t="shared" si="97"/>
        <v>4Q</v>
      </c>
      <c r="C1251" s="217">
        <f t="shared" si="101"/>
        <v>10</v>
      </c>
      <c r="D1251" s="217" t="str">
        <f t="shared" si="98"/>
        <v>18</v>
      </c>
      <c r="E1251">
        <f t="shared" si="99"/>
        <v>2018</v>
      </c>
      <c r="F1251" s="217" t="str">
        <f t="shared" si="100"/>
        <v>4Q18</v>
      </c>
      <c r="G1251" s="218">
        <v>43388</v>
      </c>
      <c r="H1251" s="217">
        <v>3.7357999999999998</v>
      </c>
    </row>
    <row r="1252" spans="2:8">
      <c r="B1252" s="217" t="str">
        <f t="shared" si="97"/>
        <v>4Q</v>
      </c>
      <c r="C1252" s="217">
        <f t="shared" si="101"/>
        <v>10</v>
      </c>
      <c r="D1252" s="217" t="str">
        <f t="shared" si="98"/>
        <v>18</v>
      </c>
      <c r="E1252">
        <f t="shared" si="99"/>
        <v>2018</v>
      </c>
      <c r="F1252" s="217" t="str">
        <f t="shared" si="100"/>
        <v>4Q18</v>
      </c>
      <c r="G1252" s="218">
        <v>43389</v>
      </c>
      <c r="H1252" s="217">
        <v>3.7252000000000001</v>
      </c>
    </row>
    <row r="1253" spans="2:8">
      <c r="B1253" s="217" t="str">
        <f t="shared" si="97"/>
        <v>4Q</v>
      </c>
      <c r="C1253" s="217">
        <f t="shared" si="101"/>
        <v>10</v>
      </c>
      <c r="D1253" s="217" t="str">
        <f t="shared" si="98"/>
        <v>18</v>
      </c>
      <c r="E1253">
        <f t="shared" si="99"/>
        <v>2018</v>
      </c>
      <c r="F1253" s="217" t="str">
        <f t="shared" si="100"/>
        <v>4Q18</v>
      </c>
      <c r="G1253" s="218">
        <v>43390</v>
      </c>
      <c r="H1253" s="217">
        <v>3.6875</v>
      </c>
    </row>
    <row r="1254" spans="2:8">
      <c r="B1254" s="217" t="str">
        <f t="shared" si="97"/>
        <v>4Q</v>
      </c>
      <c r="C1254" s="217">
        <f t="shared" si="101"/>
        <v>10</v>
      </c>
      <c r="D1254" s="217" t="str">
        <f t="shared" si="98"/>
        <v>18</v>
      </c>
      <c r="E1254">
        <f t="shared" si="99"/>
        <v>2018</v>
      </c>
      <c r="F1254" s="217" t="str">
        <f t="shared" si="100"/>
        <v>4Q18</v>
      </c>
      <c r="G1254" s="218">
        <v>43391</v>
      </c>
      <c r="H1254" s="217">
        <v>3.7216999999999998</v>
      </c>
    </row>
    <row r="1255" spans="2:8">
      <c r="B1255" s="217" t="str">
        <f t="shared" si="97"/>
        <v>4Q</v>
      </c>
      <c r="C1255" s="217">
        <f t="shared" si="101"/>
        <v>10</v>
      </c>
      <c r="D1255" s="217" t="str">
        <f t="shared" si="98"/>
        <v>18</v>
      </c>
      <c r="E1255">
        <f t="shared" si="99"/>
        <v>2018</v>
      </c>
      <c r="F1255" s="217" t="str">
        <f t="shared" si="100"/>
        <v>4Q18</v>
      </c>
      <c r="G1255" s="218">
        <v>43392</v>
      </c>
      <c r="H1255" s="217">
        <v>3.7149000000000001</v>
      </c>
    </row>
    <row r="1256" spans="2:8">
      <c r="B1256" s="217" t="str">
        <f t="shared" si="97"/>
        <v>4Q</v>
      </c>
      <c r="C1256" s="217">
        <f t="shared" si="101"/>
        <v>10</v>
      </c>
      <c r="D1256" s="217" t="str">
        <f t="shared" si="98"/>
        <v>18</v>
      </c>
      <c r="E1256">
        <f t="shared" si="99"/>
        <v>2018</v>
      </c>
      <c r="F1256" s="217" t="str">
        <f t="shared" si="100"/>
        <v>4Q18</v>
      </c>
      <c r="G1256" s="218">
        <v>43395</v>
      </c>
      <c r="H1256" s="217">
        <v>3.6859999999999999</v>
      </c>
    </row>
    <row r="1257" spans="2:8">
      <c r="B1257" s="217" t="str">
        <f t="shared" si="97"/>
        <v>4Q</v>
      </c>
      <c r="C1257" s="217">
        <f t="shared" si="101"/>
        <v>10</v>
      </c>
      <c r="D1257" s="217" t="str">
        <f t="shared" si="98"/>
        <v>18</v>
      </c>
      <c r="E1257">
        <f t="shared" si="99"/>
        <v>2018</v>
      </c>
      <c r="F1257" s="217" t="str">
        <f t="shared" si="100"/>
        <v>4Q18</v>
      </c>
      <c r="G1257" s="218">
        <v>43396</v>
      </c>
      <c r="H1257" s="217">
        <v>3.6943000000000001</v>
      </c>
    </row>
    <row r="1258" spans="2:8">
      <c r="B1258" s="217" t="str">
        <f t="shared" si="97"/>
        <v>4Q</v>
      </c>
      <c r="C1258" s="217">
        <f t="shared" si="101"/>
        <v>10</v>
      </c>
      <c r="D1258" s="217" t="str">
        <f t="shared" si="98"/>
        <v>18</v>
      </c>
      <c r="E1258">
        <f t="shared" si="99"/>
        <v>2018</v>
      </c>
      <c r="F1258" s="217" t="str">
        <f t="shared" si="100"/>
        <v>4Q18</v>
      </c>
      <c r="G1258" s="218">
        <v>43397</v>
      </c>
      <c r="H1258" s="217">
        <v>3.7349999999999999</v>
      </c>
    </row>
    <row r="1259" spans="2:8">
      <c r="B1259" s="217" t="str">
        <f t="shared" si="97"/>
        <v>4Q</v>
      </c>
      <c r="C1259" s="217">
        <f t="shared" si="101"/>
        <v>10</v>
      </c>
      <c r="D1259" s="217" t="str">
        <f t="shared" si="98"/>
        <v>18</v>
      </c>
      <c r="E1259">
        <f t="shared" si="99"/>
        <v>2018</v>
      </c>
      <c r="F1259" s="217" t="str">
        <f t="shared" si="100"/>
        <v>4Q18</v>
      </c>
      <c r="G1259" s="218">
        <v>43398</v>
      </c>
      <c r="H1259" s="217">
        <v>3.7058</v>
      </c>
    </row>
    <row r="1260" spans="2:8">
      <c r="B1260" s="217" t="str">
        <f t="shared" si="97"/>
        <v>4Q</v>
      </c>
      <c r="C1260" s="217">
        <f t="shared" si="101"/>
        <v>10</v>
      </c>
      <c r="D1260" s="217" t="str">
        <f t="shared" si="98"/>
        <v>18</v>
      </c>
      <c r="E1260">
        <f t="shared" si="99"/>
        <v>2018</v>
      </c>
      <c r="F1260" s="217" t="str">
        <f t="shared" si="100"/>
        <v>4Q18</v>
      </c>
      <c r="G1260" s="218">
        <v>43399</v>
      </c>
      <c r="H1260" s="217">
        <v>3.6429</v>
      </c>
    </row>
    <row r="1261" spans="2:8">
      <c r="B1261" s="217" t="str">
        <f t="shared" si="97"/>
        <v>4Q</v>
      </c>
      <c r="C1261" s="217">
        <f t="shared" si="101"/>
        <v>10</v>
      </c>
      <c r="D1261" s="217" t="str">
        <f t="shared" si="98"/>
        <v>18</v>
      </c>
      <c r="E1261">
        <f t="shared" si="99"/>
        <v>2018</v>
      </c>
      <c r="F1261" s="217" t="str">
        <f t="shared" si="100"/>
        <v>4Q18</v>
      </c>
      <c r="G1261" s="218">
        <v>43402</v>
      </c>
      <c r="H1261" s="217">
        <v>3.7187000000000001</v>
      </c>
    </row>
    <row r="1262" spans="2:8">
      <c r="B1262" s="217" t="str">
        <f t="shared" si="97"/>
        <v>4Q</v>
      </c>
      <c r="C1262" s="217">
        <f t="shared" si="101"/>
        <v>10</v>
      </c>
      <c r="D1262" s="217" t="str">
        <f t="shared" si="98"/>
        <v>18</v>
      </c>
      <c r="E1262">
        <f t="shared" si="99"/>
        <v>2018</v>
      </c>
      <c r="F1262" s="217" t="str">
        <f t="shared" si="100"/>
        <v>4Q18</v>
      </c>
      <c r="G1262" s="218">
        <v>43403</v>
      </c>
      <c r="H1262" s="217">
        <v>3.6974</v>
      </c>
    </row>
    <row r="1263" spans="2:8">
      <c r="B1263" s="217" t="str">
        <f t="shared" si="97"/>
        <v>4Q</v>
      </c>
      <c r="C1263" s="217">
        <f t="shared" si="101"/>
        <v>10</v>
      </c>
      <c r="D1263" s="217" t="str">
        <f t="shared" si="98"/>
        <v>18</v>
      </c>
      <c r="E1263">
        <f t="shared" si="99"/>
        <v>2018</v>
      </c>
      <c r="F1263" s="217" t="str">
        <f t="shared" si="100"/>
        <v>4Q18</v>
      </c>
      <c r="G1263" s="218">
        <v>43404</v>
      </c>
      <c r="H1263" s="217">
        <v>3.722</v>
      </c>
    </row>
    <row r="1264" spans="2:8">
      <c r="B1264" s="217" t="str">
        <f t="shared" si="97"/>
        <v>4Q</v>
      </c>
      <c r="C1264" s="217">
        <f t="shared" si="101"/>
        <v>11</v>
      </c>
      <c r="D1264" s="217" t="str">
        <f t="shared" si="98"/>
        <v>18</v>
      </c>
      <c r="E1264">
        <f t="shared" si="99"/>
        <v>2018</v>
      </c>
      <c r="F1264" s="217" t="str">
        <f t="shared" si="100"/>
        <v>4Q18</v>
      </c>
      <c r="G1264" s="218">
        <v>43405</v>
      </c>
      <c r="H1264" s="217">
        <v>3.7012</v>
      </c>
    </row>
    <row r="1265" spans="2:8">
      <c r="B1265" s="217" t="str">
        <f t="shared" si="97"/>
        <v>4Q</v>
      </c>
      <c r="C1265" s="217">
        <f t="shared" si="101"/>
        <v>11</v>
      </c>
      <c r="D1265" s="217" t="str">
        <f t="shared" si="98"/>
        <v>18</v>
      </c>
      <c r="E1265">
        <f t="shared" si="99"/>
        <v>2018</v>
      </c>
      <c r="F1265" s="217" t="str">
        <f t="shared" si="100"/>
        <v>4Q18</v>
      </c>
      <c r="G1265" s="218">
        <v>43406</v>
      </c>
      <c r="H1265" s="217">
        <v>3.6966999999999999</v>
      </c>
    </row>
    <row r="1266" spans="2:8">
      <c r="B1266" s="217" t="str">
        <f t="shared" si="97"/>
        <v>4Q</v>
      </c>
      <c r="C1266" s="217">
        <f t="shared" si="101"/>
        <v>11</v>
      </c>
      <c r="D1266" s="217" t="str">
        <f t="shared" si="98"/>
        <v>18</v>
      </c>
      <c r="E1266">
        <f t="shared" si="99"/>
        <v>2018</v>
      </c>
      <c r="F1266" s="217" t="str">
        <f t="shared" si="100"/>
        <v>4Q18</v>
      </c>
      <c r="G1266" s="218">
        <v>43409</v>
      </c>
      <c r="H1266" s="217">
        <v>3.7262</v>
      </c>
    </row>
    <row r="1267" spans="2:8">
      <c r="B1267" s="217" t="str">
        <f t="shared" si="97"/>
        <v>4Q</v>
      </c>
      <c r="C1267" s="217">
        <f t="shared" si="101"/>
        <v>11</v>
      </c>
      <c r="D1267" s="217" t="str">
        <f t="shared" si="98"/>
        <v>18</v>
      </c>
      <c r="E1267">
        <f t="shared" si="99"/>
        <v>2018</v>
      </c>
      <c r="F1267" s="217" t="str">
        <f t="shared" si="100"/>
        <v>4Q18</v>
      </c>
      <c r="G1267" s="218">
        <v>43410</v>
      </c>
      <c r="H1267" s="217">
        <v>3.7614999999999998</v>
      </c>
    </row>
    <row r="1268" spans="2:8">
      <c r="B1268" s="217" t="str">
        <f t="shared" si="97"/>
        <v>4Q</v>
      </c>
      <c r="C1268" s="217">
        <f t="shared" si="101"/>
        <v>11</v>
      </c>
      <c r="D1268" s="217" t="str">
        <f t="shared" si="98"/>
        <v>18</v>
      </c>
      <c r="E1268">
        <f t="shared" si="99"/>
        <v>2018</v>
      </c>
      <c r="F1268" s="217" t="str">
        <f t="shared" si="100"/>
        <v>4Q18</v>
      </c>
      <c r="G1268" s="218">
        <v>43411</v>
      </c>
      <c r="H1268" s="217">
        <v>3.7317999999999998</v>
      </c>
    </row>
    <row r="1269" spans="2:8">
      <c r="B1269" s="217" t="str">
        <f t="shared" si="97"/>
        <v>4Q</v>
      </c>
      <c r="C1269" s="217">
        <f t="shared" si="101"/>
        <v>11</v>
      </c>
      <c r="D1269" s="217" t="str">
        <f t="shared" si="98"/>
        <v>18</v>
      </c>
      <c r="E1269">
        <f t="shared" si="99"/>
        <v>2018</v>
      </c>
      <c r="F1269" s="217" t="str">
        <f t="shared" si="100"/>
        <v>4Q18</v>
      </c>
      <c r="G1269" s="218">
        <v>43412</v>
      </c>
      <c r="H1269" s="217">
        <v>3.7605</v>
      </c>
    </row>
    <row r="1270" spans="2:8">
      <c r="B1270" s="217" t="str">
        <f t="shared" si="97"/>
        <v>4Q</v>
      </c>
      <c r="C1270" s="217">
        <f t="shared" si="101"/>
        <v>11</v>
      </c>
      <c r="D1270" s="217" t="str">
        <f t="shared" si="98"/>
        <v>18</v>
      </c>
      <c r="E1270">
        <f t="shared" si="99"/>
        <v>2018</v>
      </c>
      <c r="F1270" s="217" t="str">
        <f t="shared" si="100"/>
        <v>4Q18</v>
      </c>
      <c r="G1270" s="218">
        <v>43413</v>
      </c>
      <c r="H1270" s="217">
        <v>3.7334999999999998</v>
      </c>
    </row>
    <row r="1271" spans="2:8">
      <c r="B1271" s="217" t="str">
        <f t="shared" si="97"/>
        <v>4Q</v>
      </c>
      <c r="C1271" s="217">
        <f t="shared" si="101"/>
        <v>11</v>
      </c>
      <c r="D1271" s="217" t="str">
        <f t="shared" si="98"/>
        <v>18</v>
      </c>
      <c r="E1271">
        <f t="shared" si="99"/>
        <v>2018</v>
      </c>
      <c r="F1271" s="217" t="str">
        <f t="shared" si="100"/>
        <v>4Q18</v>
      </c>
      <c r="G1271" s="218">
        <v>43416</v>
      </c>
      <c r="H1271" s="217">
        <v>3.7675000000000001</v>
      </c>
    </row>
    <row r="1272" spans="2:8">
      <c r="B1272" s="217" t="str">
        <f t="shared" si="97"/>
        <v>4Q</v>
      </c>
      <c r="C1272" s="217">
        <f t="shared" si="101"/>
        <v>11</v>
      </c>
      <c r="D1272" s="217" t="str">
        <f t="shared" si="98"/>
        <v>18</v>
      </c>
      <c r="E1272">
        <f t="shared" si="99"/>
        <v>2018</v>
      </c>
      <c r="F1272" s="217" t="str">
        <f t="shared" si="100"/>
        <v>4Q18</v>
      </c>
      <c r="G1272" s="218">
        <v>43417</v>
      </c>
      <c r="H1272" s="217">
        <v>3.8031999999999999</v>
      </c>
    </row>
    <row r="1273" spans="2:8">
      <c r="B1273" s="217" t="str">
        <f t="shared" si="97"/>
        <v>4Q</v>
      </c>
      <c r="C1273" s="217">
        <f t="shared" si="101"/>
        <v>11</v>
      </c>
      <c r="D1273" s="217" t="str">
        <f t="shared" si="98"/>
        <v>18</v>
      </c>
      <c r="E1273">
        <f t="shared" si="99"/>
        <v>2018</v>
      </c>
      <c r="F1273" s="217" t="str">
        <f t="shared" si="100"/>
        <v>4Q18</v>
      </c>
      <c r="G1273" s="218">
        <v>43418</v>
      </c>
      <c r="H1273" s="217">
        <v>3.7841</v>
      </c>
    </row>
    <row r="1274" spans="2:8">
      <c r="B1274" s="217" t="str">
        <f t="shared" si="97"/>
        <v>4Q</v>
      </c>
      <c r="C1274" s="217">
        <f t="shared" si="101"/>
        <v>11</v>
      </c>
      <c r="D1274" s="217" t="str">
        <f t="shared" si="98"/>
        <v>18</v>
      </c>
      <c r="E1274">
        <f t="shared" si="99"/>
        <v>2018</v>
      </c>
      <c r="F1274" s="217" t="str">
        <f t="shared" si="100"/>
        <v>4Q18</v>
      </c>
      <c r="G1274" s="218">
        <v>43419</v>
      </c>
      <c r="H1274" s="217">
        <v>3.7843</v>
      </c>
    </row>
    <row r="1275" spans="2:8">
      <c r="B1275" s="217" t="str">
        <f t="shared" si="97"/>
        <v>4Q</v>
      </c>
      <c r="C1275" s="217">
        <f t="shared" si="101"/>
        <v>11</v>
      </c>
      <c r="D1275" s="217" t="str">
        <f t="shared" si="98"/>
        <v>18</v>
      </c>
      <c r="E1275">
        <f t="shared" si="99"/>
        <v>2018</v>
      </c>
      <c r="F1275" s="217" t="str">
        <f t="shared" si="100"/>
        <v>4Q18</v>
      </c>
      <c r="G1275" s="218">
        <v>43420</v>
      </c>
      <c r="H1275" s="217">
        <v>3.7435</v>
      </c>
    </row>
    <row r="1276" spans="2:8">
      <c r="B1276" s="217" t="str">
        <f t="shared" si="97"/>
        <v>4Q</v>
      </c>
      <c r="C1276" s="217">
        <f t="shared" si="101"/>
        <v>11</v>
      </c>
      <c r="D1276" s="217" t="str">
        <f t="shared" si="98"/>
        <v>18</v>
      </c>
      <c r="E1276">
        <f t="shared" si="99"/>
        <v>2018</v>
      </c>
      <c r="F1276" s="217" t="str">
        <f t="shared" si="100"/>
        <v>4Q18</v>
      </c>
      <c r="G1276" s="218">
        <v>43423</v>
      </c>
      <c r="H1276" s="217">
        <v>3.7570000000000001</v>
      </c>
    </row>
    <row r="1277" spans="2:8">
      <c r="B1277" s="217" t="str">
        <f t="shared" si="97"/>
        <v>4Q</v>
      </c>
      <c r="C1277" s="217">
        <f t="shared" si="101"/>
        <v>11</v>
      </c>
      <c r="D1277" s="217" t="str">
        <f t="shared" si="98"/>
        <v>18</v>
      </c>
      <c r="E1277">
        <f t="shared" si="99"/>
        <v>2018</v>
      </c>
      <c r="F1277" s="217" t="str">
        <f t="shared" si="100"/>
        <v>4Q18</v>
      </c>
      <c r="G1277" s="218">
        <v>43424</v>
      </c>
      <c r="H1277" s="217">
        <v>3.7572000000000001</v>
      </c>
    </row>
    <row r="1278" spans="2:8">
      <c r="B1278" s="217" t="str">
        <f t="shared" si="97"/>
        <v>4Q</v>
      </c>
      <c r="C1278" s="217">
        <f t="shared" si="101"/>
        <v>11</v>
      </c>
      <c r="D1278" s="217" t="str">
        <f t="shared" si="98"/>
        <v>18</v>
      </c>
      <c r="E1278">
        <f t="shared" si="99"/>
        <v>2018</v>
      </c>
      <c r="F1278" s="217" t="str">
        <f t="shared" si="100"/>
        <v>4Q18</v>
      </c>
      <c r="G1278" s="218">
        <v>43425</v>
      </c>
      <c r="H1278" s="217">
        <v>3.7976000000000001</v>
      </c>
    </row>
    <row r="1279" spans="2:8">
      <c r="B1279" s="217" t="str">
        <f t="shared" si="97"/>
        <v>4Q</v>
      </c>
      <c r="C1279" s="217">
        <f t="shared" si="101"/>
        <v>11</v>
      </c>
      <c r="D1279" s="217" t="str">
        <f t="shared" si="98"/>
        <v>18</v>
      </c>
      <c r="E1279">
        <f t="shared" si="99"/>
        <v>2018</v>
      </c>
      <c r="F1279" s="217" t="str">
        <f t="shared" si="100"/>
        <v>4Q18</v>
      </c>
      <c r="G1279" s="218">
        <v>43426</v>
      </c>
      <c r="H1279" s="217">
        <v>3.8045</v>
      </c>
    </row>
    <row r="1280" spans="2:8">
      <c r="B1280" s="217" t="str">
        <f t="shared" si="97"/>
        <v>4Q</v>
      </c>
      <c r="C1280" s="217">
        <f t="shared" si="101"/>
        <v>11</v>
      </c>
      <c r="D1280" s="217" t="str">
        <f t="shared" si="98"/>
        <v>18</v>
      </c>
      <c r="E1280">
        <f t="shared" si="99"/>
        <v>2018</v>
      </c>
      <c r="F1280" s="217" t="str">
        <f t="shared" si="100"/>
        <v>4Q18</v>
      </c>
      <c r="G1280" s="218">
        <v>43427</v>
      </c>
      <c r="H1280" s="217">
        <v>3.8281999999999998</v>
      </c>
    </row>
    <row r="1281" spans="2:8">
      <c r="B1281" s="217" t="str">
        <f t="shared" si="97"/>
        <v>4Q</v>
      </c>
      <c r="C1281" s="217">
        <f t="shared" si="101"/>
        <v>11</v>
      </c>
      <c r="D1281" s="217" t="str">
        <f t="shared" si="98"/>
        <v>18</v>
      </c>
      <c r="E1281">
        <f t="shared" si="99"/>
        <v>2018</v>
      </c>
      <c r="F1281" s="217" t="str">
        <f t="shared" si="100"/>
        <v>4Q18</v>
      </c>
      <c r="G1281" s="218">
        <v>43430</v>
      </c>
      <c r="H1281" s="217">
        <v>3.9409999999999998</v>
      </c>
    </row>
    <row r="1282" spans="2:8">
      <c r="B1282" s="217" t="str">
        <f t="shared" si="97"/>
        <v>4Q</v>
      </c>
      <c r="C1282" s="217">
        <f t="shared" si="101"/>
        <v>11</v>
      </c>
      <c r="D1282" s="217" t="str">
        <f t="shared" si="98"/>
        <v>18</v>
      </c>
      <c r="E1282">
        <f t="shared" si="99"/>
        <v>2018</v>
      </c>
      <c r="F1282" s="217" t="str">
        <f t="shared" si="100"/>
        <v>4Q18</v>
      </c>
      <c r="G1282" s="218">
        <v>43431</v>
      </c>
      <c r="H1282" s="217">
        <v>3.8752</v>
      </c>
    </row>
    <row r="1283" spans="2:8">
      <c r="B1283" s="217" t="str">
        <f t="shared" ref="B1283:B1346" si="102">VLOOKUP(C1283,$N$3:$O$14,2,0)</f>
        <v>4Q</v>
      </c>
      <c r="C1283" s="217">
        <f t="shared" si="101"/>
        <v>11</v>
      </c>
      <c r="D1283" s="217" t="str">
        <f t="shared" ref="D1283:D1346" si="103">RIGHT(E1283,2)</f>
        <v>18</v>
      </c>
      <c r="E1283">
        <f t="shared" ref="E1283:E1346" si="104">YEAR(G1283)</f>
        <v>2018</v>
      </c>
      <c r="F1283" s="217" t="str">
        <f t="shared" ref="F1283:F1346" si="105">+B1283&amp;D1283</f>
        <v>4Q18</v>
      </c>
      <c r="G1283" s="218">
        <v>43432</v>
      </c>
      <c r="H1283" s="217">
        <v>3.851</v>
      </c>
    </row>
    <row r="1284" spans="2:8">
      <c r="B1284" s="217" t="str">
        <f t="shared" si="102"/>
        <v>4Q</v>
      </c>
      <c r="C1284" s="217">
        <f t="shared" ref="C1284:C1347" si="106">MONTH(G1284)</f>
        <v>11</v>
      </c>
      <c r="D1284" s="217" t="str">
        <f t="shared" si="103"/>
        <v>18</v>
      </c>
      <c r="E1284">
        <f t="shared" si="104"/>
        <v>2018</v>
      </c>
      <c r="F1284" s="217" t="str">
        <f t="shared" si="105"/>
        <v>4Q18</v>
      </c>
      <c r="G1284" s="218">
        <v>43433</v>
      </c>
      <c r="H1284" s="217">
        <v>3.8527999999999998</v>
      </c>
    </row>
    <row r="1285" spans="2:8">
      <c r="B1285" s="217" t="str">
        <f t="shared" si="102"/>
        <v>4Q</v>
      </c>
      <c r="C1285" s="217">
        <f t="shared" si="106"/>
        <v>11</v>
      </c>
      <c r="D1285" s="217" t="str">
        <f t="shared" si="103"/>
        <v>18</v>
      </c>
      <c r="E1285">
        <f t="shared" si="104"/>
        <v>2018</v>
      </c>
      <c r="F1285" s="217" t="str">
        <f t="shared" si="105"/>
        <v>4Q18</v>
      </c>
      <c r="G1285" s="218">
        <v>43434</v>
      </c>
      <c r="H1285" s="217">
        <v>3.8668999999999998</v>
      </c>
    </row>
    <row r="1286" spans="2:8">
      <c r="B1286" s="217" t="str">
        <f t="shared" si="102"/>
        <v>4Q</v>
      </c>
      <c r="C1286" s="217">
        <f t="shared" si="106"/>
        <v>12</v>
      </c>
      <c r="D1286" s="217" t="str">
        <f t="shared" si="103"/>
        <v>18</v>
      </c>
      <c r="E1286">
        <f t="shared" si="104"/>
        <v>2018</v>
      </c>
      <c r="F1286" s="217" t="str">
        <f t="shared" si="105"/>
        <v>4Q18</v>
      </c>
      <c r="G1286" s="218">
        <v>43437</v>
      </c>
      <c r="H1286" s="217">
        <v>3.8422999999999998</v>
      </c>
    </row>
    <row r="1287" spans="2:8">
      <c r="B1287" s="217" t="str">
        <f t="shared" si="102"/>
        <v>4Q</v>
      </c>
      <c r="C1287" s="217">
        <f t="shared" si="106"/>
        <v>12</v>
      </c>
      <c r="D1287" s="217" t="str">
        <f t="shared" si="103"/>
        <v>18</v>
      </c>
      <c r="E1287">
        <f t="shared" si="104"/>
        <v>2018</v>
      </c>
      <c r="F1287" s="217" t="str">
        <f t="shared" si="105"/>
        <v>4Q18</v>
      </c>
      <c r="G1287" s="218">
        <v>43438</v>
      </c>
      <c r="H1287" s="217">
        <v>3.8525</v>
      </c>
    </row>
    <row r="1288" spans="2:8">
      <c r="B1288" s="217" t="str">
        <f t="shared" si="102"/>
        <v>4Q</v>
      </c>
      <c r="C1288" s="217">
        <f t="shared" si="106"/>
        <v>12</v>
      </c>
      <c r="D1288" s="217" t="str">
        <f t="shared" si="103"/>
        <v>18</v>
      </c>
      <c r="E1288">
        <f t="shared" si="104"/>
        <v>2018</v>
      </c>
      <c r="F1288" s="217" t="str">
        <f t="shared" si="105"/>
        <v>4Q18</v>
      </c>
      <c r="G1288" s="218">
        <v>43439</v>
      </c>
      <c r="H1288" s="217">
        <v>3.8685999999999998</v>
      </c>
    </row>
    <row r="1289" spans="2:8">
      <c r="B1289" s="217" t="str">
        <f t="shared" si="102"/>
        <v>4Q</v>
      </c>
      <c r="C1289" s="217">
        <f t="shared" si="106"/>
        <v>12</v>
      </c>
      <c r="D1289" s="217" t="str">
        <f t="shared" si="103"/>
        <v>18</v>
      </c>
      <c r="E1289">
        <f t="shared" si="104"/>
        <v>2018</v>
      </c>
      <c r="F1289" s="217" t="str">
        <f t="shared" si="105"/>
        <v>4Q18</v>
      </c>
      <c r="G1289" s="218">
        <v>43440</v>
      </c>
      <c r="H1289" s="217">
        <v>3.8793000000000002</v>
      </c>
    </row>
    <row r="1290" spans="2:8">
      <c r="B1290" s="217" t="str">
        <f t="shared" si="102"/>
        <v>4Q</v>
      </c>
      <c r="C1290" s="217">
        <f t="shared" si="106"/>
        <v>12</v>
      </c>
      <c r="D1290" s="217" t="str">
        <f t="shared" si="103"/>
        <v>18</v>
      </c>
      <c r="E1290">
        <f t="shared" si="104"/>
        <v>2018</v>
      </c>
      <c r="F1290" s="217" t="str">
        <f t="shared" si="105"/>
        <v>4Q18</v>
      </c>
      <c r="G1290" s="218">
        <v>43441</v>
      </c>
      <c r="H1290" s="217">
        <v>3.9075000000000002</v>
      </c>
    </row>
    <row r="1291" spans="2:8">
      <c r="B1291" s="217" t="str">
        <f t="shared" si="102"/>
        <v>4Q</v>
      </c>
      <c r="C1291" s="217">
        <f t="shared" si="106"/>
        <v>12</v>
      </c>
      <c r="D1291" s="217" t="str">
        <f t="shared" si="103"/>
        <v>18</v>
      </c>
      <c r="E1291">
        <f t="shared" si="104"/>
        <v>2018</v>
      </c>
      <c r="F1291" s="217" t="str">
        <f t="shared" si="105"/>
        <v>4Q18</v>
      </c>
      <c r="G1291" s="218">
        <v>43444</v>
      </c>
      <c r="H1291" s="217">
        <v>3.9180999999999999</v>
      </c>
    </row>
    <row r="1292" spans="2:8">
      <c r="B1292" s="217" t="str">
        <f t="shared" si="102"/>
        <v>4Q</v>
      </c>
      <c r="C1292" s="217">
        <f t="shared" si="106"/>
        <v>12</v>
      </c>
      <c r="D1292" s="217" t="str">
        <f t="shared" si="103"/>
        <v>18</v>
      </c>
      <c r="E1292">
        <f t="shared" si="104"/>
        <v>2018</v>
      </c>
      <c r="F1292" s="217" t="str">
        <f t="shared" si="105"/>
        <v>4Q18</v>
      </c>
      <c r="G1292" s="218">
        <v>43445</v>
      </c>
      <c r="H1292" s="217">
        <v>3.9039999999999999</v>
      </c>
    </row>
    <row r="1293" spans="2:8">
      <c r="B1293" s="217" t="str">
        <f t="shared" si="102"/>
        <v>4Q</v>
      </c>
      <c r="C1293" s="217">
        <f t="shared" si="106"/>
        <v>12</v>
      </c>
      <c r="D1293" s="217" t="str">
        <f t="shared" si="103"/>
        <v>18</v>
      </c>
      <c r="E1293">
        <f t="shared" si="104"/>
        <v>2018</v>
      </c>
      <c r="F1293" s="217" t="str">
        <f t="shared" si="105"/>
        <v>4Q18</v>
      </c>
      <c r="G1293" s="218">
        <v>43446</v>
      </c>
      <c r="H1293" s="217">
        <v>3.8555000000000001</v>
      </c>
    </row>
    <row r="1294" spans="2:8">
      <c r="B1294" s="217" t="str">
        <f t="shared" si="102"/>
        <v>4Q</v>
      </c>
      <c r="C1294" s="217">
        <f t="shared" si="106"/>
        <v>12</v>
      </c>
      <c r="D1294" s="217" t="str">
        <f t="shared" si="103"/>
        <v>18</v>
      </c>
      <c r="E1294">
        <f t="shared" si="104"/>
        <v>2018</v>
      </c>
      <c r="F1294" s="217" t="str">
        <f t="shared" si="105"/>
        <v>4Q18</v>
      </c>
      <c r="G1294" s="218">
        <v>43447</v>
      </c>
      <c r="H1294" s="217">
        <v>3.8910999999999998</v>
      </c>
    </row>
    <row r="1295" spans="2:8">
      <c r="B1295" s="217" t="str">
        <f t="shared" si="102"/>
        <v>4Q</v>
      </c>
      <c r="C1295" s="217">
        <f t="shared" si="106"/>
        <v>12</v>
      </c>
      <c r="D1295" s="217" t="str">
        <f t="shared" si="103"/>
        <v>18</v>
      </c>
      <c r="E1295">
        <f t="shared" si="104"/>
        <v>2018</v>
      </c>
      <c r="F1295" s="217" t="str">
        <f t="shared" si="105"/>
        <v>4Q18</v>
      </c>
      <c r="G1295" s="218">
        <v>43448</v>
      </c>
      <c r="H1295" s="217">
        <v>3.9171</v>
      </c>
    </row>
    <row r="1296" spans="2:8">
      <c r="B1296" s="217" t="str">
        <f t="shared" si="102"/>
        <v>4Q</v>
      </c>
      <c r="C1296" s="217">
        <f t="shared" si="106"/>
        <v>12</v>
      </c>
      <c r="D1296" s="217" t="str">
        <f t="shared" si="103"/>
        <v>18</v>
      </c>
      <c r="E1296">
        <f t="shared" si="104"/>
        <v>2018</v>
      </c>
      <c r="F1296" s="217" t="str">
        <f t="shared" si="105"/>
        <v>4Q18</v>
      </c>
      <c r="G1296" s="218">
        <v>43451</v>
      </c>
      <c r="H1296" s="217">
        <v>3.8995000000000002</v>
      </c>
    </row>
    <row r="1297" spans="2:8">
      <c r="B1297" s="217" t="str">
        <f t="shared" si="102"/>
        <v>4Q</v>
      </c>
      <c r="C1297" s="217">
        <f t="shared" si="106"/>
        <v>12</v>
      </c>
      <c r="D1297" s="217" t="str">
        <f t="shared" si="103"/>
        <v>18</v>
      </c>
      <c r="E1297">
        <f t="shared" si="104"/>
        <v>2018</v>
      </c>
      <c r="F1297" s="217" t="str">
        <f t="shared" si="105"/>
        <v>4Q18</v>
      </c>
      <c r="G1297" s="218">
        <v>43452</v>
      </c>
      <c r="H1297" s="217">
        <v>3.9123999999999999</v>
      </c>
    </row>
    <row r="1298" spans="2:8">
      <c r="B1298" s="217" t="str">
        <f t="shared" si="102"/>
        <v>4Q</v>
      </c>
      <c r="C1298" s="217">
        <f t="shared" si="106"/>
        <v>12</v>
      </c>
      <c r="D1298" s="217" t="str">
        <f t="shared" si="103"/>
        <v>18</v>
      </c>
      <c r="E1298">
        <f t="shared" si="104"/>
        <v>2018</v>
      </c>
      <c r="F1298" s="217" t="str">
        <f t="shared" si="105"/>
        <v>4Q18</v>
      </c>
      <c r="G1298" s="218">
        <v>43453</v>
      </c>
      <c r="H1298" s="217">
        <v>3.8976999999999999</v>
      </c>
    </row>
    <row r="1299" spans="2:8">
      <c r="B1299" s="217" t="str">
        <f t="shared" si="102"/>
        <v>4Q</v>
      </c>
      <c r="C1299" s="217">
        <f t="shared" si="106"/>
        <v>12</v>
      </c>
      <c r="D1299" s="217" t="str">
        <f t="shared" si="103"/>
        <v>18</v>
      </c>
      <c r="E1299">
        <f t="shared" si="104"/>
        <v>2018</v>
      </c>
      <c r="F1299" s="217" t="str">
        <f t="shared" si="105"/>
        <v>4Q18</v>
      </c>
      <c r="G1299" s="218">
        <v>43454</v>
      </c>
      <c r="H1299" s="217">
        <v>3.8422000000000001</v>
      </c>
    </row>
    <row r="1300" spans="2:8">
      <c r="B1300" s="217" t="str">
        <f t="shared" si="102"/>
        <v>4Q</v>
      </c>
      <c r="C1300" s="217">
        <f t="shared" si="106"/>
        <v>12</v>
      </c>
      <c r="D1300" s="217" t="str">
        <f t="shared" si="103"/>
        <v>18</v>
      </c>
      <c r="E1300">
        <f t="shared" si="104"/>
        <v>2018</v>
      </c>
      <c r="F1300" s="217" t="str">
        <f t="shared" si="105"/>
        <v>4Q18</v>
      </c>
      <c r="G1300" s="218">
        <v>43455</v>
      </c>
      <c r="H1300" s="217">
        <v>3.9039999999999999</v>
      </c>
    </row>
    <row r="1301" spans="2:8">
      <c r="B1301" s="217" t="str">
        <f t="shared" si="102"/>
        <v>4Q</v>
      </c>
      <c r="C1301" s="217">
        <f t="shared" si="106"/>
        <v>12</v>
      </c>
      <c r="D1301" s="217" t="str">
        <f t="shared" si="103"/>
        <v>18</v>
      </c>
      <c r="E1301">
        <f t="shared" si="104"/>
        <v>2018</v>
      </c>
      <c r="F1301" s="217" t="str">
        <f t="shared" si="105"/>
        <v>4Q18</v>
      </c>
      <c r="G1301" s="218">
        <v>43458</v>
      </c>
      <c r="H1301" s="217">
        <v>3.9039999999999999</v>
      </c>
    </row>
    <row r="1302" spans="2:8">
      <c r="B1302" s="217" t="str">
        <f t="shared" si="102"/>
        <v>4Q</v>
      </c>
      <c r="C1302" s="217">
        <f t="shared" si="106"/>
        <v>12</v>
      </c>
      <c r="D1302" s="217" t="str">
        <f t="shared" si="103"/>
        <v>18</v>
      </c>
      <c r="E1302">
        <f t="shared" si="104"/>
        <v>2018</v>
      </c>
      <c r="F1302" s="217" t="str">
        <f t="shared" si="105"/>
        <v>4Q18</v>
      </c>
      <c r="G1302" s="218">
        <v>43459</v>
      </c>
      <c r="H1302" s="217">
        <v>3.9039999999999999</v>
      </c>
    </row>
    <row r="1303" spans="2:8">
      <c r="B1303" s="217" t="str">
        <f t="shared" si="102"/>
        <v>4Q</v>
      </c>
      <c r="C1303" s="217">
        <f t="shared" si="106"/>
        <v>12</v>
      </c>
      <c r="D1303" s="217" t="str">
        <f t="shared" si="103"/>
        <v>18</v>
      </c>
      <c r="E1303">
        <f t="shared" si="104"/>
        <v>2018</v>
      </c>
      <c r="F1303" s="217" t="str">
        <f t="shared" si="105"/>
        <v>4Q18</v>
      </c>
      <c r="G1303" s="218">
        <v>43460</v>
      </c>
      <c r="H1303" s="217">
        <v>3.9220000000000002</v>
      </c>
    </row>
    <row r="1304" spans="2:8">
      <c r="B1304" s="217" t="str">
        <f t="shared" si="102"/>
        <v>4Q</v>
      </c>
      <c r="C1304" s="217">
        <f t="shared" si="106"/>
        <v>12</v>
      </c>
      <c r="D1304" s="217" t="str">
        <f t="shared" si="103"/>
        <v>18</v>
      </c>
      <c r="E1304">
        <f t="shared" si="104"/>
        <v>2018</v>
      </c>
      <c r="F1304" s="217" t="str">
        <f t="shared" si="105"/>
        <v>4Q18</v>
      </c>
      <c r="G1304" s="218">
        <v>43461</v>
      </c>
      <c r="H1304" s="217">
        <v>3.8734999999999999</v>
      </c>
    </row>
    <row r="1305" spans="2:8">
      <c r="B1305" s="217" t="str">
        <f t="shared" si="102"/>
        <v>4Q</v>
      </c>
      <c r="C1305" s="217">
        <f t="shared" si="106"/>
        <v>12</v>
      </c>
      <c r="D1305" s="217" t="str">
        <f t="shared" si="103"/>
        <v>18</v>
      </c>
      <c r="E1305">
        <f t="shared" si="104"/>
        <v>2018</v>
      </c>
      <c r="F1305" s="217" t="str">
        <f t="shared" si="105"/>
        <v>4Q18</v>
      </c>
      <c r="G1305" s="218">
        <v>43462</v>
      </c>
      <c r="H1305" s="217">
        <v>3.8812000000000002</v>
      </c>
    </row>
    <row r="1306" spans="2:8">
      <c r="B1306" s="217" t="str">
        <f t="shared" si="102"/>
        <v>4Q</v>
      </c>
      <c r="C1306" s="217">
        <f t="shared" si="106"/>
        <v>12</v>
      </c>
      <c r="D1306" s="217" t="str">
        <f t="shared" si="103"/>
        <v>18</v>
      </c>
      <c r="E1306">
        <f t="shared" si="104"/>
        <v>2018</v>
      </c>
      <c r="F1306" s="217" t="str">
        <f t="shared" si="105"/>
        <v>4Q18</v>
      </c>
      <c r="G1306" s="218">
        <v>43465</v>
      </c>
      <c r="H1306" s="217">
        <v>3.8812000000000002</v>
      </c>
    </row>
    <row r="1307" spans="2:8">
      <c r="B1307" s="217" t="str">
        <f t="shared" si="102"/>
        <v>1Q</v>
      </c>
      <c r="C1307" s="217">
        <f t="shared" si="106"/>
        <v>1</v>
      </c>
      <c r="D1307" s="217" t="str">
        <f t="shared" si="103"/>
        <v>19</v>
      </c>
      <c r="E1307">
        <f t="shared" si="104"/>
        <v>2019</v>
      </c>
      <c r="F1307" s="217" t="str">
        <f t="shared" si="105"/>
        <v>1Q19</v>
      </c>
      <c r="G1307" s="218">
        <v>43466</v>
      </c>
      <c r="H1307" s="217">
        <v>3.8812000000000002</v>
      </c>
    </row>
    <row r="1308" spans="2:8">
      <c r="B1308" s="217" t="str">
        <f t="shared" si="102"/>
        <v>1Q</v>
      </c>
      <c r="C1308" s="217">
        <f t="shared" si="106"/>
        <v>1</v>
      </c>
      <c r="D1308" s="217" t="str">
        <f t="shared" si="103"/>
        <v>19</v>
      </c>
      <c r="E1308">
        <f t="shared" si="104"/>
        <v>2019</v>
      </c>
      <c r="F1308" s="217" t="str">
        <f t="shared" si="105"/>
        <v>1Q19</v>
      </c>
      <c r="G1308" s="218">
        <v>43467</v>
      </c>
      <c r="H1308" s="217">
        <v>3.79</v>
      </c>
    </row>
    <row r="1309" spans="2:8">
      <c r="B1309" s="217" t="str">
        <f t="shared" si="102"/>
        <v>1Q</v>
      </c>
      <c r="C1309" s="217">
        <f t="shared" si="106"/>
        <v>1</v>
      </c>
      <c r="D1309" s="217" t="str">
        <f t="shared" si="103"/>
        <v>19</v>
      </c>
      <c r="E1309">
        <f t="shared" si="104"/>
        <v>2019</v>
      </c>
      <c r="F1309" s="217" t="str">
        <f t="shared" si="105"/>
        <v>1Q19</v>
      </c>
      <c r="G1309" s="218">
        <v>43468</v>
      </c>
      <c r="H1309" s="217">
        <v>3.7565</v>
      </c>
    </row>
    <row r="1310" spans="2:8">
      <c r="B1310" s="217" t="str">
        <f t="shared" si="102"/>
        <v>1Q</v>
      </c>
      <c r="C1310" s="217">
        <f t="shared" si="106"/>
        <v>1</v>
      </c>
      <c r="D1310" s="217" t="str">
        <f t="shared" si="103"/>
        <v>19</v>
      </c>
      <c r="E1310">
        <f t="shared" si="104"/>
        <v>2019</v>
      </c>
      <c r="F1310" s="217" t="str">
        <f t="shared" si="105"/>
        <v>1Q19</v>
      </c>
      <c r="G1310" s="218">
        <v>43469</v>
      </c>
      <c r="H1310" s="217">
        <v>3.7155</v>
      </c>
    </row>
    <row r="1311" spans="2:8">
      <c r="B1311" s="217" t="str">
        <f t="shared" si="102"/>
        <v>1Q</v>
      </c>
      <c r="C1311" s="217">
        <f t="shared" si="106"/>
        <v>1</v>
      </c>
      <c r="D1311" s="217" t="str">
        <f t="shared" si="103"/>
        <v>19</v>
      </c>
      <c r="E1311">
        <f t="shared" si="104"/>
        <v>2019</v>
      </c>
      <c r="F1311" s="217" t="str">
        <f t="shared" si="105"/>
        <v>1Q19</v>
      </c>
      <c r="G1311" s="218">
        <v>43472</v>
      </c>
      <c r="H1311" s="217">
        <v>3.7355999999999998</v>
      </c>
    </row>
    <row r="1312" spans="2:8">
      <c r="B1312" s="217" t="str">
        <f t="shared" si="102"/>
        <v>1Q</v>
      </c>
      <c r="C1312" s="217">
        <f t="shared" si="106"/>
        <v>1</v>
      </c>
      <c r="D1312" s="217" t="str">
        <f t="shared" si="103"/>
        <v>19</v>
      </c>
      <c r="E1312">
        <f t="shared" si="104"/>
        <v>2019</v>
      </c>
      <c r="F1312" s="217" t="str">
        <f t="shared" si="105"/>
        <v>1Q19</v>
      </c>
      <c r="G1312" s="218">
        <v>43473</v>
      </c>
      <c r="H1312" s="217">
        <v>3.7132999999999998</v>
      </c>
    </row>
    <row r="1313" spans="2:8">
      <c r="B1313" s="217" t="str">
        <f t="shared" si="102"/>
        <v>1Q</v>
      </c>
      <c r="C1313" s="217">
        <f t="shared" si="106"/>
        <v>1</v>
      </c>
      <c r="D1313" s="217" t="str">
        <f t="shared" si="103"/>
        <v>19</v>
      </c>
      <c r="E1313">
        <f t="shared" si="104"/>
        <v>2019</v>
      </c>
      <c r="F1313" s="217" t="str">
        <f t="shared" si="105"/>
        <v>1Q19</v>
      </c>
      <c r="G1313" s="218">
        <v>43474</v>
      </c>
      <c r="H1313" s="217">
        <v>3.6806999999999999</v>
      </c>
    </row>
    <row r="1314" spans="2:8">
      <c r="B1314" s="217" t="str">
        <f t="shared" si="102"/>
        <v>1Q</v>
      </c>
      <c r="C1314" s="217">
        <f t="shared" si="106"/>
        <v>1</v>
      </c>
      <c r="D1314" s="217" t="str">
        <f t="shared" si="103"/>
        <v>19</v>
      </c>
      <c r="E1314">
        <f t="shared" si="104"/>
        <v>2019</v>
      </c>
      <c r="F1314" s="217" t="str">
        <f t="shared" si="105"/>
        <v>1Q19</v>
      </c>
      <c r="G1314" s="218">
        <v>43475</v>
      </c>
      <c r="H1314" s="217">
        <v>3.7105000000000001</v>
      </c>
    </row>
    <row r="1315" spans="2:8">
      <c r="B1315" s="217" t="str">
        <f t="shared" si="102"/>
        <v>1Q</v>
      </c>
      <c r="C1315" s="217">
        <f t="shared" si="106"/>
        <v>1</v>
      </c>
      <c r="D1315" s="217" t="str">
        <f t="shared" si="103"/>
        <v>19</v>
      </c>
      <c r="E1315">
        <f t="shared" si="104"/>
        <v>2019</v>
      </c>
      <c r="F1315" s="217" t="str">
        <f t="shared" si="105"/>
        <v>1Q19</v>
      </c>
      <c r="G1315" s="218">
        <v>43476</v>
      </c>
      <c r="H1315" s="217">
        <v>3.7113</v>
      </c>
    </row>
    <row r="1316" spans="2:8">
      <c r="B1316" s="217" t="str">
        <f t="shared" si="102"/>
        <v>1Q</v>
      </c>
      <c r="C1316" s="217">
        <f t="shared" si="106"/>
        <v>1</v>
      </c>
      <c r="D1316" s="217" t="str">
        <f t="shared" si="103"/>
        <v>19</v>
      </c>
      <c r="E1316">
        <f t="shared" si="104"/>
        <v>2019</v>
      </c>
      <c r="F1316" s="217" t="str">
        <f t="shared" si="105"/>
        <v>1Q19</v>
      </c>
      <c r="G1316" s="218">
        <v>43479</v>
      </c>
      <c r="H1316" s="217">
        <v>3.6989999999999998</v>
      </c>
    </row>
    <row r="1317" spans="2:8">
      <c r="B1317" s="217" t="str">
        <f t="shared" si="102"/>
        <v>1Q</v>
      </c>
      <c r="C1317" s="217">
        <f t="shared" si="106"/>
        <v>1</v>
      </c>
      <c r="D1317" s="217" t="str">
        <f t="shared" si="103"/>
        <v>19</v>
      </c>
      <c r="E1317">
        <f t="shared" si="104"/>
        <v>2019</v>
      </c>
      <c r="F1317" s="217" t="str">
        <f t="shared" si="105"/>
        <v>1Q19</v>
      </c>
      <c r="G1317" s="218">
        <v>43480</v>
      </c>
      <c r="H1317" s="217">
        <v>3.7172000000000001</v>
      </c>
    </row>
    <row r="1318" spans="2:8">
      <c r="B1318" s="217" t="str">
        <f t="shared" si="102"/>
        <v>1Q</v>
      </c>
      <c r="C1318" s="217">
        <f t="shared" si="106"/>
        <v>1</v>
      </c>
      <c r="D1318" s="217" t="str">
        <f t="shared" si="103"/>
        <v>19</v>
      </c>
      <c r="E1318">
        <f t="shared" si="104"/>
        <v>2019</v>
      </c>
      <c r="F1318" s="217" t="str">
        <f t="shared" si="105"/>
        <v>1Q19</v>
      </c>
      <c r="G1318" s="218">
        <v>43481</v>
      </c>
      <c r="H1318" s="217">
        <v>3.7366000000000001</v>
      </c>
    </row>
    <row r="1319" spans="2:8">
      <c r="B1319" s="217" t="str">
        <f t="shared" si="102"/>
        <v>1Q</v>
      </c>
      <c r="C1319" s="217">
        <f t="shared" si="106"/>
        <v>1</v>
      </c>
      <c r="D1319" s="217" t="str">
        <f t="shared" si="103"/>
        <v>19</v>
      </c>
      <c r="E1319">
        <f t="shared" si="104"/>
        <v>2019</v>
      </c>
      <c r="F1319" s="217" t="str">
        <f t="shared" si="105"/>
        <v>1Q19</v>
      </c>
      <c r="G1319" s="218">
        <v>43482</v>
      </c>
      <c r="H1319" s="217">
        <v>3.7504</v>
      </c>
    </row>
    <row r="1320" spans="2:8">
      <c r="B1320" s="217" t="str">
        <f t="shared" si="102"/>
        <v>1Q</v>
      </c>
      <c r="C1320" s="217">
        <f t="shared" si="106"/>
        <v>1</v>
      </c>
      <c r="D1320" s="217" t="str">
        <f t="shared" si="103"/>
        <v>19</v>
      </c>
      <c r="E1320">
        <f t="shared" si="104"/>
        <v>2019</v>
      </c>
      <c r="F1320" s="217" t="str">
        <f t="shared" si="105"/>
        <v>1Q19</v>
      </c>
      <c r="G1320" s="218">
        <v>43483</v>
      </c>
      <c r="H1320" s="217">
        <v>3.7517</v>
      </c>
    </row>
    <row r="1321" spans="2:8">
      <c r="B1321" s="217" t="str">
        <f t="shared" si="102"/>
        <v>1Q</v>
      </c>
      <c r="C1321" s="217">
        <f t="shared" si="106"/>
        <v>1</v>
      </c>
      <c r="D1321" s="217" t="str">
        <f t="shared" si="103"/>
        <v>19</v>
      </c>
      <c r="E1321">
        <f t="shared" si="104"/>
        <v>2019</v>
      </c>
      <c r="F1321" s="217" t="str">
        <f t="shared" si="105"/>
        <v>1Q19</v>
      </c>
      <c r="G1321" s="218">
        <v>43486</v>
      </c>
      <c r="H1321" s="217">
        <v>3.7549999999999999</v>
      </c>
    </row>
    <row r="1322" spans="2:8">
      <c r="B1322" s="217" t="str">
        <f t="shared" si="102"/>
        <v>1Q</v>
      </c>
      <c r="C1322" s="217">
        <f t="shared" si="106"/>
        <v>1</v>
      </c>
      <c r="D1322" s="217" t="str">
        <f t="shared" si="103"/>
        <v>19</v>
      </c>
      <c r="E1322">
        <f t="shared" si="104"/>
        <v>2019</v>
      </c>
      <c r="F1322" s="217" t="str">
        <f t="shared" si="105"/>
        <v>1Q19</v>
      </c>
      <c r="G1322" s="218">
        <v>43487</v>
      </c>
      <c r="H1322" s="217">
        <v>3.8151999999999999</v>
      </c>
    </row>
    <row r="1323" spans="2:8">
      <c r="B1323" s="217" t="str">
        <f t="shared" si="102"/>
        <v>1Q</v>
      </c>
      <c r="C1323" s="217">
        <f t="shared" si="106"/>
        <v>1</v>
      </c>
      <c r="D1323" s="217" t="str">
        <f t="shared" si="103"/>
        <v>19</v>
      </c>
      <c r="E1323">
        <f t="shared" si="104"/>
        <v>2019</v>
      </c>
      <c r="F1323" s="217" t="str">
        <f t="shared" si="105"/>
        <v>1Q19</v>
      </c>
      <c r="G1323" s="218">
        <v>43488</v>
      </c>
      <c r="H1323" s="217">
        <v>3.7663000000000002</v>
      </c>
    </row>
    <row r="1324" spans="2:8">
      <c r="B1324" s="217" t="str">
        <f t="shared" si="102"/>
        <v>1Q</v>
      </c>
      <c r="C1324" s="217">
        <f t="shared" si="106"/>
        <v>1</v>
      </c>
      <c r="D1324" s="217" t="str">
        <f t="shared" si="103"/>
        <v>19</v>
      </c>
      <c r="E1324">
        <f t="shared" si="104"/>
        <v>2019</v>
      </c>
      <c r="F1324" s="217" t="str">
        <f t="shared" si="105"/>
        <v>1Q19</v>
      </c>
      <c r="G1324" s="218">
        <v>43489</v>
      </c>
      <c r="H1324" s="217">
        <v>3.7732999999999999</v>
      </c>
    </row>
    <row r="1325" spans="2:8">
      <c r="B1325" s="217" t="str">
        <f t="shared" si="102"/>
        <v>1Q</v>
      </c>
      <c r="C1325" s="217">
        <f t="shared" si="106"/>
        <v>1</v>
      </c>
      <c r="D1325" s="217" t="str">
        <f t="shared" si="103"/>
        <v>19</v>
      </c>
      <c r="E1325">
        <f t="shared" si="104"/>
        <v>2019</v>
      </c>
      <c r="F1325" s="217" t="str">
        <f t="shared" si="105"/>
        <v>1Q19</v>
      </c>
      <c r="G1325" s="218">
        <v>43490</v>
      </c>
      <c r="H1325" s="217">
        <v>3.7707000000000002</v>
      </c>
    </row>
    <row r="1326" spans="2:8">
      <c r="B1326" s="217" t="str">
        <f t="shared" si="102"/>
        <v>1Q</v>
      </c>
      <c r="C1326" s="217">
        <f t="shared" si="106"/>
        <v>1</v>
      </c>
      <c r="D1326" s="217" t="str">
        <f t="shared" si="103"/>
        <v>19</v>
      </c>
      <c r="E1326">
        <f t="shared" si="104"/>
        <v>2019</v>
      </c>
      <c r="F1326" s="217" t="str">
        <f t="shared" si="105"/>
        <v>1Q19</v>
      </c>
      <c r="G1326" s="218">
        <v>43493</v>
      </c>
      <c r="H1326" s="217">
        <v>3.7618999999999998</v>
      </c>
    </row>
    <row r="1327" spans="2:8">
      <c r="B1327" s="217" t="str">
        <f t="shared" si="102"/>
        <v>1Q</v>
      </c>
      <c r="C1327" s="217">
        <f t="shared" si="106"/>
        <v>1</v>
      </c>
      <c r="D1327" s="217" t="str">
        <f t="shared" si="103"/>
        <v>19</v>
      </c>
      <c r="E1327">
        <f t="shared" si="104"/>
        <v>2019</v>
      </c>
      <c r="F1327" s="217" t="str">
        <f t="shared" si="105"/>
        <v>1Q19</v>
      </c>
      <c r="G1327" s="218">
        <v>43494</v>
      </c>
      <c r="H1327" s="217">
        <v>3.7202000000000002</v>
      </c>
    </row>
    <row r="1328" spans="2:8">
      <c r="B1328" s="217" t="str">
        <f t="shared" si="102"/>
        <v>1Q</v>
      </c>
      <c r="C1328" s="217">
        <f t="shared" si="106"/>
        <v>1</v>
      </c>
      <c r="D1328" s="217" t="str">
        <f t="shared" si="103"/>
        <v>19</v>
      </c>
      <c r="E1328">
        <f t="shared" si="104"/>
        <v>2019</v>
      </c>
      <c r="F1328" s="217" t="str">
        <f t="shared" si="105"/>
        <v>1Q19</v>
      </c>
      <c r="G1328" s="218">
        <v>43495</v>
      </c>
      <c r="H1328" s="217">
        <v>3.6850000000000001</v>
      </c>
    </row>
    <row r="1329" spans="2:8">
      <c r="B1329" s="217" t="str">
        <f t="shared" si="102"/>
        <v>1Q</v>
      </c>
      <c r="C1329" s="217">
        <f t="shared" si="106"/>
        <v>1</v>
      </c>
      <c r="D1329" s="217" t="str">
        <f t="shared" si="103"/>
        <v>19</v>
      </c>
      <c r="E1329">
        <f t="shared" si="104"/>
        <v>2019</v>
      </c>
      <c r="F1329" s="217" t="str">
        <f t="shared" si="105"/>
        <v>1Q19</v>
      </c>
      <c r="G1329" s="218">
        <v>43496</v>
      </c>
      <c r="H1329" s="217">
        <v>3.6440000000000001</v>
      </c>
    </row>
    <row r="1330" spans="2:8">
      <c r="B1330" s="217" t="str">
        <f t="shared" si="102"/>
        <v>1Q</v>
      </c>
      <c r="C1330" s="217">
        <f t="shared" si="106"/>
        <v>2</v>
      </c>
      <c r="D1330" s="217" t="str">
        <f t="shared" si="103"/>
        <v>19</v>
      </c>
      <c r="E1330">
        <f t="shared" si="104"/>
        <v>2019</v>
      </c>
      <c r="F1330" s="217" t="str">
        <f t="shared" si="105"/>
        <v>1Q19</v>
      </c>
      <c r="G1330" s="218">
        <v>43497</v>
      </c>
      <c r="H1330" s="217">
        <v>3.6597</v>
      </c>
    </row>
    <row r="1331" spans="2:8">
      <c r="B1331" s="217" t="str">
        <f t="shared" si="102"/>
        <v>1Q</v>
      </c>
      <c r="C1331" s="217">
        <f t="shared" si="106"/>
        <v>2</v>
      </c>
      <c r="D1331" s="217" t="str">
        <f t="shared" si="103"/>
        <v>19</v>
      </c>
      <c r="E1331">
        <f t="shared" si="104"/>
        <v>2019</v>
      </c>
      <c r="F1331" s="217" t="str">
        <f t="shared" si="105"/>
        <v>1Q19</v>
      </c>
      <c r="G1331" s="218">
        <v>43500</v>
      </c>
      <c r="H1331" s="217">
        <v>3.6686999999999999</v>
      </c>
    </row>
    <row r="1332" spans="2:8">
      <c r="B1332" s="217" t="str">
        <f t="shared" si="102"/>
        <v>1Q</v>
      </c>
      <c r="C1332" s="217">
        <f t="shared" si="106"/>
        <v>2</v>
      </c>
      <c r="D1332" s="217" t="str">
        <f t="shared" si="103"/>
        <v>19</v>
      </c>
      <c r="E1332">
        <f t="shared" si="104"/>
        <v>2019</v>
      </c>
      <c r="F1332" s="217" t="str">
        <f t="shared" si="105"/>
        <v>1Q19</v>
      </c>
      <c r="G1332" s="218">
        <v>43501</v>
      </c>
      <c r="H1332" s="217">
        <v>3.6699000000000002</v>
      </c>
    </row>
    <row r="1333" spans="2:8">
      <c r="B1333" s="217" t="str">
        <f t="shared" si="102"/>
        <v>1Q</v>
      </c>
      <c r="C1333" s="217">
        <f t="shared" si="106"/>
        <v>2</v>
      </c>
      <c r="D1333" s="217" t="str">
        <f t="shared" si="103"/>
        <v>19</v>
      </c>
      <c r="E1333">
        <f t="shared" si="104"/>
        <v>2019</v>
      </c>
      <c r="F1333" s="217" t="str">
        <f t="shared" si="105"/>
        <v>1Q19</v>
      </c>
      <c r="G1333" s="218">
        <v>43502</v>
      </c>
      <c r="H1333" s="217">
        <v>3.6983000000000001</v>
      </c>
    </row>
    <row r="1334" spans="2:8">
      <c r="B1334" s="217" t="str">
        <f t="shared" si="102"/>
        <v>1Q</v>
      </c>
      <c r="C1334" s="217">
        <f t="shared" si="106"/>
        <v>2</v>
      </c>
      <c r="D1334" s="217" t="str">
        <f t="shared" si="103"/>
        <v>19</v>
      </c>
      <c r="E1334">
        <f t="shared" si="104"/>
        <v>2019</v>
      </c>
      <c r="F1334" s="217" t="str">
        <f t="shared" si="105"/>
        <v>1Q19</v>
      </c>
      <c r="G1334" s="218">
        <v>43503</v>
      </c>
      <c r="H1334" s="217">
        <v>3.7166999999999999</v>
      </c>
    </row>
    <row r="1335" spans="2:8">
      <c r="B1335" s="217" t="str">
        <f t="shared" si="102"/>
        <v>1Q</v>
      </c>
      <c r="C1335" s="217">
        <f t="shared" si="106"/>
        <v>2</v>
      </c>
      <c r="D1335" s="217" t="str">
        <f t="shared" si="103"/>
        <v>19</v>
      </c>
      <c r="E1335">
        <f t="shared" si="104"/>
        <v>2019</v>
      </c>
      <c r="F1335" s="217" t="str">
        <f t="shared" si="105"/>
        <v>1Q19</v>
      </c>
      <c r="G1335" s="218">
        <v>43504</v>
      </c>
      <c r="H1335" s="217">
        <v>3.7292000000000001</v>
      </c>
    </row>
    <row r="1336" spans="2:8">
      <c r="B1336" s="217" t="str">
        <f t="shared" si="102"/>
        <v>1Q</v>
      </c>
      <c r="C1336" s="217">
        <f t="shared" si="106"/>
        <v>2</v>
      </c>
      <c r="D1336" s="217" t="str">
        <f t="shared" si="103"/>
        <v>19</v>
      </c>
      <c r="E1336">
        <f t="shared" si="104"/>
        <v>2019</v>
      </c>
      <c r="F1336" s="217" t="str">
        <f t="shared" si="105"/>
        <v>1Q19</v>
      </c>
      <c r="G1336" s="218">
        <v>43507</v>
      </c>
      <c r="H1336" s="217">
        <v>3.7576999999999998</v>
      </c>
    </row>
    <row r="1337" spans="2:8">
      <c r="B1337" s="217" t="str">
        <f t="shared" si="102"/>
        <v>1Q</v>
      </c>
      <c r="C1337" s="217">
        <f t="shared" si="106"/>
        <v>2</v>
      </c>
      <c r="D1337" s="217" t="str">
        <f t="shared" si="103"/>
        <v>19</v>
      </c>
      <c r="E1337">
        <f t="shared" si="104"/>
        <v>2019</v>
      </c>
      <c r="F1337" s="217" t="str">
        <f t="shared" si="105"/>
        <v>1Q19</v>
      </c>
      <c r="G1337" s="218">
        <v>43508</v>
      </c>
      <c r="H1337" s="217">
        <v>3.7098</v>
      </c>
    </row>
    <row r="1338" spans="2:8">
      <c r="B1338" s="217" t="str">
        <f t="shared" si="102"/>
        <v>1Q</v>
      </c>
      <c r="C1338" s="217">
        <f t="shared" si="106"/>
        <v>2</v>
      </c>
      <c r="D1338" s="217" t="str">
        <f t="shared" si="103"/>
        <v>19</v>
      </c>
      <c r="E1338">
        <f t="shared" si="104"/>
        <v>2019</v>
      </c>
      <c r="F1338" s="217" t="str">
        <f t="shared" si="105"/>
        <v>1Q19</v>
      </c>
      <c r="G1338" s="218">
        <v>43509</v>
      </c>
      <c r="H1338" s="217">
        <v>3.7544</v>
      </c>
    </row>
    <row r="1339" spans="2:8">
      <c r="B1339" s="217" t="str">
        <f t="shared" si="102"/>
        <v>1Q</v>
      </c>
      <c r="C1339" s="217">
        <f t="shared" si="106"/>
        <v>2</v>
      </c>
      <c r="D1339" s="217" t="str">
        <f t="shared" si="103"/>
        <v>19</v>
      </c>
      <c r="E1339">
        <f t="shared" si="104"/>
        <v>2019</v>
      </c>
      <c r="F1339" s="217" t="str">
        <f t="shared" si="105"/>
        <v>1Q19</v>
      </c>
      <c r="G1339" s="218">
        <v>43510</v>
      </c>
      <c r="H1339" s="217">
        <v>3.7233000000000001</v>
      </c>
    </row>
    <row r="1340" spans="2:8">
      <c r="B1340" s="217" t="str">
        <f t="shared" si="102"/>
        <v>1Q</v>
      </c>
      <c r="C1340" s="217">
        <f t="shared" si="106"/>
        <v>2</v>
      </c>
      <c r="D1340" s="217" t="str">
        <f t="shared" si="103"/>
        <v>19</v>
      </c>
      <c r="E1340">
        <f t="shared" si="104"/>
        <v>2019</v>
      </c>
      <c r="F1340" s="217" t="str">
        <f t="shared" si="105"/>
        <v>1Q19</v>
      </c>
      <c r="G1340" s="218">
        <v>43511</v>
      </c>
      <c r="H1340" s="217">
        <v>3.7008000000000001</v>
      </c>
    </row>
    <row r="1341" spans="2:8">
      <c r="B1341" s="217" t="str">
        <f t="shared" si="102"/>
        <v>1Q</v>
      </c>
      <c r="C1341" s="217">
        <f t="shared" si="106"/>
        <v>2</v>
      </c>
      <c r="D1341" s="217" t="str">
        <f t="shared" si="103"/>
        <v>19</v>
      </c>
      <c r="E1341">
        <f t="shared" si="104"/>
        <v>2019</v>
      </c>
      <c r="F1341" s="217" t="str">
        <f t="shared" si="105"/>
        <v>1Q19</v>
      </c>
      <c r="G1341" s="218">
        <v>43514</v>
      </c>
      <c r="H1341" s="217">
        <v>3.7353000000000001</v>
      </c>
    </row>
    <row r="1342" spans="2:8">
      <c r="B1342" s="217" t="str">
        <f t="shared" si="102"/>
        <v>1Q</v>
      </c>
      <c r="C1342" s="217">
        <f t="shared" si="106"/>
        <v>2</v>
      </c>
      <c r="D1342" s="217" t="str">
        <f t="shared" si="103"/>
        <v>19</v>
      </c>
      <c r="E1342">
        <f t="shared" si="104"/>
        <v>2019</v>
      </c>
      <c r="F1342" s="217" t="str">
        <f t="shared" si="105"/>
        <v>1Q19</v>
      </c>
      <c r="G1342" s="218">
        <v>43515</v>
      </c>
      <c r="H1342" s="217">
        <v>3.7229999999999999</v>
      </c>
    </row>
    <row r="1343" spans="2:8">
      <c r="B1343" s="217" t="str">
        <f t="shared" si="102"/>
        <v>1Q</v>
      </c>
      <c r="C1343" s="217">
        <f t="shared" si="106"/>
        <v>2</v>
      </c>
      <c r="D1343" s="217" t="str">
        <f t="shared" si="103"/>
        <v>19</v>
      </c>
      <c r="E1343">
        <f t="shared" si="104"/>
        <v>2019</v>
      </c>
      <c r="F1343" s="217" t="str">
        <f t="shared" si="105"/>
        <v>1Q19</v>
      </c>
      <c r="G1343" s="218">
        <v>43516</v>
      </c>
      <c r="H1343" s="217">
        <v>3.7277</v>
      </c>
    </row>
    <row r="1344" spans="2:8">
      <c r="B1344" s="217" t="str">
        <f t="shared" si="102"/>
        <v>1Q</v>
      </c>
      <c r="C1344" s="217">
        <f t="shared" si="106"/>
        <v>2</v>
      </c>
      <c r="D1344" s="217" t="str">
        <f t="shared" si="103"/>
        <v>19</v>
      </c>
      <c r="E1344">
        <f t="shared" si="104"/>
        <v>2019</v>
      </c>
      <c r="F1344" s="217" t="str">
        <f t="shared" si="105"/>
        <v>1Q19</v>
      </c>
      <c r="G1344" s="218">
        <v>43517</v>
      </c>
      <c r="H1344" s="217">
        <v>3.7694999999999999</v>
      </c>
    </row>
    <row r="1345" spans="2:8">
      <c r="B1345" s="217" t="str">
        <f t="shared" si="102"/>
        <v>1Q</v>
      </c>
      <c r="C1345" s="217">
        <f t="shared" si="106"/>
        <v>2</v>
      </c>
      <c r="D1345" s="217" t="str">
        <f t="shared" si="103"/>
        <v>19</v>
      </c>
      <c r="E1345">
        <f t="shared" si="104"/>
        <v>2019</v>
      </c>
      <c r="F1345" s="217" t="str">
        <f t="shared" si="105"/>
        <v>1Q19</v>
      </c>
      <c r="G1345" s="218">
        <v>43518</v>
      </c>
      <c r="H1345" s="217">
        <v>3.7484999999999999</v>
      </c>
    </row>
    <row r="1346" spans="2:8">
      <c r="B1346" s="217" t="str">
        <f t="shared" si="102"/>
        <v>1Q</v>
      </c>
      <c r="C1346" s="217">
        <f t="shared" si="106"/>
        <v>2</v>
      </c>
      <c r="D1346" s="217" t="str">
        <f t="shared" si="103"/>
        <v>19</v>
      </c>
      <c r="E1346">
        <f t="shared" si="104"/>
        <v>2019</v>
      </c>
      <c r="F1346" s="217" t="str">
        <f t="shared" si="105"/>
        <v>1Q19</v>
      </c>
      <c r="G1346" s="218">
        <v>43521</v>
      </c>
      <c r="H1346" s="217">
        <v>3.7522000000000002</v>
      </c>
    </row>
    <row r="1347" spans="2:8">
      <c r="B1347" s="217" t="str">
        <f t="shared" ref="B1347:B1410" si="107">VLOOKUP(C1347,$N$3:$O$14,2,0)</f>
        <v>1Q</v>
      </c>
      <c r="C1347" s="217">
        <f t="shared" si="106"/>
        <v>2</v>
      </c>
      <c r="D1347" s="217" t="str">
        <f t="shared" ref="D1347:D1410" si="108">RIGHT(E1347,2)</f>
        <v>19</v>
      </c>
      <c r="E1347">
        <f t="shared" ref="E1347:E1410" si="109">YEAR(G1347)</f>
        <v>2019</v>
      </c>
      <c r="F1347" s="217" t="str">
        <f t="shared" ref="F1347:F1410" si="110">+B1347&amp;D1347</f>
        <v>1Q19</v>
      </c>
      <c r="G1347" s="218">
        <v>43522</v>
      </c>
      <c r="H1347" s="217">
        <v>3.7488999999999999</v>
      </c>
    </row>
    <row r="1348" spans="2:8">
      <c r="B1348" s="217" t="str">
        <f t="shared" si="107"/>
        <v>1Q</v>
      </c>
      <c r="C1348" s="217">
        <f t="shared" ref="C1348:C1411" si="111">MONTH(G1348)</f>
        <v>2</v>
      </c>
      <c r="D1348" s="217" t="str">
        <f t="shared" si="108"/>
        <v>19</v>
      </c>
      <c r="E1348">
        <f t="shared" si="109"/>
        <v>2019</v>
      </c>
      <c r="F1348" s="217" t="str">
        <f t="shared" si="110"/>
        <v>1Q19</v>
      </c>
      <c r="G1348" s="218">
        <v>43523</v>
      </c>
      <c r="H1348" s="217">
        <v>3.7286999999999999</v>
      </c>
    </row>
    <row r="1349" spans="2:8">
      <c r="B1349" s="217" t="str">
        <f t="shared" si="107"/>
        <v>1Q</v>
      </c>
      <c r="C1349" s="217">
        <f t="shared" si="111"/>
        <v>2</v>
      </c>
      <c r="D1349" s="217" t="str">
        <f t="shared" si="108"/>
        <v>19</v>
      </c>
      <c r="E1349">
        <f t="shared" si="109"/>
        <v>2019</v>
      </c>
      <c r="F1349" s="217" t="str">
        <f t="shared" si="110"/>
        <v>1Q19</v>
      </c>
      <c r="G1349" s="218">
        <v>43524</v>
      </c>
      <c r="H1349" s="217">
        <v>3.7513999999999998</v>
      </c>
    </row>
    <row r="1350" spans="2:8">
      <c r="B1350" s="217" t="str">
        <f t="shared" si="107"/>
        <v>1Q</v>
      </c>
      <c r="C1350" s="217">
        <f t="shared" si="111"/>
        <v>3</v>
      </c>
      <c r="D1350" s="217" t="str">
        <f t="shared" si="108"/>
        <v>19</v>
      </c>
      <c r="E1350">
        <f t="shared" si="109"/>
        <v>2019</v>
      </c>
      <c r="F1350" s="217" t="str">
        <f t="shared" si="110"/>
        <v>1Q19</v>
      </c>
      <c r="G1350" s="218">
        <v>43525</v>
      </c>
      <c r="H1350" s="217">
        <v>3.7751999999999999</v>
      </c>
    </row>
    <row r="1351" spans="2:8">
      <c r="B1351" s="217" t="str">
        <f t="shared" si="107"/>
        <v>1Q</v>
      </c>
      <c r="C1351" s="217">
        <f t="shared" si="111"/>
        <v>3</v>
      </c>
      <c r="D1351" s="217" t="str">
        <f t="shared" si="108"/>
        <v>19</v>
      </c>
      <c r="E1351">
        <f t="shared" si="109"/>
        <v>2019</v>
      </c>
      <c r="F1351" s="217" t="str">
        <f t="shared" si="110"/>
        <v>1Q19</v>
      </c>
      <c r="G1351" s="218">
        <v>43528</v>
      </c>
      <c r="H1351" s="217">
        <v>3.7755000000000001</v>
      </c>
    </row>
    <row r="1352" spans="2:8">
      <c r="B1352" s="217" t="str">
        <f t="shared" si="107"/>
        <v>1Q</v>
      </c>
      <c r="C1352" s="217">
        <f t="shared" si="111"/>
        <v>3</v>
      </c>
      <c r="D1352" s="217" t="str">
        <f t="shared" si="108"/>
        <v>19</v>
      </c>
      <c r="E1352">
        <f t="shared" si="109"/>
        <v>2019</v>
      </c>
      <c r="F1352" s="217" t="str">
        <f t="shared" si="110"/>
        <v>1Q19</v>
      </c>
      <c r="G1352" s="218">
        <v>43529</v>
      </c>
      <c r="H1352" s="217">
        <v>3.7755000000000001</v>
      </c>
    </row>
    <row r="1353" spans="2:8">
      <c r="B1353" s="217" t="str">
        <f t="shared" si="107"/>
        <v>1Q</v>
      </c>
      <c r="C1353" s="217">
        <f t="shared" si="111"/>
        <v>3</v>
      </c>
      <c r="D1353" s="217" t="str">
        <f t="shared" si="108"/>
        <v>19</v>
      </c>
      <c r="E1353">
        <f t="shared" si="109"/>
        <v>2019</v>
      </c>
      <c r="F1353" s="217" t="str">
        <f t="shared" si="110"/>
        <v>1Q19</v>
      </c>
      <c r="G1353" s="218">
        <v>43530</v>
      </c>
      <c r="H1353" s="217">
        <v>3.84</v>
      </c>
    </row>
    <row r="1354" spans="2:8">
      <c r="B1354" s="217" t="str">
        <f t="shared" si="107"/>
        <v>1Q</v>
      </c>
      <c r="C1354" s="217">
        <f t="shared" si="111"/>
        <v>3</v>
      </c>
      <c r="D1354" s="217" t="str">
        <f t="shared" si="108"/>
        <v>19</v>
      </c>
      <c r="E1354">
        <f t="shared" si="109"/>
        <v>2019</v>
      </c>
      <c r="F1354" s="217" t="str">
        <f t="shared" si="110"/>
        <v>1Q19</v>
      </c>
      <c r="G1354" s="218">
        <v>43531</v>
      </c>
      <c r="H1354" s="217">
        <v>3.8704000000000001</v>
      </c>
    </row>
    <row r="1355" spans="2:8">
      <c r="B1355" s="217" t="str">
        <f t="shared" si="107"/>
        <v>1Q</v>
      </c>
      <c r="C1355" s="217">
        <f t="shared" si="111"/>
        <v>3</v>
      </c>
      <c r="D1355" s="217" t="str">
        <f t="shared" si="108"/>
        <v>19</v>
      </c>
      <c r="E1355">
        <f t="shared" si="109"/>
        <v>2019</v>
      </c>
      <c r="F1355" s="217" t="str">
        <f t="shared" si="110"/>
        <v>1Q19</v>
      </c>
      <c r="G1355" s="218">
        <v>43532</v>
      </c>
      <c r="H1355" s="217">
        <v>3.8668999999999998</v>
      </c>
    </row>
    <row r="1356" spans="2:8">
      <c r="B1356" s="217" t="str">
        <f t="shared" si="107"/>
        <v>1Q</v>
      </c>
      <c r="C1356" s="217">
        <f t="shared" si="111"/>
        <v>3</v>
      </c>
      <c r="D1356" s="217" t="str">
        <f t="shared" si="108"/>
        <v>19</v>
      </c>
      <c r="E1356">
        <f t="shared" si="109"/>
        <v>2019</v>
      </c>
      <c r="F1356" s="217" t="str">
        <f t="shared" si="110"/>
        <v>1Q19</v>
      </c>
      <c r="G1356" s="218">
        <v>43535</v>
      </c>
      <c r="H1356" s="217">
        <v>3.8403</v>
      </c>
    </row>
    <row r="1357" spans="2:8">
      <c r="B1357" s="217" t="str">
        <f t="shared" si="107"/>
        <v>1Q</v>
      </c>
      <c r="C1357" s="217">
        <f t="shared" si="111"/>
        <v>3</v>
      </c>
      <c r="D1357" s="217" t="str">
        <f t="shared" si="108"/>
        <v>19</v>
      </c>
      <c r="E1357">
        <f t="shared" si="109"/>
        <v>2019</v>
      </c>
      <c r="F1357" s="217" t="str">
        <f t="shared" si="110"/>
        <v>1Q19</v>
      </c>
      <c r="G1357" s="218">
        <v>43536</v>
      </c>
      <c r="H1357" s="217">
        <v>3.8113999999999999</v>
      </c>
    </row>
    <row r="1358" spans="2:8">
      <c r="B1358" s="217" t="str">
        <f t="shared" si="107"/>
        <v>1Q</v>
      </c>
      <c r="C1358" s="217">
        <f t="shared" si="111"/>
        <v>3</v>
      </c>
      <c r="D1358" s="217" t="str">
        <f t="shared" si="108"/>
        <v>19</v>
      </c>
      <c r="E1358">
        <f t="shared" si="109"/>
        <v>2019</v>
      </c>
      <c r="F1358" s="217" t="str">
        <f t="shared" si="110"/>
        <v>1Q19</v>
      </c>
      <c r="G1358" s="218">
        <v>43537</v>
      </c>
      <c r="H1358" s="217">
        <v>3.8147000000000002</v>
      </c>
    </row>
    <row r="1359" spans="2:8">
      <c r="B1359" s="217" t="str">
        <f t="shared" si="107"/>
        <v>1Q</v>
      </c>
      <c r="C1359" s="217">
        <f t="shared" si="111"/>
        <v>3</v>
      </c>
      <c r="D1359" s="217" t="str">
        <f t="shared" si="108"/>
        <v>19</v>
      </c>
      <c r="E1359">
        <f t="shared" si="109"/>
        <v>2019</v>
      </c>
      <c r="F1359" s="217" t="str">
        <f t="shared" si="110"/>
        <v>1Q19</v>
      </c>
      <c r="G1359" s="218">
        <v>43538</v>
      </c>
      <c r="H1359" s="217">
        <v>3.8441999999999998</v>
      </c>
    </row>
    <row r="1360" spans="2:8">
      <c r="B1360" s="217" t="str">
        <f t="shared" si="107"/>
        <v>1Q</v>
      </c>
      <c r="C1360" s="217">
        <f t="shared" si="111"/>
        <v>3</v>
      </c>
      <c r="D1360" s="217" t="str">
        <f t="shared" si="108"/>
        <v>19</v>
      </c>
      <c r="E1360">
        <f t="shared" si="109"/>
        <v>2019</v>
      </c>
      <c r="F1360" s="217" t="str">
        <f t="shared" si="110"/>
        <v>1Q19</v>
      </c>
      <c r="G1360" s="218">
        <v>43539</v>
      </c>
      <c r="H1360" s="217">
        <v>3.8144</v>
      </c>
    </row>
    <row r="1361" spans="2:8">
      <c r="B1361" s="217" t="str">
        <f t="shared" si="107"/>
        <v>1Q</v>
      </c>
      <c r="C1361" s="217">
        <f t="shared" si="111"/>
        <v>3</v>
      </c>
      <c r="D1361" s="217" t="str">
        <f t="shared" si="108"/>
        <v>19</v>
      </c>
      <c r="E1361">
        <f t="shared" si="109"/>
        <v>2019</v>
      </c>
      <c r="F1361" s="217" t="str">
        <f t="shared" si="110"/>
        <v>1Q19</v>
      </c>
      <c r="G1361" s="218">
        <v>43542</v>
      </c>
      <c r="H1361" s="217">
        <v>3.7915000000000001</v>
      </c>
    </row>
    <row r="1362" spans="2:8">
      <c r="B1362" s="217" t="str">
        <f t="shared" si="107"/>
        <v>1Q</v>
      </c>
      <c r="C1362" s="217">
        <f t="shared" si="111"/>
        <v>3</v>
      </c>
      <c r="D1362" s="217" t="str">
        <f t="shared" si="108"/>
        <v>19</v>
      </c>
      <c r="E1362">
        <f t="shared" si="109"/>
        <v>2019</v>
      </c>
      <c r="F1362" s="217" t="str">
        <f t="shared" si="110"/>
        <v>1Q19</v>
      </c>
      <c r="G1362" s="218">
        <v>43543</v>
      </c>
      <c r="H1362" s="217">
        <v>3.7892000000000001</v>
      </c>
    </row>
    <row r="1363" spans="2:8">
      <c r="B1363" s="217" t="str">
        <f t="shared" si="107"/>
        <v>1Q</v>
      </c>
      <c r="C1363" s="217">
        <f t="shared" si="111"/>
        <v>3</v>
      </c>
      <c r="D1363" s="217" t="str">
        <f t="shared" si="108"/>
        <v>19</v>
      </c>
      <c r="E1363">
        <f t="shared" si="109"/>
        <v>2019</v>
      </c>
      <c r="F1363" s="217" t="str">
        <f t="shared" si="110"/>
        <v>1Q19</v>
      </c>
      <c r="G1363" s="218">
        <v>43544</v>
      </c>
      <c r="H1363" s="217">
        <v>3.7763</v>
      </c>
    </row>
    <row r="1364" spans="2:8">
      <c r="B1364" s="217" t="str">
        <f t="shared" si="107"/>
        <v>1Q</v>
      </c>
      <c r="C1364" s="217">
        <f t="shared" si="111"/>
        <v>3</v>
      </c>
      <c r="D1364" s="217" t="str">
        <f t="shared" si="108"/>
        <v>19</v>
      </c>
      <c r="E1364">
        <f t="shared" si="109"/>
        <v>2019</v>
      </c>
      <c r="F1364" s="217" t="str">
        <f t="shared" si="110"/>
        <v>1Q19</v>
      </c>
      <c r="G1364" s="218">
        <v>43545</v>
      </c>
      <c r="H1364" s="217">
        <v>3.7930000000000001</v>
      </c>
    </row>
    <row r="1365" spans="2:8">
      <c r="B1365" s="217" t="str">
        <f t="shared" si="107"/>
        <v>1Q</v>
      </c>
      <c r="C1365" s="217">
        <f t="shared" si="111"/>
        <v>3</v>
      </c>
      <c r="D1365" s="217" t="str">
        <f t="shared" si="108"/>
        <v>19</v>
      </c>
      <c r="E1365">
        <f t="shared" si="109"/>
        <v>2019</v>
      </c>
      <c r="F1365" s="217" t="str">
        <f t="shared" si="110"/>
        <v>1Q19</v>
      </c>
      <c r="G1365" s="218">
        <v>43546</v>
      </c>
      <c r="H1365" s="217">
        <v>3.9070999999999998</v>
      </c>
    </row>
    <row r="1366" spans="2:8">
      <c r="B1366" s="217" t="str">
        <f t="shared" si="107"/>
        <v>1Q</v>
      </c>
      <c r="C1366" s="217">
        <f t="shared" si="111"/>
        <v>3</v>
      </c>
      <c r="D1366" s="217" t="str">
        <f t="shared" si="108"/>
        <v>19</v>
      </c>
      <c r="E1366">
        <f t="shared" si="109"/>
        <v>2019</v>
      </c>
      <c r="F1366" s="217" t="str">
        <f t="shared" si="110"/>
        <v>1Q19</v>
      </c>
      <c r="G1366" s="218">
        <v>43549</v>
      </c>
      <c r="H1366" s="217">
        <v>3.8544</v>
      </c>
    </row>
    <row r="1367" spans="2:8">
      <c r="B1367" s="217" t="str">
        <f t="shared" si="107"/>
        <v>1Q</v>
      </c>
      <c r="C1367" s="217">
        <f t="shared" si="111"/>
        <v>3</v>
      </c>
      <c r="D1367" s="217" t="str">
        <f t="shared" si="108"/>
        <v>19</v>
      </c>
      <c r="E1367">
        <f t="shared" si="109"/>
        <v>2019</v>
      </c>
      <c r="F1367" s="217" t="str">
        <f t="shared" si="110"/>
        <v>1Q19</v>
      </c>
      <c r="G1367" s="218">
        <v>43550</v>
      </c>
      <c r="H1367" s="217">
        <v>3.8773</v>
      </c>
    </row>
    <row r="1368" spans="2:8">
      <c r="B1368" s="217" t="str">
        <f t="shared" si="107"/>
        <v>1Q</v>
      </c>
      <c r="C1368" s="217">
        <f t="shared" si="111"/>
        <v>3</v>
      </c>
      <c r="D1368" s="217" t="str">
        <f t="shared" si="108"/>
        <v>19</v>
      </c>
      <c r="E1368">
        <f t="shared" si="109"/>
        <v>2019</v>
      </c>
      <c r="F1368" s="217" t="str">
        <f t="shared" si="110"/>
        <v>1Q19</v>
      </c>
      <c r="G1368" s="218">
        <v>43551</v>
      </c>
      <c r="H1368" s="217">
        <v>3.9935</v>
      </c>
    </row>
    <row r="1369" spans="2:8">
      <c r="B1369" s="217" t="str">
        <f t="shared" si="107"/>
        <v>1Q</v>
      </c>
      <c r="C1369" s="217">
        <f t="shared" si="111"/>
        <v>3</v>
      </c>
      <c r="D1369" s="217" t="str">
        <f t="shared" si="108"/>
        <v>19</v>
      </c>
      <c r="E1369">
        <f t="shared" si="109"/>
        <v>2019</v>
      </c>
      <c r="F1369" s="217" t="str">
        <f t="shared" si="110"/>
        <v>1Q19</v>
      </c>
      <c r="G1369" s="218">
        <v>43552</v>
      </c>
      <c r="H1369" s="217">
        <v>3.9009999999999998</v>
      </c>
    </row>
    <row r="1370" spans="2:8">
      <c r="B1370" s="217" t="str">
        <f t="shared" si="107"/>
        <v>1Q</v>
      </c>
      <c r="C1370" s="217">
        <f t="shared" si="111"/>
        <v>3</v>
      </c>
      <c r="D1370" s="217" t="str">
        <f t="shared" si="108"/>
        <v>19</v>
      </c>
      <c r="E1370">
        <f t="shared" si="109"/>
        <v>2019</v>
      </c>
      <c r="F1370" s="217" t="str">
        <f t="shared" si="110"/>
        <v>1Q19</v>
      </c>
      <c r="G1370" s="218">
        <v>43553</v>
      </c>
      <c r="H1370" s="217">
        <v>3.9247000000000001</v>
      </c>
    </row>
    <row r="1371" spans="2:8">
      <c r="B1371" s="217" t="str">
        <f t="shared" si="107"/>
        <v>2Q</v>
      </c>
      <c r="C1371" s="217">
        <f t="shared" si="111"/>
        <v>4</v>
      </c>
      <c r="D1371" s="217" t="str">
        <f t="shared" si="108"/>
        <v>19</v>
      </c>
      <c r="E1371">
        <f t="shared" si="109"/>
        <v>2019</v>
      </c>
      <c r="F1371" s="217" t="str">
        <f t="shared" si="110"/>
        <v>2Q19</v>
      </c>
      <c r="G1371" s="218">
        <v>43556</v>
      </c>
      <c r="H1371" s="217">
        <v>3.8517999999999999</v>
      </c>
    </row>
    <row r="1372" spans="2:8">
      <c r="B1372" s="217" t="str">
        <f t="shared" si="107"/>
        <v>2Q</v>
      </c>
      <c r="C1372" s="217">
        <f t="shared" si="111"/>
        <v>4</v>
      </c>
      <c r="D1372" s="217" t="str">
        <f t="shared" si="108"/>
        <v>19</v>
      </c>
      <c r="E1372">
        <f t="shared" si="109"/>
        <v>2019</v>
      </c>
      <c r="F1372" s="217" t="str">
        <f t="shared" si="110"/>
        <v>2Q19</v>
      </c>
      <c r="G1372" s="218">
        <v>43557</v>
      </c>
      <c r="H1372" s="217">
        <v>3.8536999999999999</v>
      </c>
    </row>
    <row r="1373" spans="2:8">
      <c r="B1373" s="217" t="str">
        <f t="shared" si="107"/>
        <v>2Q</v>
      </c>
      <c r="C1373" s="217">
        <f t="shared" si="111"/>
        <v>4</v>
      </c>
      <c r="D1373" s="217" t="str">
        <f t="shared" si="108"/>
        <v>19</v>
      </c>
      <c r="E1373">
        <f t="shared" si="109"/>
        <v>2019</v>
      </c>
      <c r="F1373" s="217" t="str">
        <f t="shared" si="110"/>
        <v>2Q19</v>
      </c>
      <c r="G1373" s="218">
        <v>43558</v>
      </c>
      <c r="H1373" s="217">
        <v>3.87</v>
      </c>
    </row>
    <row r="1374" spans="2:8">
      <c r="B1374" s="217" t="str">
        <f t="shared" si="107"/>
        <v>2Q</v>
      </c>
      <c r="C1374" s="217">
        <f t="shared" si="111"/>
        <v>4</v>
      </c>
      <c r="D1374" s="217" t="str">
        <f t="shared" si="108"/>
        <v>19</v>
      </c>
      <c r="E1374">
        <f t="shared" si="109"/>
        <v>2019</v>
      </c>
      <c r="F1374" s="217" t="str">
        <f t="shared" si="110"/>
        <v>2Q19</v>
      </c>
      <c r="G1374" s="218">
        <v>43559</v>
      </c>
      <c r="H1374" s="217">
        <v>3.859</v>
      </c>
    </row>
    <row r="1375" spans="2:8">
      <c r="B1375" s="217" t="str">
        <f t="shared" si="107"/>
        <v>2Q</v>
      </c>
      <c r="C1375" s="217">
        <f t="shared" si="111"/>
        <v>4</v>
      </c>
      <c r="D1375" s="217" t="str">
        <f t="shared" si="108"/>
        <v>19</v>
      </c>
      <c r="E1375">
        <f t="shared" si="109"/>
        <v>2019</v>
      </c>
      <c r="F1375" s="217" t="str">
        <f t="shared" si="110"/>
        <v>2Q19</v>
      </c>
      <c r="G1375" s="218">
        <v>43560</v>
      </c>
      <c r="H1375" s="217">
        <v>3.8734999999999999</v>
      </c>
    </row>
    <row r="1376" spans="2:8">
      <c r="B1376" s="217" t="str">
        <f t="shared" si="107"/>
        <v>2Q</v>
      </c>
      <c r="C1376" s="217">
        <f t="shared" si="111"/>
        <v>4</v>
      </c>
      <c r="D1376" s="217" t="str">
        <f t="shared" si="108"/>
        <v>19</v>
      </c>
      <c r="E1376">
        <f t="shared" si="109"/>
        <v>2019</v>
      </c>
      <c r="F1376" s="217" t="str">
        <f t="shared" si="110"/>
        <v>2Q19</v>
      </c>
      <c r="G1376" s="218">
        <v>43563</v>
      </c>
      <c r="H1376" s="217">
        <v>3.8494999999999999</v>
      </c>
    </row>
    <row r="1377" spans="2:8">
      <c r="B1377" s="217" t="str">
        <f t="shared" si="107"/>
        <v>2Q</v>
      </c>
      <c r="C1377" s="217">
        <f t="shared" si="111"/>
        <v>4</v>
      </c>
      <c r="D1377" s="217" t="str">
        <f t="shared" si="108"/>
        <v>19</v>
      </c>
      <c r="E1377">
        <f t="shared" si="109"/>
        <v>2019</v>
      </c>
      <c r="F1377" s="217" t="str">
        <f t="shared" si="110"/>
        <v>2Q19</v>
      </c>
      <c r="G1377" s="218">
        <v>43564</v>
      </c>
      <c r="H1377" s="217">
        <v>3.851</v>
      </c>
    </row>
    <row r="1378" spans="2:8">
      <c r="B1378" s="217" t="str">
        <f t="shared" si="107"/>
        <v>2Q</v>
      </c>
      <c r="C1378" s="217">
        <f t="shared" si="111"/>
        <v>4</v>
      </c>
      <c r="D1378" s="217" t="str">
        <f t="shared" si="108"/>
        <v>19</v>
      </c>
      <c r="E1378">
        <f t="shared" si="109"/>
        <v>2019</v>
      </c>
      <c r="F1378" s="217" t="str">
        <f t="shared" si="110"/>
        <v>2Q19</v>
      </c>
      <c r="G1378" s="218">
        <v>43565</v>
      </c>
      <c r="H1378" s="217">
        <v>3.8250999999999999</v>
      </c>
    </row>
    <row r="1379" spans="2:8">
      <c r="B1379" s="217" t="str">
        <f t="shared" si="107"/>
        <v>2Q</v>
      </c>
      <c r="C1379" s="217">
        <f t="shared" si="111"/>
        <v>4</v>
      </c>
      <c r="D1379" s="217" t="str">
        <f t="shared" si="108"/>
        <v>19</v>
      </c>
      <c r="E1379">
        <f t="shared" si="109"/>
        <v>2019</v>
      </c>
      <c r="F1379" s="217" t="str">
        <f t="shared" si="110"/>
        <v>2Q19</v>
      </c>
      <c r="G1379" s="218">
        <v>43566</v>
      </c>
      <c r="H1379" s="217">
        <v>3.8582000000000001</v>
      </c>
    </row>
    <row r="1380" spans="2:8">
      <c r="B1380" s="217" t="str">
        <f t="shared" si="107"/>
        <v>2Q</v>
      </c>
      <c r="C1380" s="217">
        <f t="shared" si="111"/>
        <v>4</v>
      </c>
      <c r="D1380" s="217" t="str">
        <f t="shared" si="108"/>
        <v>19</v>
      </c>
      <c r="E1380">
        <f t="shared" si="109"/>
        <v>2019</v>
      </c>
      <c r="F1380" s="217" t="str">
        <f t="shared" si="110"/>
        <v>2Q19</v>
      </c>
      <c r="G1380" s="218">
        <v>43567</v>
      </c>
      <c r="H1380" s="217">
        <v>3.8818999999999999</v>
      </c>
    </row>
    <row r="1381" spans="2:8">
      <c r="B1381" s="217" t="str">
        <f t="shared" si="107"/>
        <v>2Q</v>
      </c>
      <c r="C1381" s="217">
        <f t="shared" si="111"/>
        <v>4</v>
      </c>
      <c r="D1381" s="217" t="str">
        <f t="shared" si="108"/>
        <v>19</v>
      </c>
      <c r="E1381">
        <f t="shared" si="109"/>
        <v>2019</v>
      </c>
      <c r="F1381" s="217" t="str">
        <f t="shared" si="110"/>
        <v>2Q19</v>
      </c>
      <c r="G1381" s="218">
        <v>43570</v>
      </c>
      <c r="H1381" s="217">
        <v>3.8723000000000001</v>
      </c>
    </row>
    <row r="1382" spans="2:8">
      <c r="B1382" s="217" t="str">
        <f t="shared" si="107"/>
        <v>2Q</v>
      </c>
      <c r="C1382" s="217">
        <f t="shared" si="111"/>
        <v>4</v>
      </c>
      <c r="D1382" s="217" t="str">
        <f t="shared" si="108"/>
        <v>19</v>
      </c>
      <c r="E1382">
        <f t="shared" si="109"/>
        <v>2019</v>
      </c>
      <c r="F1382" s="217" t="str">
        <f t="shared" si="110"/>
        <v>2Q19</v>
      </c>
      <c r="G1382" s="218">
        <v>43571</v>
      </c>
      <c r="H1382" s="217">
        <v>3.9039999999999999</v>
      </c>
    </row>
    <row r="1383" spans="2:8">
      <c r="B1383" s="217" t="str">
        <f t="shared" si="107"/>
        <v>2Q</v>
      </c>
      <c r="C1383" s="217">
        <f t="shared" si="111"/>
        <v>4</v>
      </c>
      <c r="D1383" s="217" t="str">
        <f t="shared" si="108"/>
        <v>19</v>
      </c>
      <c r="E1383">
        <f t="shared" si="109"/>
        <v>2019</v>
      </c>
      <c r="F1383" s="217" t="str">
        <f t="shared" si="110"/>
        <v>2Q19</v>
      </c>
      <c r="G1383" s="218">
        <v>43572</v>
      </c>
      <c r="H1383" s="217">
        <v>3.9382000000000001</v>
      </c>
    </row>
    <row r="1384" spans="2:8">
      <c r="B1384" s="217" t="str">
        <f t="shared" si="107"/>
        <v>2Q</v>
      </c>
      <c r="C1384" s="217">
        <f t="shared" si="111"/>
        <v>4</v>
      </c>
      <c r="D1384" s="217" t="str">
        <f t="shared" si="108"/>
        <v>19</v>
      </c>
      <c r="E1384">
        <f t="shared" si="109"/>
        <v>2019</v>
      </c>
      <c r="F1384" s="217" t="str">
        <f t="shared" si="110"/>
        <v>2Q19</v>
      </c>
      <c r="G1384" s="218">
        <v>43573</v>
      </c>
      <c r="H1384" s="217">
        <v>3.9272999999999998</v>
      </c>
    </row>
    <row r="1385" spans="2:8">
      <c r="B1385" s="217" t="str">
        <f t="shared" si="107"/>
        <v>2Q</v>
      </c>
      <c r="C1385" s="217">
        <f t="shared" si="111"/>
        <v>4</v>
      </c>
      <c r="D1385" s="217" t="str">
        <f t="shared" si="108"/>
        <v>19</v>
      </c>
      <c r="E1385">
        <f t="shared" si="109"/>
        <v>2019</v>
      </c>
      <c r="F1385" s="217" t="str">
        <f t="shared" si="110"/>
        <v>2Q19</v>
      </c>
      <c r="G1385" s="218">
        <v>43574</v>
      </c>
      <c r="H1385" s="217">
        <v>3.9275000000000002</v>
      </c>
    </row>
    <row r="1386" spans="2:8">
      <c r="B1386" s="217" t="str">
        <f t="shared" si="107"/>
        <v>2Q</v>
      </c>
      <c r="C1386" s="217">
        <f t="shared" si="111"/>
        <v>4</v>
      </c>
      <c r="D1386" s="217" t="str">
        <f t="shared" si="108"/>
        <v>19</v>
      </c>
      <c r="E1386">
        <f t="shared" si="109"/>
        <v>2019</v>
      </c>
      <c r="F1386" s="217" t="str">
        <f t="shared" si="110"/>
        <v>2Q19</v>
      </c>
      <c r="G1386" s="218">
        <v>43577</v>
      </c>
      <c r="H1386" s="217">
        <v>3.9365000000000001</v>
      </c>
    </row>
    <row r="1387" spans="2:8">
      <c r="B1387" s="217" t="str">
        <f t="shared" si="107"/>
        <v>2Q</v>
      </c>
      <c r="C1387" s="217">
        <f t="shared" si="111"/>
        <v>4</v>
      </c>
      <c r="D1387" s="217" t="str">
        <f t="shared" si="108"/>
        <v>19</v>
      </c>
      <c r="E1387">
        <f t="shared" si="109"/>
        <v>2019</v>
      </c>
      <c r="F1387" s="217" t="str">
        <f t="shared" si="110"/>
        <v>2Q19</v>
      </c>
      <c r="G1387" s="218">
        <v>43578</v>
      </c>
      <c r="H1387" s="217">
        <v>3.9211</v>
      </c>
    </row>
    <row r="1388" spans="2:8">
      <c r="B1388" s="217" t="str">
        <f t="shared" si="107"/>
        <v>2Q</v>
      </c>
      <c r="C1388" s="217">
        <f t="shared" si="111"/>
        <v>4</v>
      </c>
      <c r="D1388" s="217" t="str">
        <f t="shared" si="108"/>
        <v>19</v>
      </c>
      <c r="E1388">
        <f t="shared" si="109"/>
        <v>2019</v>
      </c>
      <c r="F1388" s="217" t="str">
        <f t="shared" si="110"/>
        <v>2Q19</v>
      </c>
      <c r="G1388" s="218">
        <v>43579</v>
      </c>
      <c r="H1388" s="217">
        <v>3.9927000000000001</v>
      </c>
    </row>
    <row r="1389" spans="2:8">
      <c r="B1389" s="217" t="str">
        <f t="shared" si="107"/>
        <v>2Q</v>
      </c>
      <c r="C1389" s="217">
        <f t="shared" si="111"/>
        <v>4</v>
      </c>
      <c r="D1389" s="217" t="str">
        <f t="shared" si="108"/>
        <v>19</v>
      </c>
      <c r="E1389">
        <f t="shared" si="109"/>
        <v>2019</v>
      </c>
      <c r="F1389" s="217" t="str">
        <f t="shared" si="110"/>
        <v>2Q19</v>
      </c>
      <c r="G1389" s="218">
        <v>43580</v>
      </c>
      <c r="H1389" s="217">
        <v>3.9542000000000002</v>
      </c>
    </row>
    <row r="1390" spans="2:8">
      <c r="B1390" s="217" t="str">
        <f t="shared" si="107"/>
        <v>2Q</v>
      </c>
      <c r="C1390" s="217">
        <f t="shared" si="111"/>
        <v>4</v>
      </c>
      <c r="D1390" s="217" t="str">
        <f t="shared" si="108"/>
        <v>19</v>
      </c>
      <c r="E1390">
        <f t="shared" si="109"/>
        <v>2019</v>
      </c>
      <c r="F1390" s="217" t="str">
        <f t="shared" si="110"/>
        <v>2Q19</v>
      </c>
      <c r="G1390" s="218">
        <v>43581</v>
      </c>
      <c r="H1390" s="217">
        <v>3.9291999999999998</v>
      </c>
    </row>
    <row r="1391" spans="2:8">
      <c r="B1391" s="217" t="str">
        <f t="shared" si="107"/>
        <v>2Q</v>
      </c>
      <c r="C1391" s="217">
        <f t="shared" si="111"/>
        <v>4</v>
      </c>
      <c r="D1391" s="217" t="str">
        <f t="shared" si="108"/>
        <v>19</v>
      </c>
      <c r="E1391">
        <f t="shared" si="109"/>
        <v>2019</v>
      </c>
      <c r="F1391" s="217" t="str">
        <f t="shared" si="110"/>
        <v>2Q19</v>
      </c>
      <c r="G1391" s="218">
        <v>43584</v>
      </c>
      <c r="H1391" s="217">
        <v>3.9456000000000002</v>
      </c>
    </row>
    <row r="1392" spans="2:8">
      <c r="B1392" s="217" t="str">
        <f t="shared" si="107"/>
        <v>2Q</v>
      </c>
      <c r="C1392" s="217">
        <f t="shared" si="111"/>
        <v>4</v>
      </c>
      <c r="D1392" s="217" t="str">
        <f t="shared" si="108"/>
        <v>19</v>
      </c>
      <c r="E1392">
        <f t="shared" si="109"/>
        <v>2019</v>
      </c>
      <c r="F1392" s="217" t="str">
        <f t="shared" si="110"/>
        <v>2Q19</v>
      </c>
      <c r="G1392" s="218">
        <v>43585</v>
      </c>
      <c r="H1392" s="217">
        <v>3.9215</v>
      </c>
    </row>
    <row r="1393" spans="2:8">
      <c r="B1393" s="217" t="str">
        <f t="shared" si="107"/>
        <v>2Q</v>
      </c>
      <c r="C1393" s="217">
        <f t="shared" si="111"/>
        <v>5</v>
      </c>
      <c r="D1393" s="217" t="str">
        <f t="shared" si="108"/>
        <v>19</v>
      </c>
      <c r="E1393">
        <f t="shared" si="109"/>
        <v>2019</v>
      </c>
      <c r="F1393" s="217" t="str">
        <f t="shared" si="110"/>
        <v>2Q19</v>
      </c>
      <c r="G1393" s="218">
        <v>43586</v>
      </c>
      <c r="H1393" s="217">
        <v>3.9201999999999999</v>
      </c>
    </row>
    <row r="1394" spans="2:8">
      <c r="B1394" s="217" t="str">
        <f t="shared" si="107"/>
        <v>2Q</v>
      </c>
      <c r="C1394" s="217">
        <f t="shared" si="111"/>
        <v>5</v>
      </c>
      <c r="D1394" s="217" t="str">
        <f t="shared" si="108"/>
        <v>19</v>
      </c>
      <c r="E1394">
        <f t="shared" si="109"/>
        <v>2019</v>
      </c>
      <c r="F1394" s="217" t="str">
        <f t="shared" si="110"/>
        <v>2Q19</v>
      </c>
      <c r="G1394" s="218">
        <v>43587</v>
      </c>
      <c r="H1394" s="217">
        <v>3.9661</v>
      </c>
    </row>
    <row r="1395" spans="2:8">
      <c r="B1395" s="217" t="str">
        <f t="shared" si="107"/>
        <v>2Q</v>
      </c>
      <c r="C1395" s="217">
        <f t="shared" si="111"/>
        <v>5</v>
      </c>
      <c r="D1395" s="217" t="str">
        <f t="shared" si="108"/>
        <v>19</v>
      </c>
      <c r="E1395">
        <f t="shared" si="109"/>
        <v>2019</v>
      </c>
      <c r="F1395" s="217" t="str">
        <f t="shared" si="110"/>
        <v>2Q19</v>
      </c>
      <c r="G1395" s="218">
        <v>43588</v>
      </c>
      <c r="H1395" s="217">
        <v>3.9382000000000001</v>
      </c>
    </row>
    <row r="1396" spans="2:8">
      <c r="B1396" s="217" t="str">
        <f t="shared" si="107"/>
        <v>2Q</v>
      </c>
      <c r="C1396" s="217">
        <f t="shared" si="111"/>
        <v>5</v>
      </c>
      <c r="D1396" s="217" t="str">
        <f t="shared" si="108"/>
        <v>19</v>
      </c>
      <c r="E1396">
        <f t="shared" si="109"/>
        <v>2019</v>
      </c>
      <c r="F1396" s="217" t="str">
        <f t="shared" si="110"/>
        <v>2Q19</v>
      </c>
      <c r="G1396" s="218">
        <v>43591</v>
      </c>
      <c r="H1396" s="217">
        <v>3.9695</v>
      </c>
    </row>
    <row r="1397" spans="2:8">
      <c r="B1397" s="217" t="str">
        <f t="shared" si="107"/>
        <v>2Q</v>
      </c>
      <c r="C1397" s="217">
        <f t="shared" si="111"/>
        <v>5</v>
      </c>
      <c r="D1397" s="217" t="str">
        <f t="shared" si="108"/>
        <v>19</v>
      </c>
      <c r="E1397">
        <f t="shared" si="109"/>
        <v>2019</v>
      </c>
      <c r="F1397" s="217" t="str">
        <f t="shared" si="110"/>
        <v>2Q19</v>
      </c>
      <c r="G1397" s="218">
        <v>43592</v>
      </c>
      <c r="H1397" s="217">
        <v>3.9710000000000001</v>
      </c>
    </row>
    <row r="1398" spans="2:8">
      <c r="B1398" s="217" t="str">
        <f t="shared" si="107"/>
        <v>2Q</v>
      </c>
      <c r="C1398" s="217">
        <f t="shared" si="111"/>
        <v>5</v>
      </c>
      <c r="D1398" s="217" t="str">
        <f t="shared" si="108"/>
        <v>19</v>
      </c>
      <c r="E1398">
        <f t="shared" si="109"/>
        <v>2019</v>
      </c>
      <c r="F1398" s="217" t="str">
        <f t="shared" si="110"/>
        <v>2Q19</v>
      </c>
      <c r="G1398" s="218">
        <v>43593</v>
      </c>
      <c r="H1398" s="217">
        <v>3.9285000000000001</v>
      </c>
    </row>
    <row r="1399" spans="2:8">
      <c r="B1399" s="217" t="str">
        <f t="shared" si="107"/>
        <v>2Q</v>
      </c>
      <c r="C1399" s="217">
        <f t="shared" si="111"/>
        <v>5</v>
      </c>
      <c r="D1399" s="217" t="str">
        <f t="shared" si="108"/>
        <v>19</v>
      </c>
      <c r="E1399">
        <f t="shared" si="109"/>
        <v>2019</v>
      </c>
      <c r="F1399" s="217" t="str">
        <f t="shared" si="110"/>
        <v>2Q19</v>
      </c>
      <c r="G1399" s="218">
        <v>43594</v>
      </c>
      <c r="H1399" s="217">
        <v>3.9466000000000001</v>
      </c>
    </row>
    <row r="1400" spans="2:8">
      <c r="B1400" s="217" t="str">
        <f t="shared" si="107"/>
        <v>2Q</v>
      </c>
      <c r="C1400" s="217">
        <f t="shared" si="111"/>
        <v>5</v>
      </c>
      <c r="D1400" s="217" t="str">
        <f t="shared" si="108"/>
        <v>19</v>
      </c>
      <c r="E1400">
        <f t="shared" si="109"/>
        <v>2019</v>
      </c>
      <c r="F1400" s="217" t="str">
        <f t="shared" si="110"/>
        <v>2Q19</v>
      </c>
      <c r="G1400" s="218">
        <v>43595</v>
      </c>
      <c r="H1400" s="217">
        <v>3.9571999999999998</v>
      </c>
    </row>
    <row r="1401" spans="2:8">
      <c r="B1401" s="217" t="str">
        <f t="shared" si="107"/>
        <v>2Q</v>
      </c>
      <c r="C1401" s="217">
        <f t="shared" si="111"/>
        <v>5</v>
      </c>
      <c r="D1401" s="217" t="str">
        <f t="shared" si="108"/>
        <v>19</v>
      </c>
      <c r="E1401">
        <f t="shared" si="109"/>
        <v>2019</v>
      </c>
      <c r="F1401" s="217" t="str">
        <f t="shared" si="110"/>
        <v>2Q19</v>
      </c>
      <c r="G1401" s="218">
        <v>43598</v>
      </c>
      <c r="H1401" s="217">
        <v>3.9939</v>
      </c>
    </row>
    <row r="1402" spans="2:8">
      <c r="B1402" s="217" t="str">
        <f t="shared" si="107"/>
        <v>2Q</v>
      </c>
      <c r="C1402" s="217">
        <f t="shared" si="111"/>
        <v>5</v>
      </c>
      <c r="D1402" s="217" t="str">
        <f t="shared" si="108"/>
        <v>19</v>
      </c>
      <c r="E1402">
        <f t="shared" si="109"/>
        <v>2019</v>
      </c>
      <c r="F1402" s="217" t="str">
        <f t="shared" si="110"/>
        <v>2Q19</v>
      </c>
      <c r="G1402" s="218">
        <v>43599</v>
      </c>
      <c r="H1402" s="217">
        <v>3.9750999999999999</v>
      </c>
    </row>
    <row r="1403" spans="2:8">
      <c r="B1403" s="217" t="str">
        <f t="shared" si="107"/>
        <v>2Q</v>
      </c>
      <c r="C1403" s="217">
        <f t="shared" si="111"/>
        <v>5</v>
      </c>
      <c r="D1403" s="217" t="str">
        <f t="shared" si="108"/>
        <v>19</v>
      </c>
      <c r="E1403">
        <f t="shared" si="109"/>
        <v>2019</v>
      </c>
      <c r="F1403" s="217" t="str">
        <f t="shared" si="110"/>
        <v>2Q19</v>
      </c>
      <c r="G1403" s="218">
        <v>43600</v>
      </c>
      <c r="H1403" s="217">
        <v>4.0016999999999996</v>
      </c>
    </row>
    <row r="1404" spans="2:8">
      <c r="B1404" s="217" t="str">
        <f t="shared" si="107"/>
        <v>2Q</v>
      </c>
      <c r="C1404" s="217">
        <f t="shared" si="111"/>
        <v>5</v>
      </c>
      <c r="D1404" s="217" t="str">
        <f t="shared" si="108"/>
        <v>19</v>
      </c>
      <c r="E1404">
        <f t="shared" si="109"/>
        <v>2019</v>
      </c>
      <c r="F1404" s="217" t="str">
        <f t="shared" si="110"/>
        <v>2Q19</v>
      </c>
      <c r="G1404" s="218">
        <v>43601</v>
      </c>
      <c r="H1404" s="217">
        <v>4.0469999999999997</v>
      </c>
    </row>
    <row r="1405" spans="2:8">
      <c r="B1405" s="217" t="str">
        <f t="shared" si="107"/>
        <v>2Q</v>
      </c>
      <c r="C1405" s="217">
        <f t="shared" si="111"/>
        <v>5</v>
      </c>
      <c r="D1405" s="217" t="str">
        <f t="shared" si="108"/>
        <v>19</v>
      </c>
      <c r="E1405">
        <f t="shared" si="109"/>
        <v>2019</v>
      </c>
      <c r="F1405" s="217" t="str">
        <f t="shared" si="110"/>
        <v>2Q19</v>
      </c>
      <c r="G1405" s="218">
        <v>43602</v>
      </c>
      <c r="H1405" s="217">
        <v>4.0998999999999999</v>
      </c>
    </row>
    <row r="1406" spans="2:8">
      <c r="B1406" s="217" t="str">
        <f t="shared" si="107"/>
        <v>2Q</v>
      </c>
      <c r="C1406" s="217">
        <f t="shared" si="111"/>
        <v>5</v>
      </c>
      <c r="D1406" s="217" t="str">
        <f t="shared" si="108"/>
        <v>19</v>
      </c>
      <c r="E1406">
        <f t="shared" si="109"/>
        <v>2019</v>
      </c>
      <c r="F1406" s="217" t="str">
        <f t="shared" si="110"/>
        <v>2Q19</v>
      </c>
      <c r="G1406" s="218">
        <v>43605</v>
      </c>
      <c r="H1406" s="217">
        <v>4.0968</v>
      </c>
    </row>
    <row r="1407" spans="2:8">
      <c r="B1407" s="217" t="str">
        <f t="shared" si="107"/>
        <v>2Q</v>
      </c>
      <c r="C1407" s="217">
        <f t="shared" si="111"/>
        <v>5</v>
      </c>
      <c r="D1407" s="217" t="str">
        <f t="shared" si="108"/>
        <v>19</v>
      </c>
      <c r="E1407">
        <f t="shared" si="109"/>
        <v>2019</v>
      </c>
      <c r="F1407" s="217" t="str">
        <f t="shared" si="110"/>
        <v>2Q19</v>
      </c>
      <c r="G1407" s="218">
        <v>43606</v>
      </c>
      <c r="H1407" s="217">
        <v>4.0389999999999997</v>
      </c>
    </row>
    <row r="1408" spans="2:8">
      <c r="B1408" s="217" t="str">
        <f t="shared" si="107"/>
        <v>2Q</v>
      </c>
      <c r="C1408" s="217">
        <f t="shared" si="111"/>
        <v>5</v>
      </c>
      <c r="D1408" s="217" t="str">
        <f t="shared" si="108"/>
        <v>19</v>
      </c>
      <c r="E1408">
        <f t="shared" si="109"/>
        <v>2019</v>
      </c>
      <c r="F1408" s="217" t="str">
        <f t="shared" si="110"/>
        <v>2Q19</v>
      </c>
      <c r="G1408" s="218">
        <v>43607</v>
      </c>
      <c r="H1408" s="217">
        <v>4.0403000000000002</v>
      </c>
    </row>
    <row r="1409" spans="2:8">
      <c r="B1409" s="217" t="str">
        <f t="shared" si="107"/>
        <v>2Q</v>
      </c>
      <c r="C1409" s="217">
        <f t="shared" si="111"/>
        <v>5</v>
      </c>
      <c r="D1409" s="217" t="str">
        <f t="shared" si="108"/>
        <v>19</v>
      </c>
      <c r="E1409">
        <f t="shared" si="109"/>
        <v>2019</v>
      </c>
      <c r="F1409" s="217" t="str">
        <f t="shared" si="110"/>
        <v>2Q19</v>
      </c>
      <c r="G1409" s="218">
        <v>43608</v>
      </c>
      <c r="H1409" s="217">
        <v>4.0400999999999998</v>
      </c>
    </row>
    <row r="1410" spans="2:8">
      <c r="B1410" s="217" t="str">
        <f t="shared" si="107"/>
        <v>2Q</v>
      </c>
      <c r="C1410" s="217">
        <f t="shared" si="111"/>
        <v>5</v>
      </c>
      <c r="D1410" s="217" t="str">
        <f t="shared" si="108"/>
        <v>19</v>
      </c>
      <c r="E1410">
        <f t="shared" si="109"/>
        <v>2019</v>
      </c>
      <c r="F1410" s="217" t="str">
        <f t="shared" si="110"/>
        <v>2Q19</v>
      </c>
      <c r="G1410" s="218">
        <v>43609</v>
      </c>
      <c r="H1410" s="217">
        <v>4.0225</v>
      </c>
    </row>
    <row r="1411" spans="2:8">
      <c r="B1411" s="217" t="str">
        <f t="shared" ref="B1411:B1474" si="112">VLOOKUP(C1411,$N$3:$O$14,2,0)</f>
        <v>2Q</v>
      </c>
      <c r="C1411" s="217">
        <f t="shared" si="111"/>
        <v>5</v>
      </c>
      <c r="D1411" s="217" t="str">
        <f t="shared" ref="D1411:D1474" si="113">RIGHT(E1411,2)</f>
        <v>19</v>
      </c>
      <c r="E1411">
        <f t="shared" ref="E1411:E1474" si="114">YEAR(G1411)</f>
        <v>2019</v>
      </c>
      <c r="F1411" s="217" t="str">
        <f t="shared" ref="F1411:F1474" si="115">+B1411&amp;D1411</f>
        <v>2Q19</v>
      </c>
      <c r="G1411" s="218">
        <v>43612</v>
      </c>
      <c r="H1411" s="217">
        <v>4.0423</v>
      </c>
    </row>
    <row r="1412" spans="2:8">
      <c r="B1412" s="217" t="str">
        <f t="shared" si="112"/>
        <v>2Q</v>
      </c>
      <c r="C1412" s="217">
        <f t="shared" ref="C1412:C1475" si="116">MONTH(G1412)</f>
        <v>5</v>
      </c>
      <c r="D1412" s="217" t="str">
        <f t="shared" si="113"/>
        <v>19</v>
      </c>
      <c r="E1412">
        <f t="shared" si="114"/>
        <v>2019</v>
      </c>
      <c r="F1412" s="217" t="str">
        <f t="shared" si="115"/>
        <v>2Q19</v>
      </c>
      <c r="G1412" s="218">
        <v>43613</v>
      </c>
      <c r="H1412" s="217">
        <v>4.0247000000000002</v>
      </c>
    </row>
    <row r="1413" spans="2:8">
      <c r="B1413" s="217" t="str">
        <f t="shared" si="112"/>
        <v>2Q</v>
      </c>
      <c r="C1413" s="217">
        <f t="shared" si="116"/>
        <v>5</v>
      </c>
      <c r="D1413" s="217" t="str">
        <f t="shared" si="113"/>
        <v>19</v>
      </c>
      <c r="E1413">
        <f t="shared" si="114"/>
        <v>2019</v>
      </c>
      <c r="F1413" s="217" t="str">
        <f t="shared" si="115"/>
        <v>2Q19</v>
      </c>
      <c r="G1413" s="218">
        <v>43614</v>
      </c>
      <c r="H1413" s="217">
        <v>3.9746999999999999</v>
      </c>
    </row>
    <row r="1414" spans="2:8">
      <c r="B1414" s="217" t="str">
        <f t="shared" si="112"/>
        <v>2Q</v>
      </c>
      <c r="C1414" s="217">
        <f t="shared" si="116"/>
        <v>5</v>
      </c>
      <c r="D1414" s="217" t="str">
        <f t="shared" si="113"/>
        <v>19</v>
      </c>
      <c r="E1414">
        <f t="shared" si="114"/>
        <v>2019</v>
      </c>
      <c r="F1414" s="217" t="str">
        <f t="shared" si="115"/>
        <v>2Q19</v>
      </c>
      <c r="G1414" s="218">
        <v>43615</v>
      </c>
      <c r="H1414" s="217">
        <v>3.9817999999999998</v>
      </c>
    </row>
    <row r="1415" spans="2:8">
      <c r="B1415" s="217" t="str">
        <f t="shared" si="112"/>
        <v>2Q</v>
      </c>
      <c r="C1415" s="217">
        <f t="shared" si="116"/>
        <v>5</v>
      </c>
      <c r="D1415" s="217" t="str">
        <f t="shared" si="113"/>
        <v>19</v>
      </c>
      <c r="E1415">
        <f t="shared" si="114"/>
        <v>2019</v>
      </c>
      <c r="F1415" s="217" t="str">
        <f t="shared" si="115"/>
        <v>2Q19</v>
      </c>
      <c r="G1415" s="218">
        <v>43616</v>
      </c>
      <c r="H1415" s="217">
        <v>3.9228000000000001</v>
      </c>
    </row>
    <row r="1416" spans="2:8">
      <c r="B1416" s="217" t="str">
        <f t="shared" si="112"/>
        <v>2Q</v>
      </c>
      <c r="C1416" s="217">
        <f t="shared" si="116"/>
        <v>6</v>
      </c>
      <c r="D1416" s="217" t="str">
        <f t="shared" si="113"/>
        <v>19</v>
      </c>
      <c r="E1416">
        <f t="shared" si="114"/>
        <v>2019</v>
      </c>
      <c r="F1416" s="217" t="str">
        <f t="shared" si="115"/>
        <v>2Q19</v>
      </c>
      <c r="G1416" s="218">
        <v>43619</v>
      </c>
      <c r="H1416" s="217">
        <v>3.8858999999999999</v>
      </c>
    </row>
    <row r="1417" spans="2:8">
      <c r="B1417" s="217" t="str">
        <f t="shared" si="112"/>
        <v>2Q</v>
      </c>
      <c r="C1417" s="217">
        <f t="shared" si="116"/>
        <v>6</v>
      </c>
      <c r="D1417" s="217" t="str">
        <f t="shared" si="113"/>
        <v>19</v>
      </c>
      <c r="E1417">
        <f t="shared" si="114"/>
        <v>2019</v>
      </c>
      <c r="F1417" s="217" t="str">
        <f t="shared" si="115"/>
        <v>2Q19</v>
      </c>
      <c r="G1417" s="218">
        <v>43620</v>
      </c>
      <c r="H1417" s="217">
        <v>3.8548</v>
      </c>
    </row>
    <row r="1418" spans="2:8">
      <c r="B1418" s="217" t="str">
        <f t="shared" si="112"/>
        <v>2Q</v>
      </c>
      <c r="C1418" s="217">
        <f t="shared" si="116"/>
        <v>6</v>
      </c>
      <c r="D1418" s="217" t="str">
        <f t="shared" si="113"/>
        <v>19</v>
      </c>
      <c r="E1418">
        <f t="shared" si="114"/>
        <v>2019</v>
      </c>
      <c r="F1418" s="217" t="str">
        <f t="shared" si="115"/>
        <v>2Q19</v>
      </c>
      <c r="G1418" s="218">
        <v>43621</v>
      </c>
      <c r="H1418" s="217">
        <v>3.8811</v>
      </c>
    </row>
    <row r="1419" spans="2:8">
      <c r="B1419" s="217" t="str">
        <f t="shared" si="112"/>
        <v>2Q</v>
      </c>
      <c r="C1419" s="217">
        <f t="shared" si="116"/>
        <v>6</v>
      </c>
      <c r="D1419" s="217" t="str">
        <f t="shared" si="113"/>
        <v>19</v>
      </c>
      <c r="E1419">
        <f t="shared" si="114"/>
        <v>2019</v>
      </c>
      <c r="F1419" s="217" t="str">
        <f t="shared" si="115"/>
        <v>2Q19</v>
      </c>
      <c r="G1419" s="218">
        <v>43622</v>
      </c>
      <c r="H1419" s="217">
        <v>3.8799000000000001</v>
      </c>
    </row>
    <row r="1420" spans="2:8">
      <c r="B1420" s="217" t="str">
        <f t="shared" si="112"/>
        <v>2Q</v>
      </c>
      <c r="C1420" s="217">
        <f t="shared" si="116"/>
        <v>6</v>
      </c>
      <c r="D1420" s="217" t="str">
        <f t="shared" si="113"/>
        <v>19</v>
      </c>
      <c r="E1420">
        <f t="shared" si="114"/>
        <v>2019</v>
      </c>
      <c r="F1420" s="217" t="str">
        <f t="shared" si="115"/>
        <v>2Q19</v>
      </c>
      <c r="G1420" s="218">
        <v>43623</v>
      </c>
      <c r="H1420" s="217">
        <v>3.8788999999999998</v>
      </c>
    </row>
    <row r="1421" spans="2:8">
      <c r="B1421" s="217" t="str">
        <f t="shared" si="112"/>
        <v>2Q</v>
      </c>
      <c r="C1421" s="217">
        <f t="shared" si="116"/>
        <v>6</v>
      </c>
      <c r="D1421" s="217" t="str">
        <f t="shared" si="113"/>
        <v>19</v>
      </c>
      <c r="E1421">
        <f t="shared" si="114"/>
        <v>2019</v>
      </c>
      <c r="F1421" s="217" t="str">
        <f t="shared" si="115"/>
        <v>2Q19</v>
      </c>
      <c r="G1421" s="218">
        <v>43626</v>
      </c>
      <c r="H1421" s="217">
        <v>3.8887</v>
      </c>
    </row>
    <row r="1422" spans="2:8">
      <c r="B1422" s="217" t="str">
        <f t="shared" si="112"/>
        <v>2Q</v>
      </c>
      <c r="C1422" s="217">
        <f t="shared" si="116"/>
        <v>6</v>
      </c>
      <c r="D1422" s="217" t="str">
        <f t="shared" si="113"/>
        <v>19</v>
      </c>
      <c r="E1422">
        <f t="shared" si="114"/>
        <v>2019</v>
      </c>
      <c r="F1422" s="217" t="str">
        <f t="shared" si="115"/>
        <v>2Q19</v>
      </c>
      <c r="G1422" s="218">
        <v>43627</v>
      </c>
      <c r="H1422" s="217">
        <v>3.8571</v>
      </c>
    </row>
    <row r="1423" spans="2:8">
      <c r="B1423" s="217" t="str">
        <f t="shared" si="112"/>
        <v>2Q</v>
      </c>
      <c r="C1423" s="217">
        <f t="shared" si="116"/>
        <v>6</v>
      </c>
      <c r="D1423" s="217" t="str">
        <f t="shared" si="113"/>
        <v>19</v>
      </c>
      <c r="E1423">
        <f t="shared" si="114"/>
        <v>2019</v>
      </c>
      <c r="F1423" s="217" t="str">
        <f t="shared" si="115"/>
        <v>2Q19</v>
      </c>
      <c r="G1423" s="218">
        <v>43628</v>
      </c>
      <c r="H1423" s="217">
        <v>3.8672</v>
      </c>
    </row>
    <row r="1424" spans="2:8">
      <c r="B1424" s="217" t="str">
        <f t="shared" si="112"/>
        <v>2Q</v>
      </c>
      <c r="C1424" s="217">
        <f t="shared" si="116"/>
        <v>6</v>
      </c>
      <c r="D1424" s="217" t="str">
        <f t="shared" si="113"/>
        <v>19</v>
      </c>
      <c r="E1424">
        <f t="shared" si="114"/>
        <v>2019</v>
      </c>
      <c r="F1424" s="217" t="str">
        <f t="shared" si="115"/>
        <v>2Q19</v>
      </c>
      <c r="G1424" s="218">
        <v>43629</v>
      </c>
      <c r="H1424" s="217">
        <v>3.8487</v>
      </c>
    </row>
    <row r="1425" spans="2:8">
      <c r="B1425" s="217" t="str">
        <f t="shared" si="112"/>
        <v>2Q</v>
      </c>
      <c r="C1425" s="217">
        <f t="shared" si="116"/>
        <v>6</v>
      </c>
      <c r="D1425" s="217" t="str">
        <f t="shared" si="113"/>
        <v>19</v>
      </c>
      <c r="E1425">
        <f t="shared" si="114"/>
        <v>2019</v>
      </c>
      <c r="F1425" s="217" t="str">
        <f t="shared" si="115"/>
        <v>2Q19</v>
      </c>
      <c r="G1425" s="218">
        <v>43630</v>
      </c>
      <c r="H1425" s="217">
        <v>3.8959000000000001</v>
      </c>
    </row>
    <row r="1426" spans="2:8">
      <c r="B1426" s="217" t="str">
        <f t="shared" si="112"/>
        <v>2Q</v>
      </c>
      <c r="C1426" s="217">
        <f t="shared" si="116"/>
        <v>6</v>
      </c>
      <c r="D1426" s="217" t="str">
        <f t="shared" si="113"/>
        <v>19</v>
      </c>
      <c r="E1426">
        <f t="shared" si="114"/>
        <v>2019</v>
      </c>
      <c r="F1426" s="217" t="str">
        <f t="shared" si="115"/>
        <v>2Q19</v>
      </c>
      <c r="G1426" s="218">
        <v>43633</v>
      </c>
      <c r="H1426" s="217">
        <v>3.8883000000000001</v>
      </c>
    </row>
    <row r="1427" spans="2:8">
      <c r="B1427" s="217" t="str">
        <f t="shared" si="112"/>
        <v>2Q</v>
      </c>
      <c r="C1427" s="217">
        <f t="shared" si="116"/>
        <v>6</v>
      </c>
      <c r="D1427" s="217" t="str">
        <f t="shared" si="113"/>
        <v>19</v>
      </c>
      <c r="E1427">
        <f t="shared" si="114"/>
        <v>2019</v>
      </c>
      <c r="F1427" s="217" t="str">
        <f t="shared" si="115"/>
        <v>2Q19</v>
      </c>
      <c r="G1427" s="218">
        <v>43634</v>
      </c>
      <c r="H1427" s="217">
        <v>3.8603999999999998</v>
      </c>
    </row>
    <row r="1428" spans="2:8">
      <c r="B1428" s="217" t="str">
        <f t="shared" si="112"/>
        <v>2Q</v>
      </c>
      <c r="C1428" s="217">
        <f t="shared" si="116"/>
        <v>6</v>
      </c>
      <c r="D1428" s="217" t="str">
        <f t="shared" si="113"/>
        <v>19</v>
      </c>
      <c r="E1428">
        <f t="shared" si="114"/>
        <v>2019</v>
      </c>
      <c r="F1428" s="217" t="str">
        <f t="shared" si="115"/>
        <v>2Q19</v>
      </c>
      <c r="G1428" s="218">
        <v>43635</v>
      </c>
      <c r="H1428" s="217">
        <v>3.839</v>
      </c>
    </row>
    <row r="1429" spans="2:8">
      <c r="B1429" s="217" t="str">
        <f t="shared" si="112"/>
        <v>2Q</v>
      </c>
      <c r="C1429" s="217">
        <f t="shared" si="116"/>
        <v>6</v>
      </c>
      <c r="D1429" s="217" t="str">
        <f t="shared" si="113"/>
        <v>19</v>
      </c>
      <c r="E1429">
        <f t="shared" si="114"/>
        <v>2019</v>
      </c>
      <c r="F1429" s="217" t="str">
        <f t="shared" si="115"/>
        <v>2Q19</v>
      </c>
      <c r="G1429" s="218">
        <v>43636</v>
      </c>
      <c r="H1429" s="217">
        <v>3.839</v>
      </c>
    </row>
    <row r="1430" spans="2:8">
      <c r="B1430" s="217" t="str">
        <f t="shared" si="112"/>
        <v>2Q</v>
      </c>
      <c r="C1430" s="217">
        <f t="shared" si="116"/>
        <v>6</v>
      </c>
      <c r="D1430" s="217" t="str">
        <f t="shared" si="113"/>
        <v>19</v>
      </c>
      <c r="E1430">
        <f t="shared" si="114"/>
        <v>2019</v>
      </c>
      <c r="F1430" s="217" t="str">
        <f t="shared" si="115"/>
        <v>2Q19</v>
      </c>
      <c r="G1430" s="218">
        <v>43637</v>
      </c>
      <c r="H1430" s="217">
        <v>3.8191999999999999</v>
      </c>
    </row>
    <row r="1431" spans="2:8">
      <c r="B1431" s="217" t="str">
        <f t="shared" si="112"/>
        <v>2Q</v>
      </c>
      <c r="C1431" s="217">
        <f t="shared" si="116"/>
        <v>6</v>
      </c>
      <c r="D1431" s="217" t="str">
        <f t="shared" si="113"/>
        <v>19</v>
      </c>
      <c r="E1431">
        <f t="shared" si="114"/>
        <v>2019</v>
      </c>
      <c r="F1431" s="217" t="str">
        <f t="shared" si="115"/>
        <v>2Q19</v>
      </c>
      <c r="G1431" s="218">
        <v>43640</v>
      </c>
      <c r="H1431" s="217">
        <v>3.8254000000000001</v>
      </c>
    </row>
    <row r="1432" spans="2:8">
      <c r="B1432" s="217" t="str">
        <f t="shared" si="112"/>
        <v>2Q</v>
      </c>
      <c r="C1432" s="217">
        <f t="shared" si="116"/>
        <v>6</v>
      </c>
      <c r="D1432" s="217" t="str">
        <f t="shared" si="113"/>
        <v>19</v>
      </c>
      <c r="E1432">
        <f t="shared" si="114"/>
        <v>2019</v>
      </c>
      <c r="F1432" s="217" t="str">
        <f t="shared" si="115"/>
        <v>2Q19</v>
      </c>
      <c r="G1432" s="218">
        <v>43641</v>
      </c>
      <c r="H1432" s="217">
        <v>3.8479999999999999</v>
      </c>
    </row>
    <row r="1433" spans="2:8">
      <c r="B1433" s="217" t="str">
        <f t="shared" si="112"/>
        <v>2Q</v>
      </c>
      <c r="C1433" s="217">
        <f t="shared" si="116"/>
        <v>6</v>
      </c>
      <c r="D1433" s="217" t="str">
        <f t="shared" si="113"/>
        <v>19</v>
      </c>
      <c r="E1433">
        <f t="shared" si="114"/>
        <v>2019</v>
      </c>
      <c r="F1433" s="217" t="str">
        <f t="shared" si="115"/>
        <v>2Q19</v>
      </c>
      <c r="G1433" s="218">
        <v>43642</v>
      </c>
      <c r="H1433" s="217">
        <v>3.8445</v>
      </c>
    </row>
    <row r="1434" spans="2:8">
      <c r="B1434" s="217" t="str">
        <f t="shared" si="112"/>
        <v>2Q</v>
      </c>
      <c r="C1434" s="217">
        <f t="shared" si="116"/>
        <v>6</v>
      </c>
      <c r="D1434" s="217" t="str">
        <f t="shared" si="113"/>
        <v>19</v>
      </c>
      <c r="E1434">
        <f t="shared" si="114"/>
        <v>2019</v>
      </c>
      <c r="F1434" s="217" t="str">
        <f t="shared" si="115"/>
        <v>2Q19</v>
      </c>
      <c r="G1434" s="218">
        <v>43643</v>
      </c>
      <c r="H1434" s="217">
        <v>3.8195999999999999</v>
      </c>
    </row>
    <row r="1435" spans="2:8">
      <c r="B1435" s="217" t="str">
        <f t="shared" si="112"/>
        <v>2Q</v>
      </c>
      <c r="C1435" s="217">
        <f t="shared" si="116"/>
        <v>6</v>
      </c>
      <c r="D1435" s="217" t="str">
        <f t="shared" si="113"/>
        <v>19</v>
      </c>
      <c r="E1435">
        <f t="shared" si="114"/>
        <v>2019</v>
      </c>
      <c r="F1435" s="217" t="str">
        <f t="shared" si="115"/>
        <v>2Q19</v>
      </c>
      <c r="G1435" s="218">
        <v>43644</v>
      </c>
      <c r="H1435" s="217">
        <v>3.8519999999999999</v>
      </c>
    </row>
    <row r="1436" spans="2:8">
      <c r="B1436" s="217" t="str">
        <f t="shared" si="112"/>
        <v>3Q</v>
      </c>
      <c r="C1436" s="217">
        <f t="shared" si="116"/>
        <v>7</v>
      </c>
      <c r="D1436" s="217" t="str">
        <f t="shared" si="113"/>
        <v>19</v>
      </c>
      <c r="E1436">
        <f t="shared" si="114"/>
        <v>2019</v>
      </c>
      <c r="F1436" s="217" t="str">
        <f t="shared" si="115"/>
        <v>3Q19</v>
      </c>
      <c r="G1436" s="218">
        <v>43647</v>
      </c>
      <c r="H1436" s="217">
        <v>3.8405</v>
      </c>
    </row>
    <row r="1437" spans="2:8">
      <c r="B1437" s="217" t="str">
        <f t="shared" si="112"/>
        <v>3Q</v>
      </c>
      <c r="C1437" s="217">
        <f t="shared" si="116"/>
        <v>7</v>
      </c>
      <c r="D1437" s="217" t="str">
        <f t="shared" si="113"/>
        <v>19</v>
      </c>
      <c r="E1437">
        <f t="shared" si="114"/>
        <v>2019</v>
      </c>
      <c r="F1437" s="217" t="str">
        <f t="shared" si="115"/>
        <v>3Q19</v>
      </c>
      <c r="G1437" s="218">
        <v>43648</v>
      </c>
      <c r="H1437" s="217">
        <v>3.8456000000000001</v>
      </c>
    </row>
    <row r="1438" spans="2:8">
      <c r="B1438" s="217" t="str">
        <f t="shared" si="112"/>
        <v>3Q</v>
      </c>
      <c r="C1438" s="217">
        <f t="shared" si="116"/>
        <v>7</v>
      </c>
      <c r="D1438" s="217" t="str">
        <f t="shared" si="113"/>
        <v>19</v>
      </c>
      <c r="E1438">
        <f t="shared" si="114"/>
        <v>2019</v>
      </c>
      <c r="F1438" s="217" t="str">
        <f t="shared" si="115"/>
        <v>3Q19</v>
      </c>
      <c r="G1438" s="218">
        <v>43649</v>
      </c>
      <c r="H1438" s="217">
        <v>3.8271999999999999</v>
      </c>
    </row>
    <row r="1439" spans="2:8">
      <c r="B1439" s="217" t="str">
        <f t="shared" si="112"/>
        <v>3Q</v>
      </c>
      <c r="C1439" s="217">
        <f t="shared" si="116"/>
        <v>7</v>
      </c>
      <c r="D1439" s="217" t="str">
        <f t="shared" si="113"/>
        <v>19</v>
      </c>
      <c r="E1439">
        <f t="shared" si="114"/>
        <v>2019</v>
      </c>
      <c r="F1439" s="217" t="str">
        <f t="shared" si="115"/>
        <v>3Q19</v>
      </c>
      <c r="G1439" s="218">
        <v>43650</v>
      </c>
      <c r="H1439" s="217">
        <v>3.8010999999999999</v>
      </c>
    </row>
    <row r="1440" spans="2:8">
      <c r="B1440" s="217" t="str">
        <f t="shared" si="112"/>
        <v>3Q</v>
      </c>
      <c r="C1440" s="217">
        <f t="shared" si="116"/>
        <v>7</v>
      </c>
      <c r="D1440" s="217" t="str">
        <f t="shared" si="113"/>
        <v>19</v>
      </c>
      <c r="E1440">
        <f t="shared" si="114"/>
        <v>2019</v>
      </c>
      <c r="F1440" s="217" t="str">
        <f t="shared" si="115"/>
        <v>3Q19</v>
      </c>
      <c r="G1440" s="218">
        <v>43651</v>
      </c>
      <c r="H1440" s="217">
        <v>3.8220999999999998</v>
      </c>
    </row>
    <row r="1441" spans="2:8">
      <c r="B1441" s="217" t="str">
        <f t="shared" si="112"/>
        <v>3Q</v>
      </c>
      <c r="C1441" s="217">
        <f t="shared" si="116"/>
        <v>7</v>
      </c>
      <c r="D1441" s="217" t="str">
        <f t="shared" si="113"/>
        <v>19</v>
      </c>
      <c r="E1441">
        <f t="shared" si="114"/>
        <v>2019</v>
      </c>
      <c r="F1441" s="217" t="str">
        <f t="shared" si="115"/>
        <v>3Q19</v>
      </c>
      <c r="G1441" s="218">
        <v>43654</v>
      </c>
      <c r="H1441" s="217">
        <v>3.8073000000000001</v>
      </c>
    </row>
    <row r="1442" spans="2:8">
      <c r="B1442" s="217" t="str">
        <f t="shared" si="112"/>
        <v>3Q</v>
      </c>
      <c r="C1442" s="217">
        <f t="shared" si="116"/>
        <v>7</v>
      </c>
      <c r="D1442" s="217" t="str">
        <f t="shared" si="113"/>
        <v>19</v>
      </c>
      <c r="E1442">
        <f t="shared" si="114"/>
        <v>2019</v>
      </c>
      <c r="F1442" s="217" t="str">
        <f t="shared" si="115"/>
        <v>3Q19</v>
      </c>
      <c r="G1442" s="218">
        <v>43655</v>
      </c>
      <c r="H1442" s="217">
        <v>3.8005</v>
      </c>
    </row>
    <row r="1443" spans="2:8">
      <c r="B1443" s="217" t="str">
        <f t="shared" si="112"/>
        <v>3Q</v>
      </c>
      <c r="C1443" s="217">
        <f t="shared" si="116"/>
        <v>7</v>
      </c>
      <c r="D1443" s="217" t="str">
        <f t="shared" si="113"/>
        <v>19</v>
      </c>
      <c r="E1443">
        <f t="shared" si="114"/>
        <v>2019</v>
      </c>
      <c r="F1443" s="217" t="str">
        <f t="shared" si="115"/>
        <v>3Q19</v>
      </c>
      <c r="G1443" s="218">
        <v>43656</v>
      </c>
      <c r="H1443" s="217">
        <v>3.7545999999999999</v>
      </c>
    </row>
    <row r="1444" spans="2:8">
      <c r="B1444" s="217" t="str">
        <f t="shared" si="112"/>
        <v>3Q</v>
      </c>
      <c r="C1444" s="217">
        <f t="shared" si="116"/>
        <v>7</v>
      </c>
      <c r="D1444" s="217" t="str">
        <f t="shared" si="113"/>
        <v>19</v>
      </c>
      <c r="E1444">
        <f t="shared" si="114"/>
        <v>2019</v>
      </c>
      <c r="F1444" s="217" t="str">
        <f t="shared" si="115"/>
        <v>3Q19</v>
      </c>
      <c r="G1444" s="218">
        <v>43657</v>
      </c>
      <c r="H1444" s="217">
        <v>3.7551000000000001</v>
      </c>
    </row>
    <row r="1445" spans="2:8">
      <c r="B1445" s="217" t="str">
        <f t="shared" si="112"/>
        <v>3Q</v>
      </c>
      <c r="C1445" s="217">
        <f t="shared" si="116"/>
        <v>7</v>
      </c>
      <c r="D1445" s="217" t="str">
        <f t="shared" si="113"/>
        <v>19</v>
      </c>
      <c r="E1445">
        <f t="shared" si="114"/>
        <v>2019</v>
      </c>
      <c r="F1445" s="217" t="str">
        <f t="shared" si="115"/>
        <v>3Q19</v>
      </c>
      <c r="G1445" s="218">
        <v>43658</v>
      </c>
      <c r="H1445" s="217">
        <v>3.7372999999999998</v>
      </c>
    </row>
    <row r="1446" spans="2:8">
      <c r="B1446" s="217" t="str">
        <f t="shared" si="112"/>
        <v>3Q</v>
      </c>
      <c r="C1446" s="217">
        <f t="shared" si="116"/>
        <v>7</v>
      </c>
      <c r="D1446" s="217" t="str">
        <f t="shared" si="113"/>
        <v>19</v>
      </c>
      <c r="E1446">
        <f t="shared" si="114"/>
        <v>2019</v>
      </c>
      <c r="F1446" s="217" t="str">
        <f t="shared" si="115"/>
        <v>3Q19</v>
      </c>
      <c r="G1446" s="218">
        <v>43661</v>
      </c>
      <c r="H1446" s="217">
        <v>3.7566999999999999</v>
      </c>
    </row>
    <row r="1447" spans="2:8">
      <c r="B1447" s="217" t="str">
        <f t="shared" si="112"/>
        <v>3Q</v>
      </c>
      <c r="C1447" s="217">
        <f t="shared" si="116"/>
        <v>7</v>
      </c>
      <c r="D1447" s="217" t="str">
        <f t="shared" si="113"/>
        <v>19</v>
      </c>
      <c r="E1447">
        <f t="shared" si="114"/>
        <v>2019</v>
      </c>
      <c r="F1447" s="217" t="str">
        <f t="shared" si="115"/>
        <v>3Q19</v>
      </c>
      <c r="G1447" s="218">
        <v>43662</v>
      </c>
      <c r="H1447" s="217">
        <v>3.7686999999999999</v>
      </c>
    </row>
    <row r="1448" spans="2:8">
      <c r="B1448" s="217" t="str">
        <f t="shared" si="112"/>
        <v>3Q</v>
      </c>
      <c r="C1448" s="217">
        <f t="shared" si="116"/>
        <v>7</v>
      </c>
      <c r="D1448" s="217" t="str">
        <f t="shared" si="113"/>
        <v>19</v>
      </c>
      <c r="E1448">
        <f t="shared" si="114"/>
        <v>2019</v>
      </c>
      <c r="F1448" s="217" t="str">
        <f t="shared" si="115"/>
        <v>3Q19</v>
      </c>
      <c r="G1448" s="218">
        <v>43663</v>
      </c>
      <c r="H1448" s="217">
        <v>3.7641</v>
      </c>
    </row>
    <row r="1449" spans="2:8">
      <c r="B1449" s="217" t="str">
        <f t="shared" si="112"/>
        <v>3Q</v>
      </c>
      <c r="C1449" s="217">
        <f t="shared" si="116"/>
        <v>7</v>
      </c>
      <c r="D1449" s="217" t="str">
        <f t="shared" si="113"/>
        <v>19</v>
      </c>
      <c r="E1449">
        <f t="shared" si="114"/>
        <v>2019</v>
      </c>
      <c r="F1449" s="217" t="str">
        <f t="shared" si="115"/>
        <v>3Q19</v>
      </c>
      <c r="G1449" s="218">
        <v>43664</v>
      </c>
      <c r="H1449" s="217">
        <v>3.7193999999999998</v>
      </c>
    </row>
    <row r="1450" spans="2:8">
      <c r="B1450" s="217" t="str">
        <f t="shared" si="112"/>
        <v>3Q</v>
      </c>
      <c r="C1450" s="217">
        <f t="shared" si="116"/>
        <v>7</v>
      </c>
      <c r="D1450" s="217" t="str">
        <f t="shared" si="113"/>
        <v>19</v>
      </c>
      <c r="E1450">
        <f t="shared" si="114"/>
        <v>2019</v>
      </c>
      <c r="F1450" s="217" t="str">
        <f t="shared" si="115"/>
        <v>3Q19</v>
      </c>
      <c r="G1450" s="218">
        <v>43665</v>
      </c>
      <c r="H1450" s="217">
        <v>3.7494000000000001</v>
      </c>
    </row>
    <row r="1451" spans="2:8">
      <c r="B1451" s="217" t="str">
        <f t="shared" si="112"/>
        <v>3Q</v>
      </c>
      <c r="C1451" s="217">
        <f t="shared" si="116"/>
        <v>7</v>
      </c>
      <c r="D1451" s="217" t="str">
        <f t="shared" si="113"/>
        <v>19</v>
      </c>
      <c r="E1451">
        <f t="shared" si="114"/>
        <v>2019</v>
      </c>
      <c r="F1451" s="217" t="str">
        <f t="shared" si="115"/>
        <v>3Q19</v>
      </c>
      <c r="G1451" s="218">
        <v>43668</v>
      </c>
      <c r="H1451" s="217">
        <v>3.7406999999999999</v>
      </c>
    </row>
    <row r="1452" spans="2:8">
      <c r="B1452" s="217" t="str">
        <f t="shared" si="112"/>
        <v>3Q</v>
      </c>
      <c r="C1452" s="217">
        <f t="shared" si="116"/>
        <v>7</v>
      </c>
      <c r="D1452" s="217" t="str">
        <f t="shared" si="113"/>
        <v>19</v>
      </c>
      <c r="E1452">
        <f t="shared" si="114"/>
        <v>2019</v>
      </c>
      <c r="F1452" s="217" t="str">
        <f t="shared" si="115"/>
        <v>3Q19</v>
      </c>
      <c r="G1452" s="218">
        <v>43669</v>
      </c>
      <c r="H1452" s="217">
        <v>3.7736999999999998</v>
      </c>
    </row>
    <row r="1453" spans="2:8">
      <c r="B1453" s="217" t="str">
        <f t="shared" si="112"/>
        <v>3Q</v>
      </c>
      <c r="C1453" s="217">
        <f t="shared" si="116"/>
        <v>7</v>
      </c>
      <c r="D1453" s="217" t="str">
        <f t="shared" si="113"/>
        <v>19</v>
      </c>
      <c r="E1453">
        <f t="shared" si="114"/>
        <v>2019</v>
      </c>
      <c r="F1453" s="217" t="str">
        <f t="shared" si="115"/>
        <v>3Q19</v>
      </c>
      <c r="G1453" s="218">
        <v>43670</v>
      </c>
      <c r="H1453" s="217">
        <v>3.7736000000000001</v>
      </c>
    </row>
    <row r="1454" spans="2:8">
      <c r="B1454" s="217" t="str">
        <f t="shared" si="112"/>
        <v>3Q</v>
      </c>
      <c r="C1454" s="217">
        <f t="shared" si="116"/>
        <v>7</v>
      </c>
      <c r="D1454" s="217" t="str">
        <f t="shared" si="113"/>
        <v>19</v>
      </c>
      <c r="E1454">
        <f t="shared" si="114"/>
        <v>2019</v>
      </c>
      <c r="F1454" s="217" t="str">
        <f t="shared" si="115"/>
        <v>3Q19</v>
      </c>
      <c r="G1454" s="218">
        <v>43671</v>
      </c>
      <c r="H1454" s="217">
        <v>3.7789999999999999</v>
      </c>
    </row>
    <row r="1455" spans="2:8">
      <c r="B1455" s="217" t="str">
        <f t="shared" si="112"/>
        <v>3Q</v>
      </c>
      <c r="C1455" s="217">
        <f t="shared" si="116"/>
        <v>7</v>
      </c>
      <c r="D1455" s="217" t="str">
        <f t="shared" si="113"/>
        <v>19</v>
      </c>
      <c r="E1455">
        <f t="shared" si="114"/>
        <v>2019</v>
      </c>
      <c r="F1455" s="217" t="str">
        <f t="shared" si="115"/>
        <v>3Q19</v>
      </c>
      <c r="G1455" s="218">
        <v>43672</v>
      </c>
      <c r="H1455" s="217">
        <v>3.7761999999999998</v>
      </c>
    </row>
    <row r="1456" spans="2:8">
      <c r="B1456" s="217" t="str">
        <f t="shared" si="112"/>
        <v>3Q</v>
      </c>
      <c r="C1456" s="217">
        <f t="shared" si="116"/>
        <v>7</v>
      </c>
      <c r="D1456" s="217" t="str">
        <f t="shared" si="113"/>
        <v>19</v>
      </c>
      <c r="E1456">
        <f t="shared" si="114"/>
        <v>2019</v>
      </c>
      <c r="F1456" s="217" t="str">
        <f t="shared" si="115"/>
        <v>3Q19</v>
      </c>
      <c r="G1456" s="218">
        <v>43675</v>
      </c>
      <c r="H1456" s="217">
        <v>3.7816000000000001</v>
      </c>
    </row>
    <row r="1457" spans="2:8">
      <c r="B1457" s="217" t="str">
        <f t="shared" si="112"/>
        <v>3Q</v>
      </c>
      <c r="C1457" s="217">
        <f t="shared" si="116"/>
        <v>7</v>
      </c>
      <c r="D1457" s="217" t="str">
        <f t="shared" si="113"/>
        <v>19</v>
      </c>
      <c r="E1457">
        <f t="shared" si="114"/>
        <v>2019</v>
      </c>
      <c r="F1457" s="217" t="str">
        <f t="shared" si="115"/>
        <v>3Q19</v>
      </c>
      <c r="G1457" s="218">
        <v>43676</v>
      </c>
      <c r="H1457" s="217">
        <v>3.7906</v>
      </c>
    </row>
    <row r="1458" spans="2:8">
      <c r="B1458" s="217" t="str">
        <f t="shared" si="112"/>
        <v>3Q</v>
      </c>
      <c r="C1458" s="217">
        <f t="shared" si="116"/>
        <v>7</v>
      </c>
      <c r="D1458" s="217" t="str">
        <f t="shared" si="113"/>
        <v>19</v>
      </c>
      <c r="E1458">
        <f t="shared" si="114"/>
        <v>2019</v>
      </c>
      <c r="F1458" s="217" t="str">
        <f t="shared" si="115"/>
        <v>3Q19</v>
      </c>
      <c r="G1458" s="218">
        <v>43677</v>
      </c>
      <c r="H1458" s="217">
        <v>3.8129</v>
      </c>
    </row>
    <row r="1459" spans="2:8">
      <c r="B1459" s="217" t="str">
        <f t="shared" si="112"/>
        <v>3Q</v>
      </c>
      <c r="C1459" s="217">
        <f t="shared" si="116"/>
        <v>8</v>
      </c>
      <c r="D1459" s="217" t="str">
        <f t="shared" si="113"/>
        <v>19</v>
      </c>
      <c r="E1459">
        <f t="shared" si="114"/>
        <v>2019</v>
      </c>
      <c r="F1459" s="217" t="str">
        <f t="shared" si="115"/>
        <v>3Q19</v>
      </c>
      <c r="G1459" s="218">
        <v>43678</v>
      </c>
      <c r="H1459" s="217">
        <v>3.8403</v>
      </c>
    </row>
    <row r="1460" spans="2:8">
      <c r="B1460" s="217" t="str">
        <f t="shared" si="112"/>
        <v>3Q</v>
      </c>
      <c r="C1460" s="217">
        <f t="shared" si="116"/>
        <v>8</v>
      </c>
      <c r="D1460" s="217" t="str">
        <f t="shared" si="113"/>
        <v>19</v>
      </c>
      <c r="E1460">
        <f t="shared" si="114"/>
        <v>2019</v>
      </c>
      <c r="F1460" s="217" t="str">
        <f t="shared" si="115"/>
        <v>3Q19</v>
      </c>
      <c r="G1460" s="218">
        <v>43679</v>
      </c>
      <c r="H1460" s="217">
        <v>3.8893</v>
      </c>
    </row>
    <row r="1461" spans="2:8">
      <c r="B1461" s="217" t="str">
        <f t="shared" si="112"/>
        <v>3Q</v>
      </c>
      <c r="C1461" s="217">
        <f t="shared" si="116"/>
        <v>8</v>
      </c>
      <c r="D1461" s="217" t="str">
        <f t="shared" si="113"/>
        <v>19</v>
      </c>
      <c r="E1461">
        <f t="shared" si="114"/>
        <v>2019</v>
      </c>
      <c r="F1461" s="217" t="str">
        <f t="shared" si="115"/>
        <v>3Q19</v>
      </c>
      <c r="G1461" s="218">
        <v>43682</v>
      </c>
      <c r="H1461" s="217">
        <v>3.9782999999999999</v>
      </c>
    </row>
    <row r="1462" spans="2:8">
      <c r="B1462" s="217" t="str">
        <f t="shared" si="112"/>
        <v>3Q</v>
      </c>
      <c r="C1462" s="217">
        <f t="shared" si="116"/>
        <v>8</v>
      </c>
      <c r="D1462" s="217" t="str">
        <f t="shared" si="113"/>
        <v>19</v>
      </c>
      <c r="E1462">
        <f t="shared" si="114"/>
        <v>2019</v>
      </c>
      <c r="F1462" s="217" t="str">
        <f t="shared" si="115"/>
        <v>3Q19</v>
      </c>
      <c r="G1462" s="218">
        <v>43683</v>
      </c>
      <c r="H1462" s="217">
        <v>3.9611999999999998</v>
      </c>
    </row>
    <row r="1463" spans="2:8">
      <c r="B1463" s="217" t="str">
        <f t="shared" si="112"/>
        <v>3Q</v>
      </c>
      <c r="C1463" s="217">
        <f t="shared" si="116"/>
        <v>8</v>
      </c>
      <c r="D1463" s="217" t="str">
        <f t="shared" si="113"/>
        <v>19</v>
      </c>
      <c r="E1463">
        <f t="shared" si="114"/>
        <v>2019</v>
      </c>
      <c r="F1463" s="217" t="str">
        <f t="shared" si="115"/>
        <v>3Q19</v>
      </c>
      <c r="G1463" s="218">
        <v>43684</v>
      </c>
      <c r="H1463" s="217">
        <v>3.9691000000000001</v>
      </c>
    </row>
    <row r="1464" spans="2:8">
      <c r="B1464" s="217" t="str">
        <f t="shared" si="112"/>
        <v>3Q</v>
      </c>
      <c r="C1464" s="217">
        <f t="shared" si="116"/>
        <v>8</v>
      </c>
      <c r="D1464" s="217" t="str">
        <f t="shared" si="113"/>
        <v>19</v>
      </c>
      <c r="E1464">
        <f t="shared" si="114"/>
        <v>2019</v>
      </c>
      <c r="F1464" s="217" t="str">
        <f t="shared" si="115"/>
        <v>3Q19</v>
      </c>
      <c r="G1464" s="218">
        <v>43685</v>
      </c>
      <c r="H1464" s="217">
        <v>3.9199000000000002</v>
      </c>
    </row>
    <row r="1465" spans="2:8">
      <c r="B1465" s="217" t="str">
        <f t="shared" si="112"/>
        <v>3Q</v>
      </c>
      <c r="C1465" s="217">
        <f t="shared" si="116"/>
        <v>8</v>
      </c>
      <c r="D1465" s="217" t="str">
        <f t="shared" si="113"/>
        <v>19</v>
      </c>
      <c r="E1465">
        <f t="shared" si="114"/>
        <v>2019</v>
      </c>
      <c r="F1465" s="217" t="str">
        <f t="shared" si="115"/>
        <v>3Q19</v>
      </c>
      <c r="G1465" s="218">
        <v>43686</v>
      </c>
      <c r="H1465" s="217">
        <v>3.9416000000000002</v>
      </c>
    </row>
    <row r="1466" spans="2:8">
      <c r="B1466" s="217" t="str">
        <f t="shared" si="112"/>
        <v>3Q</v>
      </c>
      <c r="C1466" s="217">
        <f t="shared" si="116"/>
        <v>8</v>
      </c>
      <c r="D1466" s="217" t="str">
        <f t="shared" si="113"/>
        <v>19</v>
      </c>
      <c r="E1466">
        <f t="shared" si="114"/>
        <v>2019</v>
      </c>
      <c r="F1466" s="217" t="str">
        <f t="shared" si="115"/>
        <v>3Q19</v>
      </c>
      <c r="G1466" s="218">
        <v>43689</v>
      </c>
      <c r="H1466" s="217">
        <v>3.9855</v>
      </c>
    </row>
    <row r="1467" spans="2:8">
      <c r="B1467" s="217" t="str">
        <f t="shared" si="112"/>
        <v>3Q</v>
      </c>
      <c r="C1467" s="217">
        <f t="shared" si="116"/>
        <v>8</v>
      </c>
      <c r="D1467" s="217" t="str">
        <f t="shared" si="113"/>
        <v>19</v>
      </c>
      <c r="E1467">
        <f t="shared" si="114"/>
        <v>2019</v>
      </c>
      <c r="F1467" s="217" t="str">
        <f t="shared" si="115"/>
        <v>3Q19</v>
      </c>
      <c r="G1467" s="218">
        <v>43690</v>
      </c>
      <c r="H1467" s="217">
        <v>3.9660000000000002</v>
      </c>
    </row>
    <row r="1468" spans="2:8">
      <c r="B1468" s="217" t="str">
        <f t="shared" si="112"/>
        <v>3Q</v>
      </c>
      <c r="C1468" s="217">
        <f t="shared" si="116"/>
        <v>8</v>
      </c>
      <c r="D1468" s="217" t="str">
        <f t="shared" si="113"/>
        <v>19</v>
      </c>
      <c r="E1468">
        <f t="shared" si="114"/>
        <v>2019</v>
      </c>
      <c r="F1468" s="217" t="str">
        <f t="shared" si="115"/>
        <v>3Q19</v>
      </c>
      <c r="G1468" s="218">
        <v>43691</v>
      </c>
      <c r="H1468" s="217">
        <v>4.0526</v>
      </c>
    </row>
    <row r="1469" spans="2:8">
      <c r="B1469" s="217" t="str">
        <f t="shared" si="112"/>
        <v>3Q</v>
      </c>
      <c r="C1469" s="217">
        <f t="shared" si="116"/>
        <v>8</v>
      </c>
      <c r="D1469" s="217" t="str">
        <f t="shared" si="113"/>
        <v>19</v>
      </c>
      <c r="E1469">
        <f t="shared" si="114"/>
        <v>2019</v>
      </c>
      <c r="F1469" s="217" t="str">
        <f t="shared" si="115"/>
        <v>3Q19</v>
      </c>
      <c r="G1469" s="218">
        <v>43692</v>
      </c>
      <c r="H1469" s="217">
        <v>3.9910000000000001</v>
      </c>
    </row>
    <row r="1470" spans="2:8">
      <c r="B1470" s="217" t="str">
        <f t="shared" si="112"/>
        <v>3Q</v>
      </c>
      <c r="C1470" s="217">
        <f t="shared" si="116"/>
        <v>8</v>
      </c>
      <c r="D1470" s="217" t="str">
        <f t="shared" si="113"/>
        <v>19</v>
      </c>
      <c r="E1470">
        <f t="shared" si="114"/>
        <v>2019</v>
      </c>
      <c r="F1470" s="217" t="str">
        <f t="shared" si="115"/>
        <v>3Q19</v>
      </c>
      <c r="G1470" s="218">
        <v>43693</v>
      </c>
      <c r="H1470" s="217">
        <v>4.0057999999999998</v>
      </c>
    </row>
    <row r="1471" spans="2:8">
      <c r="B1471" s="217" t="str">
        <f t="shared" si="112"/>
        <v>3Q</v>
      </c>
      <c r="C1471" s="217">
        <f t="shared" si="116"/>
        <v>8</v>
      </c>
      <c r="D1471" s="217" t="str">
        <f t="shared" si="113"/>
        <v>19</v>
      </c>
      <c r="E1471">
        <f t="shared" si="114"/>
        <v>2019</v>
      </c>
      <c r="F1471" s="217" t="str">
        <f t="shared" si="115"/>
        <v>3Q19</v>
      </c>
      <c r="G1471" s="218">
        <v>43696</v>
      </c>
      <c r="H1471" s="217">
        <v>4.0743</v>
      </c>
    </row>
    <row r="1472" spans="2:8">
      <c r="B1472" s="217" t="str">
        <f t="shared" si="112"/>
        <v>3Q</v>
      </c>
      <c r="C1472" s="217">
        <f t="shared" si="116"/>
        <v>8</v>
      </c>
      <c r="D1472" s="217" t="str">
        <f t="shared" si="113"/>
        <v>19</v>
      </c>
      <c r="E1472">
        <f t="shared" si="114"/>
        <v>2019</v>
      </c>
      <c r="F1472" s="217" t="str">
        <f t="shared" si="115"/>
        <v>3Q19</v>
      </c>
      <c r="G1472" s="218">
        <v>43697</v>
      </c>
      <c r="H1472" s="217">
        <v>4.0541999999999998</v>
      </c>
    </row>
    <row r="1473" spans="2:8">
      <c r="B1473" s="217" t="str">
        <f t="shared" si="112"/>
        <v>3Q</v>
      </c>
      <c r="C1473" s="217">
        <f t="shared" si="116"/>
        <v>8</v>
      </c>
      <c r="D1473" s="217" t="str">
        <f t="shared" si="113"/>
        <v>19</v>
      </c>
      <c r="E1473">
        <f t="shared" si="114"/>
        <v>2019</v>
      </c>
      <c r="F1473" s="217" t="str">
        <f t="shared" si="115"/>
        <v>3Q19</v>
      </c>
      <c r="G1473" s="218">
        <v>43698</v>
      </c>
      <c r="H1473" s="217">
        <v>4.0269000000000004</v>
      </c>
    </row>
    <row r="1474" spans="2:8">
      <c r="B1474" s="217" t="str">
        <f t="shared" si="112"/>
        <v>3Q</v>
      </c>
      <c r="C1474" s="217">
        <f t="shared" si="116"/>
        <v>8</v>
      </c>
      <c r="D1474" s="217" t="str">
        <f t="shared" si="113"/>
        <v>19</v>
      </c>
      <c r="E1474">
        <f t="shared" si="114"/>
        <v>2019</v>
      </c>
      <c r="F1474" s="217" t="str">
        <f t="shared" si="115"/>
        <v>3Q19</v>
      </c>
      <c r="G1474" s="218">
        <v>43699</v>
      </c>
      <c r="H1474" s="217">
        <v>4.0707000000000004</v>
      </c>
    </row>
    <row r="1475" spans="2:8">
      <c r="B1475" s="217" t="str">
        <f t="shared" ref="B1475:B1538" si="117">VLOOKUP(C1475,$N$3:$O$14,2,0)</f>
        <v>3Q</v>
      </c>
      <c r="C1475" s="217">
        <f t="shared" si="116"/>
        <v>8</v>
      </c>
      <c r="D1475" s="217" t="str">
        <f t="shared" ref="D1475:D1538" si="118">RIGHT(E1475,2)</f>
        <v>19</v>
      </c>
      <c r="E1475">
        <f t="shared" ref="E1475:E1538" si="119">YEAR(G1475)</f>
        <v>2019</v>
      </c>
      <c r="F1475" s="217" t="str">
        <f t="shared" ref="F1475:F1538" si="120">+B1475&amp;D1475</f>
        <v>3Q19</v>
      </c>
      <c r="G1475" s="218">
        <v>43700</v>
      </c>
      <c r="H1475" s="217">
        <v>4.1197999999999997</v>
      </c>
    </row>
    <row r="1476" spans="2:8">
      <c r="B1476" s="217" t="str">
        <f t="shared" si="117"/>
        <v>3Q</v>
      </c>
      <c r="C1476" s="217">
        <f t="shared" ref="C1476:C1539" si="121">MONTH(G1476)</f>
        <v>8</v>
      </c>
      <c r="D1476" s="217" t="str">
        <f t="shared" si="118"/>
        <v>19</v>
      </c>
      <c r="E1476">
        <f t="shared" si="119"/>
        <v>2019</v>
      </c>
      <c r="F1476" s="217" t="str">
        <f t="shared" si="120"/>
        <v>3Q19</v>
      </c>
      <c r="G1476" s="218">
        <v>43703</v>
      </c>
      <c r="H1476" s="217">
        <v>4.1570999999999998</v>
      </c>
    </row>
    <row r="1477" spans="2:8">
      <c r="B1477" s="217" t="str">
        <f t="shared" si="117"/>
        <v>3Q</v>
      </c>
      <c r="C1477" s="217">
        <f t="shared" si="121"/>
        <v>8</v>
      </c>
      <c r="D1477" s="217" t="str">
        <f t="shared" si="118"/>
        <v>19</v>
      </c>
      <c r="E1477">
        <f t="shared" si="119"/>
        <v>2019</v>
      </c>
      <c r="F1477" s="217" t="str">
        <f t="shared" si="120"/>
        <v>3Q19</v>
      </c>
      <c r="G1477" s="218">
        <v>43704</v>
      </c>
      <c r="H1477" s="217">
        <v>4.1311</v>
      </c>
    </row>
    <row r="1478" spans="2:8">
      <c r="B1478" s="217" t="str">
        <f t="shared" si="117"/>
        <v>3Q</v>
      </c>
      <c r="C1478" s="217">
        <f t="shared" si="121"/>
        <v>8</v>
      </c>
      <c r="D1478" s="217" t="str">
        <f t="shared" si="118"/>
        <v>19</v>
      </c>
      <c r="E1478">
        <f t="shared" si="119"/>
        <v>2019</v>
      </c>
      <c r="F1478" s="217" t="str">
        <f t="shared" si="120"/>
        <v>3Q19</v>
      </c>
      <c r="G1478" s="218">
        <v>43705</v>
      </c>
      <c r="H1478" s="217">
        <v>4.1681999999999997</v>
      </c>
    </row>
    <row r="1479" spans="2:8">
      <c r="B1479" s="217" t="str">
        <f t="shared" si="117"/>
        <v>3Q</v>
      </c>
      <c r="C1479" s="217">
        <f t="shared" si="121"/>
        <v>8</v>
      </c>
      <c r="D1479" s="217" t="str">
        <f t="shared" si="118"/>
        <v>19</v>
      </c>
      <c r="E1479">
        <f t="shared" si="119"/>
        <v>2019</v>
      </c>
      <c r="F1479" s="217" t="str">
        <f t="shared" si="120"/>
        <v>3Q19</v>
      </c>
      <c r="G1479" s="218">
        <v>43706</v>
      </c>
      <c r="H1479" s="217">
        <v>4.1687000000000003</v>
      </c>
    </row>
    <row r="1480" spans="2:8">
      <c r="B1480" s="217" t="str">
        <f t="shared" si="117"/>
        <v>3Q</v>
      </c>
      <c r="C1480" s="217">
        <f t="shared" si="121"/>
        <v>8</v>
      </c>
      <c r="D1480" s="217" t="str">
        <f t="shared" si="118"/>
        <v>19</v>
      </c>
      <c r="E1480">
        <f t="shared" si="119"/>
        <v>2019</v>
      </c>
      <c r="F1480" s="217" t="str">
        <f t="shared" si="120"/>
        <v>3Q19</v>
      </c>
      <c r="G1480" s="218">
        <v>43707</v>
      </c>
      <c r="H1480" s="217">
        <v>4.1454000000000004</v>
      </c>
    </row>
    <row r="1481" spans="2:8">
      <c r="B1481" s="217" t="str">
        <f t="shared" si="117"/>
        <v>3Q</v>
      </c>
      <c r="C1481" s="217">
        <f t="shared" si="121"/>
        <v>9</v>
      </c>
      <c r="D1481" s="217" t="str">
        <f t="shared" si="118"/>
        <v>19</v>
      </c>
      <c r="E1481">
        <f t="shared" si="119"/>
        <v>2019</v>
      </c>
      <c r="F1481" s="217" t="str">
        <f t="shared" si="120"/>
        <v>3Q19</v>
      </c>
      <c r="G1481" s="218">
        <v>43710</v>
      </c>
      <c r="H1481" s="217">
        <v>4.1871</v>
      </c>
    </row>
    <row r="1482" spans="2:8">
      <c r="B1482" s="217" t="str">
        <f t="shared" si="117"/>
        <v>3Q</v>
      </c>
      <c r="C1482" s="217">
        <f t="shared" si="121"/>
        <v>9</v>
      </c>
      <c r="D1482" s="217" t="str">
        <f t="shared" si="118"/>
        <v>19</v>
      </c>
      <c r="E1482">
        <f t="shared" si="119"/>
        <v>2019</v>
      </c>
      <c r="F1482" s="217" t="str">
        <f t="shared" si="120"/>
        <v>3Q19</v>
      </c>
      <c r="G1482" s="218">
        <v>43711</v>
      </c>
      <c r="H1482" s="217">
        <v>4.1680999999999999</v>
      </c>
    </row>
    <row r="1483" spans="2:8">
      <c r="B1483" s="217" t="str">
        <f t="shared" si="117"/>
        <v>3Q</v>
      </c>
      <c r="C1483" s="217">
        <f t="shared" si="121"/>
        <v>9</v>
      </c>
      <c r="D1483" s="217" t="str">
        <f t="shared" si="118"/>
        <v>19</v>
      </c>
      <c r="E1483">
        <f t="shared" si="119"/>
        <v>2019</v>
      </c>
      <c r="F1483" s="217" t="str">
        <f t="shared" si="120"/>
        <v>3Q19</v>
      </c>
      <c r="G1483" s="218">
        <v>43712</v>
      </c>
      <c r="H1483" s="217">
        <v>4.0951000000000004</v>
      </c>
    </row>
    <row r="1484" spans="2:8">
      <c r="B1484" s="217" t="str">
        <f t="shared" si="117"/>
        <v>3Q</v>
      </c>
      <c r="C1484" s="217">
        <f t="shared" si="121"/>
        <v>9</v>
      </c>
      <c r="D1484" s="217" t="str">
        <f t="shared" si="118"/>
        <v>19</v>
      </c>
      <c r="E1484">
        <f t="shared" si="119"/>
        <v>2019</v>
      </c>
      <c r="F1484" s="217" t="str">
        <f t="shared" si="120"/>
        <v>3Q19</v>
      </c>
      <c r="G1484" s="218">
        <v>43713</v>
      </c>
      <c r="H1484" s="217">
        <v>4.1094999999999997</v>
      </c>
    </row>
    <row r="1485" spans="2:8">
      <c r="B1485" s="217" t="str">
        <f t="shared" si="117"/>
        <v>3Q</v>
      </c>
      <c r="C1485" s="217">
        <f t="shared" si="121"/>
        <v>9</v>
      </c>
      <c r="D1485" s="217" t="str">
        <f t="shared" si="118"/>
        <v>19</v>
      </c>
      <c r="E1485">
        <f t="shared" si="119"/>
        <v>2019</v>
      </c>
      <c r="F1485" s="217" t="str">
        <f t="shared" si="120"/>
        <v>3Q19</v>
      </c>
      <c r="G1485" s="218">
        <v>43714</v>
      </c>
      <c r="H1485" s="217">
        <v>4.0617999999999999</v>
      </c>
    </row>
    <row r="1486" spans="2:8">
      <c r="B1486" s="217" t="str">
        <f t="shared" si="117"/>
        <v>3Q</v>
      </c>
      <c r="C1486" s="217">
        <f t="shared" si="121"/>
        <v>9</v>
      </c>
      <c r="D1486" s="217" t="str">
        <f t="shared" si="118"/>
        <v>19</v>
      </c>
      <c r="E1486">
        <f t="shared" si="119"/>
        <v>2019</v>
      </c>
      <c r="F1486" s="217" t="str">
        <f t="shared" si="120"/>
        <v>3Q19</v>
      </c>
      <c r="G1486" s="218">
        <v>43717</v>
      </c>
      <c r="H1486" s="217">
        <v>4.0952999999999999</v>
      </c>
    </row>
    <row r="1487" spans="2:8">
      <c r="B1487" s="217" t="str">
        <f t="shared" si="117"/>
        <v>3Q</v>
      </c>
      <c r="C1487" s="217">
        <f t="shared" si="121"/>
        <v>9</v>
      </c>
      <c r="D1487" s="217" t="str">
        <f t="shared" si="118"/>
        <v>19</v>
      </c>
      <c r="E1487">
        <f t="shared" si="119"/>
        <v>2019</v>
      </c>
      <c r="F1487" s="217" t="str">
        <f t="shared" si="120"/>
        <v>3Q19</v>
      </c>
      <c r="G1487" s="218">
        <v>43718</v>
      </c>
      <c r="H1487" s="217">
        <v>4.0808</v>
      </c>
    </row>
    <row r="1488" spans="2:8">
      <c r="B1488" s="217" t="str">
        <f t="shared" si="117"/>
        <v>3Q</v>
      </c>
      <c r="C1488" s="217">
        <f t="shared" si="121"/>
        <v>9</v>
      </c>
      <c r="D1488" s="217" t="str">
        <f t="shared" si="118"/>
        <v>19</v>
      </c>
      <c r="E1488">
        <f t="shared" si="119"/>
        <v>2019</v>
      </c>
      <c r="F1488" s="217" t="str">
        <f t="shared" si="120"/>
        <v>3Q19</v>
      </c>
      <c r="G1488" s="218">
        <v>43719</v>
      </c>
      <c r="H1488" s="217">
        <v>4.0679999999999996</v>
      </c>
    </row>
    <row r="1489" spans="2:8">
      <c r="B1489" s="217" t="str">
        <f t="shared" si="117"/>
        <v>3Q</v>
      </c>
      <c r="C1489" s="217">
        <f t="shared" si="121"/>
        <v>9</v>
      </c>
      <c r="D1489" s="217" t="str">
        <f t="shared" si="118"/>
        <v>19</v>
      </c>
      <c r="E1489">
        <f t="shared" si="119"/>
        <v>2019</v>
      </c>
      <c r="F1489" s="217" t="str">
        <f t="shared" si="120"/>
        <v>3Q19</v>
      </c>
      <c r="G1489" s="218">
        <v>43720</v>
      </c>
      <c r="H1489" s="217">
        <v>4.0608000000000004</v>
      </c>
    </row>
    <row r="1490" spans="2:8">
      <c r="B1490" s="217" t="str">
        <f t="shared" si="117"/>
        <v>3Q</v>
      </c>
      <c r="C1490" s="217">
        <f t="shared" si="121"/>
        <v>9</v>
      </c>
      <c r="D1490" s="217" t="str">
        <f t="shared" si="118"/>
        <v>19</v>
      </c>
      <c r="E1490">
        <f t="shared" si="119"/>
        <v>2019</v>
      </c>
      <c r="F1490" s="217" t="str">
        <f t="shared" si="120"/>
        <v>3Q19</v>
      </c>
      <c r="G1490" s="218">
        <v>43721</v>
      </c>
      <c r="H1490" s="217">
        <v>4.0849000000000002</v>
      </c>
    </row>
    <row r="1491" spans="2:8">
      <c r="B1491" s="217" t="str">
        <f t="shared" si="117"/>
        <v>3Q</v>
      </c>
      <c r="C1491" s="217">
        <f t="shared" si="121"/>
        <v>9</v>
      </c>
      <c r="D1491" s="217" t="str">
        <f t="shared" si="118"/>
        <v>19</v>
      </c>
      <c r="E1491">
        <f t="shared" si="119"/>
        <v>2019</v>
      </c>
      <c r="F1491" s="217" t="str">
        <f t="shared" si="120"/>
        <v>3Q19</v>
      </c>
      <c r="G1491" s="218">
        <v>43724</v>
      </c>
      <c r="H1491" s="217">
        <v>4.0810000000000004</v>
      </c>
    </row>
    <row r="1492" spans="2:8">
      <c r="B1492" s="217" t="str">
        <f t="shared" si="117"/>
        <v>3Q</v>
      </c>
      <c r="C1492" s="217">
        <f t="shared" si="121"/>
        <v>9</v>
      </c>
      <c r="D1492" s="217" t="str">
        <f t="shared" si="118"/>
        <v>19</v>
      </c>
      <c r="E1492">
        <f t="shared" si="119"/>
        <v>2019</v>
      </c>
      <c r="F1492" s="217" t="str">
        <f t="shared" si="120"/>
        <v>3Q19</v>
      </c>
      <c r="G1492" s="218">
        <v>43725</v>
      </c>
      <c r="H1492" s="217">
        <v>4.0777000000000001</v>
      </c>
    </row>
    <row r="1493" spans="2:8">
      <c r="B1493" s="217" t="str">
        <f t="shared" si="117"/>
        <v>3Q</v>
      </c>
      <c r="C1493" s="217">
        <f t="shared" si="121"/>
        <v>9</v>
      </c>
      <c r="D1493" s="217" t="str">
        <f t="shared" si="118"/>
        <v>19</v>
      </c>
      <c r="E1493">
        <f t="shared" si="119"/>
        <v>2019</v>
      </c>
      <c r="F1493" s="217" t="str">
        <f t="shared" si="120"/>
        <v>3Q19</v>
      </c>
      <c r="G1493" s="218">
        <v>43726</v>
      </c>
      <c r="H1493" s="217">
        <v>4.1112000000000002</v>
      </c>
    </row>
    <row r="1494" spans="2:8">
      <c r="B1494" s="217" t="str">
        <f t="shared" si="117"/>
        <v>3Q</v>
      </c>
      <c r="C1494" s="217">
        <f t="shared" si="121"/>
        <v>9</v>
      </c>
      <c r="D1494" s="217" t="str">
        <f t="shared" si="118"/>
        <v>19</v>
      </c>
      <c r="E1494">
        <f t="shared" si="119"/>
        <v>2019</v>
      </c>
      <c r="F1494" s="217" t="str">
        <f t="shared" si="120"/>
        <v>3Q19</v>
      </c>
      <c r="G1494" s="218">
        <v>43727</v>
      </c>
      <c r="H1494" s="217">
        <v>4.1677999999999997</v>
      </c>
    </row>
    <row r="1495" spans="2:8">
      <c r="B1495" s="217" t="str">
        <f t="shared" si="117"/>
        <v>3Q</v>
      </c>
      <c r="C1495" s="217">
        <f t="shared" si="121"/>
        <v>9</v>
      </c>
      <c r="D1495" s="217" t="str">
        <f t="shared" si="118"/>
        <v>19</v>
      </c>
      <c r="E1495">
        <f t="shared" si="119"/>
        <v>2019</v>
      </c>
      <c r="F1495" s="217" t="str">
        <f t="shared" si="120"/>
        <v>3Q19</v>
      </c>
      <c r="G1495" s="218">
        <v>43728</v>
      </c>
      <c r="H1495" s="217">
        <v>4.1479999999999997</v>
      </c>
    </row>
    <row r="1496" spans="2:8">
      <c r="B1496" s="217" t="str">
        <f t="shared" si="117"/>
        <v>3Q</v>
      </c>
      <c r="C1496" s="217">
        <f t="shared" si="121"/>
        <v>9</v>
      </c>
      <c r="D1496" s="217" t="str">
        <f t="shared" si="118"/>
        <v>19</v>
      </c>
      <c r="E1496">
        <f t="shared" si="119"/>
        <v>2019</v>
      </c>
      <c r="F1496" s="217" t="str">
        <f t="shared" si="120"/>
        <v>3Q19</v>
      </c>
      <c r="G1496" s="218">
        <v>43731</v>
      </c>
      <c r="H1496" s="217">
        <v>4.1638000000000002</v>
      </c>
    </row>
    <row r="1497" spans="2:8">
      <c r="B1497" s="217" t="str">
        <f t="shared" si="117"/>
        <v>3Q</v>
      </c>
      <c r="C1497" s="217">
        <f t="shared" si="121"/>
        <v>9</v>
      </c>
      <c r="D1497" s="217" t="str">
        <f t="shared" si="118"/>
        <v>19</v>
      </c>
      <c r="E1497">
        <f t="shared" si="119"/>
        <v>2019</v>
      </c>
      <c r="F1497" s="217" t="str">
        <f t="shared" si="120"/>
        <v>3Q19</v>
      </c>
      <c r="G1497" s="218">
        <v>43732</v>
      </c>
      <c r="H1497" s="217">
        <v>4.165</v>
      </c>
    </row>
    <row r="1498" spans="2:8">
      <c r="B1498" s="217" t="str">
        <f t="shared" si="117"/>
        <v>3Q</v>
      </c>
      <c r="C1498" s="217">
        <f t="shared" si="121"/>
        <v>9</v>
      </c>
      <c r="D1498" s="217" t="str">
        <f t="shared" si="118"/>
        <v>19</v>
      </c>
      <c r="E1498">
        <f t="shared" si="119"/>
        <v>2019</v>
      </c>
      <c r="F1498" s="217" t="str">
        <f t="shared" si="120"/>
        <v>3Q19</v>
      </c>
      <c r="G1498" s="218">
        <v>43733</v>
      </c>
      <c r="H1498" s="217">
        <v>4.1490999999999998</v>
      </c>
    </row>
    <row r="1499" spans="2:8">
      <c r="B1499" s="217" t="str">
        <f t="shared" si="117"/>
        <v>3Q</v>
      </c>
      <c r="C1499" s="217">
        <f t="shared" si="121"/>
        <v>9</v>
      </c>
      <c r="D1499" s="217" t="str">
        <f t="shared" si="118"/>
        <v>19</v>
      </c>
      <c r="E1499">
        <f t="shared" si="119"/>
        <v>2019</v>
      </c>
      <c r="F1499" s="217" t="str">
        <f t="shared" si="120"/>
        <v>3Q19</v>
      </c>
      <c r="G1499" s="218">
        <v>43734</v>
      </c>
      <c r="H1499" s="217">
        <v>4.1711</v>
      </c>
    </row>
    <row r="1500" spans="2:8">
      <c r="B1500" s="217" t="str">
        <f t="shared" si="117"/>
        <v>3Q</v>
      </c>
      <c r="C1500" s="217">
        <f t="shared" si="121"/>
        <v>9</v>
      </c>
      <c r="D1500" s="217" t="str">
        <f t="shared" si="118"/>
        <v>19</v>
      </c>
      <c r="E1500">
        <f t="shared" si="119"/>
        <v>2019</v>
      </c>
      <c r="F1500" s="217" t="str">
        <f t="shared" si="120"/>
        <v>3Q19</v>
      </c>
      <c r="G1500" s="218">
        <v>43735</v>
      </c>
      <c r="H1500" s="217">
        <v>4.1601999999999997</v>
      </c>
    </row>
    <row r="1501" spans="2:8">
      <c r="B1501" s="217" t="str">
        <f t="shared" si="117"/>
        <v>3Q</v>
      </c>
      <c r="C1501" s="217">
        <f t="shared" si="121"/>
        <v>9</v>
      </c>
      <c r="D1501" s="217" t="str">
        <f t="shared" si="118"/>
        <v>19</v>
      </c>
      <c r="E1501">
        <f t="shared" si="119"/>
        <v>2019</v>
      </c>
      <c r="F1501" s="217" t="str">
        <f t="shared" si="120"/>
        <v>3Q19</v>
      </c>
      <c r="G1501" s="218">
        <v>43738</v>
      </c>
      <c r="H1501" s="217">
        <v>4.1555999999999997</v>
      </c>
    </row>
    <row r="1502" spans="2:8">
      <c r="B1502" s="217" t="str">
        <f t="shared" si="117"/>
        <v>4Q</v>
      </c>
      <c r="C1502" s="217">
        <f t="shared" si="121"/>
        <v>10</v>
      </c>
      <c r="D1502" s="217" t="str">
        <f t="shared" si="118"/>
        <v>19</v>
      </c>
      <c r="E1502">
        <f t="shared" si="119"/>
        <v>2019</v>
      </c>
      <c r="F1502" s="217" t="str">
        <f t="shared" si="120"/>
        <v>4Q19</v>
      </c>
      <c r="G1502" s="218">
        <v>43739</v>
      </c>
      <c r="H1502" s="217">
        <v>4.1590999999999996</v>
      </c>
    </row>
    <row r="1503" spans="2:8">
      <c r="B1503" s="217" t="str">
        <f t="shared" si="117"/>
        <v>4Q</v>
      </c>
      <c r="C1503" s="217">
        <f t="shared" si="121"/>
        <v>10</v>
      </c>
      <c r="D1503" s="217" t="str">
        <f t="shared" si="118"/>
        <v>19</v>
      </c>
      <c r="E1503">
        <f t="shared" si="119"/>
        <v>2019</v>
      </c>
      <c r="F1503" s="217" t="str">
        <f t="shared" si="120"/>
        <v>4Q19</v>
      </c>
      <c r="G1503" s="218">
        <v>43740</v>
      </c>
      <c r="H1503" s="217">
        <v>4.1292999999999997</v>
      </c>
    </row>
    <row r="1504" spans="2:8">
      <c r="B1504" s="217" t="str">
        <f t="shared" si="117"/>
        <v>4Q</v>
      </c>
      <c r="C1504" s="217">
        <f t="shared" si="121"/>
        <v>10</v>
      </c>
      <c r="D1504" s="217" t="str">
        <f t="shared" si="118"/>
        <v>19</v>
      </c>
      <c r="E1504">
        <f t="shared" si="119"/>
        <v>2019</v>
      </c>
      <c r="F1504" s="217" t="str">
        <f t="shared" si="120"/>
        <v>4Q19</v>
      </c>
      <c r="G1504" s="218">
        <v>43741</v>
      </c>
      <c r="H1504" s="217">
        <v>4.0839999999999996</v>
      </c>
    </row>
    <row r="1505" spans="2:8">
      <c r="B1505" s="217" t="str">
        <f t="shared" si="117"/>
        <v>4Q</v>
      </c>
      <c r="C1505" s="217">
        <f t="shared" si="121"/>
        <v>10</v>
      </c>
      <c r="D1505" s="217" t="str">
        <f t="shared" si="118"/>
        <v>19</v>
      </c>
      <c r="E1505">
        <f t="shared" si="119"/>
        <v>2019</v>
      </c>
      <c r="F1505" s="217" t="str">
        <f t="shared" si="120"/>
        <v>4Q19</v>
      </c>
      <c r="G1505" s="218">
        <v>43742</v>
      </c>
      <c r="H1505" s="217">
        <v>4.0556000000000001</v>
      </c>
    </row>
    <row r="1506" spans="2:8">
      <c r="B1506" s="217" t="str">
        <f t="shared" si="117"/>
        <v>4Q</v>
      </c>
      <c r="C1506" s="217">
        <f t="shared" si="121"/>
        <v>10</v>
      </c>
      <c r="D1506" s="217" t="str">
        <f t="shared" si="118"/>
        <v>19</v>
      </c>
      <c r="E1506">
        <f t="shared" si="119"/>
        <v>2019</v>
      </c>
      <c r="F1506" s="217" t="str">
        <f t="shared" si="120"/>
        <v>4Q19</v>
      </c>
      <c r="G1506" s="218">
        <v>43745</v>
      </c>
      <c r="H1506" s="217">
        <v>4.1071</v>
      </c>
    </row>
    <row r="1507" spans="2:8">
      <c r="B1507" s="217" t="str">
        <f t="shared" si="117"/>
        <v>4Q</v>
      </c>
      <c r="C1507" s="217">
        <f t="shared" si="121"/>
        <v>10</v>
      </c>
      <c r="D1507" s="217" t="str">
        <f t="shared" si="118"/>
        <v>19</v>
      </c>
      <c r="E1507">
        <f t="shared" si="119"/>
        <v>2019</v>
      </c>
      <c r="F1507" s="217" t="str">
        <f t="shared" si="120"/>
        <v>4Q19</v>
      </c>
      <c r="G1507" s="218">
        <v>43746</v>
      </c>
      <c r="H1507" s="217">
        <v>4.0953999999999997</v>
      </c>
    </row>
    <row r="1508" spans="2:8">
      <c r="B1508" s="217" t="str">
        <f t="shared" si="117"/>
        <v>4Q</v>
      </c>
      <c r="C1508" s="217">
        <f t="shared" si="121"/>
        <v>10</v>
      </c>
      <c r="D1508" s="217" t="str">
        <f t="shared" si="118"/>
        <v>19</v>
      </c>
      <c r="E1508">
        <f t="shared" si="119"/>
        <v>2019</v>
      </c>
      <c r="F1508" s="217" t="str">
        <f t="shared" si="120"/>
        <v>4Q19</v>
      </c>
      <c r="G1508" s="218">
        <v>43747</v>
      </c>
      <c r="H1508" s="217">
        <v>4.1104000000000003</v>
      </c>
    </row>
    <row r="1509" spans="2:8">
      <c r="B1509" s="217" t="str">
        <f t="shared" si="117"/>
        <v>4Q</v>
      </c>
      <c r="C1509" s="217">
        <f t="shared" si="121"/>
        <v>10</v>
      </c>
      <c r="D1509" s="217" t="str">
        <f t="shared" si="118"/>
        <v>19</v>
      </c>
      <c r="E1509">
        <f t="shared" si="119"/>
        <v>2019</v>
      </c>
      <c r="F1509" s="217" t="str">
        <f t="shared" si="120"/>
        <v>4Q19</v>
      </c>
      <c r="G1509" s="218">
        <v>43748</v>
      </c>
      <c r="H1509" s="217">
        <v>4.1094999999999997</v>
      </c>
    </row>
    <row r="1510" spans="2:8">
      <c r="B1510" s="217" t="str">
        <f t="shared" si="117"/>
        <v>4Q</v>
      </c>
      <c r="C1510" s="217">
        <f t="shared" si="121"/>
        <v>10</v>
      </c>
      <c r="D1510" s="217" t="str">
        <f t="shared" si="118"/>
        <v>19</v>
      </c>
      <c r="E1510">
        <f t="shared" si="119"/>
        <v>2019</v>
      </c>
      <c r="F1510" s="217" t="str">
        <f t="shared" si="120"/>
        <v>4Q19</v>
      </c>
      <c r="G1510" s="218">
        <v>43749</v>
      </c>
      <c r="H1510" s="217">
        <v>4.1097000000000001</v>
      </c>
    </row>
    <row r="1511" spans="2:8">
      <c r="B1511" s="217" t="str">
        <f t="shared" si="117"/>
        <v>4Q</v>
      </c>
      <c r="C1511" s="217">
        <f t="shared" si="121"/>
        <v>10</v>
      </c>
      <c r="D1511" s="217" t="str">
        <f t="shared" si="118"/>
        <v>19</v>
      </c>
      <c r="E1511">
        <f t="shared" si="119"/>
        <v>2019</v>
      </c>
      <c r="F1511" s="217" t="str">
        <f t="shared" si="120"/>
        <v>4Q19</v>
      </c>
      <c r="G1511" s="218">
        <v>43752</v>
      </c>
      <c r="H1511" s="217">
        <v>4.1265000000000001</v>
      </c>
    </row>
    <row r="1512" spans="2:8">
      <c r="B1512" s="217" t="str">
        <f t="shared" si="117"/>
        <v>4Q</v>
      </c>
      <c r="C1512" s="217">
        <f t="shared" si="121"/>
        <v>10</v>
      </c>
      <c r="D1512" s="217" t="str">
        <f t="shared" si="118"/>
        <v>19</v>
      </c>
      <c r="E1512">
        <f t="shared" si="119"/>
        <v>2019</v>
      </c>
      <c r="F1512" s="217" t="str">
        <f t="shared" si="120"/>
        <v>4Q19</v>
      </c>
      <c r="G1512" s="218">
        <v>43753</v>
      </c>
      <c r="H1512" s="217">
        <v>4.1806999999999999</v>
      </c>
    </row>
    <row r="1513" spans="2:8">
      <c r="B1513" s="217" t="str">
        <f t="shared" si="117"/>
        <v>4Q</v>
      </c>
      <c r="C1513" s="217">
        <f t="shared" si="121"/>
        <v>10</v>
      </c>
      <c r="D1513" s="217" t="str">
        <f t="shared" si="118"/>
        <v>19</v>
      </c>
      <c r="E1513">
        <f t="shared" si="119"/>
        <v>2019</v>
      </c>
      <c r="F1513" s="217" t="str">
        <f t="shared" si="120"/>
        <v>4Q19</v>
      </c>
      <c r="G1513" s="218">
        <v>43754</v>
      </c>
      <c r="H1513" s="217">
        <v>4.1517999999999997</v>
      </c>
    </row>
    <row r="1514" spans="2:8">
      <c r="B1514" s="217" t="str">
        <f t="shared" si="117"/>
        <v>4Q</v>
      </c>
      <c r="C1514" s="217">
        <f t="shared" si="121"/>
        <v>10</v>
      </c>
      <c r="D1514" s="217" t="str">
        <f t="shared" si="118"/>
        <v>19</v>
      </c>
      <c r="E1514">
        <f t="shared" si="119"/>
        <v>2019</v>
      </c>
      <c r="F1514" s="217" t="str">
        <f t="shared" si="120"/>
        <v>4Q19</v>
      </c>
      <c r="G1514" s="218">
        <v>43755</v>
      </c>
      <c r="H1514" s="217">
        <v>4.1642999999999999</v>
      </c>
    </row>
    <row r="1515" spans="2:8">
      <c r="B1515" s="217" t="str">
        <f t="shared" si="117"/>
        <v>4Q</v>
      </c>
      <c r="C1515" s="217">
        <f t="shared" si="121"/>
        <v>10</v>
      </c>
      <c r="D1515" s="217" t="str">
        <f t="shared" si="118"/>
        <v>19</v>
      </c>
      <c r="E1515">
        <f t="shared" si="119"/>
        <v>2019</v>
      </c>
      <c r="F1515" s="217" t="str">
        <f t="shared" si="120"/>
        <v>4Q19</v>
      </c>
      <c r="G1515" s="218">
        <v>43756</v>
      </c>
      <c r="H1515" s="217">
        <v>4.1117999999999997</v>
      </c>
    </row>
    <row r="1516" spans="2:8">
      <c r="B1516" s="217" t="str">
        <f t="shared" si="117"/>
        <v>4Q</v>
      </c>
      <c r="C1516" s="217">
        <f t="shared" si="121"/>
        <v>10</v>
      </c>
      <c r="D1516" s="217" t="str">
        <f t="shared" si="118"/>
        <v>19</v>
      </c>
      <c r="E1516">
        <f t="shared" si="119"/>
        <v>2019</v>
      </c>
      <c r="F1516" s="217" t="str">
        <f t="shared" si="120"/>
        <v>4Q19</v>
      </c>
      <c r="G1516" s="218">
        <v>43759</v>
      </c>
      <c r="H1516" s="217">
        <v>4.1294000000000004</v>
      </c>
    </row>
    <row r="1517" spans="2:8">
      <c r="B1517" s="217" t="str">
        <f t="shared" si="117"/>
        <v>4Q</v>
      </c>
      <c r="C1517" s="217">
        <f t="shared" si="121"/>
        <v>10</v>
      </c>
      <c r="D1517" s="217" t="str">
        <f t="shared" si="118"/>
        <v>19</v>
      </c>
      <c r="E1517">
        <f t="shared" si="119"/>
        <v>2019</v>
      </c>
      <c r="F1517" s="217" t="str">
        <f t="shared" si="120"/>
        <v>4Q19</v>
      </c>
      <c r="G1517" s="218">
        <v>43760</v>
      </c>
      <c r="H1517" s="217">
        <v>4.0819000000000001</v>
      </c>
    </row>
    <row r="1518" spans="2:8">
      <c r="B1518" s="217" t="str">
        <f t="shared" si="117"/>
        <v>4Q</v>
      </c>
      <c r="C1518" s="217">
        <f t="shared" si="121"/>
        <v>10</v>
      </c>
      <c r="D1518" s="217" t="str">
        <f t="shared" si="118"/>
        <v>19</v>
      </c>
      <c r="E1518">
        <f t="shared" si="119"/>
        <v>2019</v>
      </c>
      <c r="F1518" s="217" t="str">
        <f t="shared" si="120"/>
        <v>4Q19</v>
      </c>
      <c r="G1518" s="218">
        <v>43761</v>
      </c>
      <c r="H1518" s="217">
        <v>4.0345000000000004</v>
      </c>
    </row>
    <row r="1519" spans="2:8">
      <c r="B1519" s="217" t="str">
        <f t="shared" si="117"/>
        <v>4Q</v>
      </c>
      <c r="C1519" s="217">
        <f t="shared" si="121"/>
        <v>10</v>
      </c>
      <c r="D1519" s="217" t="str">
        <f t="shared" si="118"/>
        <v>19</v>
      </c>
      <c r="E1519">
        <f t="shared" si="119"/>
        <v>2019</v>
      </c>
      <c r="F1519" s="217" t="str">
        <f t="shared" si="120"/>
        <v>4Q19</v>
      </c>
      <c r="G1519" s="218">
        <v>43762</v>
      </c>
      <c r="H1519" s="217">
        <v>4.0414000000000003</v>
      </c>
    </row>
    <row r="1520" spans="2:8">
      <c r="B1520" s="217" t="str">
        <f t="shared" si="117"/>
        <v>4Q</v>
      </c>
      <c r="C1520" s="217">
        <f t="shared" si="121"/>
        <v>10</v>
      </c>
      <c r="D1520" s="217" t="str">
        <f t="shared" si="118"/>
        <v>19</v>
      </c>
      <c r="E1520">
        <f t="shared" si="119"/>
        <v>2019</v>
      </c>
      <c r="F1520" s="217" t="str">
        <f t="shared" si="120"/>
        <v>4Q19</v>
      </c>
      <c r="G1520" s="218">
        <v>43763</v>
      </c>
      <c r="H1520" s="217">
        <v>4.0038</v>
      </c>
    </row>
    <row r="1521" spans="2:8">
      <c r="B1521" s="217" t="str">
        <f t="shared" si="117"/>
        <v>4Q</v>
      </c>
      <c r="C1521" s="217">
        <f t="shared" si="121"/>
        <v>10</v>
      </c>
      <c r="D1521" s="217" t="str">
        <f t="shared" si="118"/>
        <v>19</v>
      </c>
      <c r="E1521">
        <f t="shared" si="119"/>
        <v>2019</v>
      </c>
      <c r="F1521" s="217" t="str">
        <f t="shared" si="120"/>
        <v>4Q19</v>
      </c>
      <c r="G1521" s="218">
        <v>43766</v>
      </c>
      <c r="H1521" s="217">
        <v>3.9910000000000001</v>
      </c>
    </row>
    <row r="1522" spans="2:8">
      <c r="B1522" s="217" t="str">
        <f t="shared" si="117"/>
        <v>4Q</v>
      </c>
      <c r="C1522" s="217">
        <f t="shared" si="121"/>
        <v>10</v>
      </c>
      <c r="D1522" s="217" t="str">
        <f t="shared" si="118"/>
        <v>19</v>
      </c>
      <c r="E1522">
        <f t="shared" si="119"/>
        <v>2019</v>
      </c>
      <c r="F1522" s="217" t="str">
        <f t="shared" si="120"/>
        <v>4Q19</v>
      </c>
      <c r="G1522" s="218">
        <v>43767</v>
      </c>
      <c r="H1522" s="217">
        <v>3.9986000000000002</v>
      </c>
    </row>
    <row r="1523" spans="2:8">
      <c r="B1523" s="217" t="str">
        <f t="shared" si="117"/>
        <v>4Q</v>
      </c>
      <c r="C1523" s="217">
        <f t="shared" si="121"/>
        <v>10</v>
      </c>
      <c r="D1523" s="217" t="str">
        <f t="shared" si="118"/>
        <v>19</v>
      </c>
      <c r="E1523">
        <f t="shared" si="119"/>
        <v>2019</v>
      </c>
      <c r="F1523" s="217" t="str">
        <f t="shared" si="120"/>
        <v>4Q19</v>
      </c>
      <c r="G1523" s="218">
        <v>43768</v>
      </c>
      <c r="H1523" s="217">
        <v>3.9908999999999999</v>
      </c>
    </row>
    <row r="1524" spans="2:8">
      <c r="B1524" s="217" t="str">
        <f t="shared" si="117"/>
        <v>4Q</v>
      </c>
      <c r="C1524" s="217">
        <f t="shared" si="121"/>
        <v>10</v>
      </c>
      <c r="D1524" s="217" t="str">
        <f t="shared" si="118"/>
        <v>19</v>
      </c>
      <c r="E1524">
        <f t="shared" si="119"/>
        <v>2019</v>
      </c>
      <c r="F1524" s="217" t="str">
        <f t="shared" si="120"/>
        <v>4Q19</v>
      </c>
      <c r="G1524" s="218">
        <v>43769</v>
      </c>
      <c r="H1524" s="217">
        <v>4.0183999999999997</v>
      </c>
    </row>
    <row r="1525" spans="2:8">
      <c r="B1525" s="217" t="str">
        <f t="shared" si="117"/>
        <v>4Q</v>
      </c>
      <c r="C1525" s="217">
        <f t="shared" si="121"/>
        <v>11</v>
      </c>
      <c r="D1525" s="217" t="str">
        <f t="shared" si="118"/>
        <v>19</v>
      </c>
      <c r="E1525">
        <f t="shared" si="119"/>
        <v>2019</v>
      </c>
      <c r="F1525" s="217" t="str">
        <f t="shared" si="120"/>
        <v>4Q19</v>
      </c>
      <c r="G1525" s="218">
        <v>43770</v>
      </c>
      <c r="H1525" s="217">
        <v>3.9904000000000002</v>
      </c>
    </row>
    <row r="1526" spans="2:8">
      <c r="B1526" s="217" t="str">
        <f t="shared" si="117"/>
        <v>4Q</v>
      </c>
      <c r="C1526" s="217">
        <f t="shared" si="121"/>
        <v>11</v>
      </c>
      <c r="D1526" s="217" t="str">
        <f t="shared" si="118"/>
        <v>19</v>
      </c>
      <c r="E1526">
        <f t="shared" si="119"/>
        <v>2019</v>
      </c>
      <c r="F1526" s="217" t="str">
        <f t="shared" si="120"/>
        <v>4Q19</v>
      </c>
      <c r="G1526" s="218">
        <v>43773</v>
      </c>
      <c r="H1526" s="217">
        <v>4.0156000000000001</v>
      </c>
    </row>
    <row r="1527" spans="2:8">
      <c r="B1527" s="217" t="str">
        <f t="shared" si="117"/>
        <v>4Q</v>
      </c>
      <c r="C1527" s="217">
        <f t="shared" si="121"/>
        <v>11</v>
      </c>
      <c r="D1527" s="217" t="str">
        <f t="shared" si="118"/>
        <v>19</v>
      </c>
      <c r="E1527">
        <f t="shared" si="119"/>
        <v>2019</v>
      </c>
      <c r="F1527" s="217" t="str">
        <f t="shared" si="120"/>
        <v>4Q19</v>
      </c>
      <c r="G1527" s="218">
        <v>43774</v>
      </c>
      <c r="H1527" s="217">
        <v>3.9937999999999998</v>
      </c>
    </row>
    <row r="1528" spans="2:8">
      <c r="B1528" s="217" t="str">
        <f t="shared" si="117"/>
        <v>4Q</v>
      </c>
      <c r="C1528" s="217">
        <f t="shared" si="121"/>
        <v>11</v>
      </c>
      <c r="D1528" s="217" t="str">
        <f t="shared" si="118"/>
        <v>19</v>
      </c>
      <c r="E1528">
        <f t="shared" si="119"/>
        <v>2019</v>
      </c>
      <c r="F1528" s="217" t="str">
        <f t="shared" si="120"/>
        <v>4Q19</v>
      </c>
      <c r="G1528" s="218">
        <v>43775</v>
      </c>
      <c r="H1528" s="217">
        <v>4.0837000000000003</v>
      </c>
    </row>
    <row r="1529" spans="2:8">
      <c r="B1529" s="217" t="str">
        <f t="shared" si="117"/>
        <v>4Q</v>
      </c>
      <c r="C1529" s="217">
        <f t="shared" si="121"/>
        <v>11</v>
      </c>
      <c r="D1529" s="217" t="str">
        <f t="shared" si="118"/>
        <v>19</v>
      </c>
      <c r="E1529">
        <f t="shared" si="119"/>
        <v>2019</v>
      </c>
      <c r="F1529" s="217" t="str">
        <f t="shared" si="120"/>
        <v>4Q19</v>
      </c>
      <c r="G1529" s="218">
        <v>43776</v>
      </c>
      <c r="H1529" s="217">
        <v>4.1006999999999998</v>
      </c>
    </row>
    <row r="1530" spans="2:8">
      <c r="B1530" s="217" t="str">
        <f t="shared" si="117"/>
        <v>4Q</v>
      </c>
      <c r="C1530" s="217">
        <f t="shared" si="121"/>
        <v>11</v>
      </c>
      <c r="D1530" s="217" t="str">
        <f t="shared" si="118"/>
        <v>19</v>
      </c>
      <c r="E1530">
        <f t="shared" si="119"/>
        <v>2019</v>
      </c>
      <c r="F1530" s="217" t="str">
        <f t="shared" si="120"/>
        <v>4Q19</v>
      </c>
      <c r="G1530" s="218">
        <v>43777</v>
      </c>
      <c r="H1530" s="217">
        <v>4.1635</v>
      </c>
    </row>
    <row r="1531" spans="2:8">
      <c r="B1531" s="217" t="str">
        <f t="shared" si="117"/>
        <v>4Q</v>
      </c>
      <c r="C1531" s="217">
        <f t="shared" si="121"/>
        <v>11</v>
      </c>
      <c r="D1531" s="217" t="str">
        <f t="shared" si="118"/>
        <v>19</v>
      </c>
      <c r="E1531">
        <f t="shared" si="119"/>
        <v>2019</v>
      </c>
      <c r="F1531" s="217" t="str">
        <f t="shared" si="120"/>
        <v>4Q19</v>
      </c>
      <c r="G1531" s="218">
        <v>43780</v>
      </c>
      <c r="H1531" s="217">
        <v>4.1517999999999997</v>
      </c>
    </row>
    <row r="1532" spans="2:8">
      <c r="B1532" s="217" t="str">
        <f t="shared" si="117"/>
        <v>4Q</v>
      </c>
      <c r="C1532" s="217">
        <f t="shared" si="121"/>
        <v>11</v>
      </c>
      <c r="D1532" s="217" t="str">
        <f t="shared" si="118"/>
        <v>19</v>
      </c>
      <c r="E1532">
        <f t="shared" si="119"/>
        <v>2019</v>
      </c>
      <c r="F1532" s="217" t="str">
        <f t="shared" si="120"/>
        <v>4Q19</v>
      </c>
      <c r="G1532" s="218">
        <v>43781</v>
      </c>
      <c r="H1532" s="217">
        <v>4.1677</v>
      </c>
    </row>
    <row r="1533" spans="2:8">
      <c r="B1533" s="217" t="str">
        <f t="shared" si="117"/>
        <v>4Q</v>
      </c>
      <c r="C1533" s="217">
        <f t="shared" si="121"/>
        <v>11</v>
      </c>
      <c r="D1533" s="217" t="str">
        <f t="shared" si="118"/>
        <v>19</v>
      </c>
      <c r="E1533">
        <f t="shared" si="119"/>
        <v>2019</v>
      </c>
      <c r="F1533" s="217" t="str">
        <f t="shared" si="120"/>
        <v>4Q19</v>
      </c>
      <c r="G1533" s="218">
        <v>43782</v>
      </c>
      <c r="H1533" s="217">
        <v>4.1704999999999997</v>
      </c>
    </row>
    <row r="1534" spans="2:8">
      <c r="B1534" s="217" t="str">
        <f t="shared" si="117"/>
        <v>4Q</v>
      </c>
      <c r="C1534" s="217">
        <f t="shared" si="121"/>
        <v>11</v>
      </c>
      <c r="D1534" s="217" t="str">
        <f t="shared" si="118"/>
        <v>19</v>
      </c>
      <c r="E1534">
        <f t="shared" si="119"/>
        <v>2019</v>
      </c>
      <c r="F1534" s="217" t="str">
        <f t="shared" si="120"/>
        <v>4Q19</v>
      </c>
      <c r="G1534" s="218">
        <v>43783</v>
      </c>
      <c r="H1534" s="217">
        <v>4.1951000000000001</v>
      </c>
    </row>
    <row r="1535" spans="2:8">
      <c r="B1535" s="217" t="str">
        <f t="shared" si="117"/>
        <v>4Q</v>
      </c>
      <c r="C1535" s="217">
        <f t="shared" si="121"/>
        <v>11</v>
      </c>
      <c r="D1535" s="217" t="str">
        <f t="shared" si="118"/>
        <v>19</v>
      </c>
      <c r="E1535">
        <f t="shared" si="119"/>
        <v>2019</v>
      </c>
      <c r="F1535" s="217" t="str">
        <f t="shared" si="120"/>
        <v>4Q19</v>
      </c>
      <c r="G1535" s="218">
        <v>43784</v>
      </c>
      <c r="H1535" s="217">
        <v>4.1962000000000002</v>
      </c>
    </row>
    <row r="1536" spans="2:8">
      <c r="B1536" s="217" t="str">
        <f t="shared" si="117"/>
        <v>4Q</v>
      </c>
      <c r="C1536" s="217">
        <f t="shared" si="121"/>
        <v>11</v>
      </c>
      <c r="D1536" s="217" t="str">
        <f t="shared" si="118"/>
        <v>19</v>
      </c>
      <c r="E1536">
        <f t="shared" si="119"/>
        <v>2019</v>
      </c>
      <c r="F1536" s="217" t="str">
        <f t="shared" si="120"/>
        <v>4Q19</v>
      </c>
      <c r="G1536" s="218">
        <v>43787</v>
      </c>
      <c r="H1536" s="217">
        <v>4.218</v>
      </c>
    </row>
    <row r="1537" spans="2:8">
      <c r="B1537" s="217" t="str">
        <f t="shared" si="117"/>
        <v>4Q</v>
      </c>
      <c r="C1537" s="217">
        <f t="shared" si="121"/>
        <v>11</v>
      </c>
      <c r="D1537" s="217" t="str">
        <f t="shared" si="118"/>
        <v>19</v>
      </c>
      <c r="E1537">
        <f t="shared" si="119"/>
        <v>2019</v>
      </c>
      <c r="F1537" s="217" t="str">
        <f t="shared" si="120"/>
        <v>4Q19</v>
      </c>
      <c r="G1537" s="218">
        <v>43788</v>
      </c>
      <c r="H1537" s="217">
        <v>4.1944999999999997</v>
      </c>
    </row>
    <row r="1538" spans="2:8">
      <c r="B1538" s="217" t="str">
        <f t="shared" si="117"/>
        <v>4Q</v>
      </c>
      <c r="C1538" s="217">
        <f t="shared" si="121"/>
        <v>11</v>
      </c>
      <c r="D1538" s="217" t="str">
        <f t="shared" si="118"/>
        <v>19</v>
      </c>
      <c r="E1538">
        <f t="shared" si="119"/>
        <v>2019</v>
      </c>
      <c r="F1538" s="217" t="str">
        <f t="shared" si="120"/>
        <v>4Q19</v>
      </c>
      <c r="G1538" s="218">
        <v>43789</v>
      </c>
      <c r="H1538" s="217">
        <v>4.1965000000000003</v>
      </c>
    </row>
    <row r="1539" spans="2:8">
      <c r="B1539" s="217" t="str">
        <f t="shared" ref="B1539:B1602" si="122">VLOOKUP(C1539,$N$3:$O$14,2,0)</f>
        <v>4Q</v>
      </c>
      <c r="C1539" s="217">
        <f t="shared" si="121"/>
        <v>11</v>
      </c>
      <c r="D1539" s="217" t="str">
        <f t="shared" ref="D1539:D1602" si="123">RIGHT(E1539,2)</f>
        <v>19</v>
      </c>
      <c r="E1539">
        <f t="shared" ref="E1539:E1602" si="124">YEAR(G1539)</f>
        <v>2019</v>
      </c>
      <c r="F1539" s="217" t="str">
        <f t="shared" ref="F1539:F1602" si="125">+B1539&amp;D1539</f>
        <v>4Q19</v>
      </c>
      <c r="G1539" s="218">
        <v>43790</v>
      </c>
      <c r="H1539" s="217">
        <v>4.1932</v>
      </c>
    </row>
    <row r="1540" spans="2:8">
      <c r="B1540" s="217" t="str">
        <f t="shared" si="122"/>
        <v>4Q</v>
      </c>
      <c r="C1540" s="217">
        <f t="shared" ref="C1540:C1603" si="126">MONTH(G1540)</f>
        <v>11</v>
      </c>
      <c r="D1540" s="217" t="str">
        <f t="shared" si="123"/>
        <v>19</v>
      </c>
      <c r="E1540">
        <f t="shared" si="124"/>
        <v>2019</v>
      </c>
      <c r="F1540" s="217" t="str">
        <f t="shared" si="125"/>
        <v>4Q19</v>
      </c>
      <c r="G1540" s="218">
        <v>43791</v>
      </c>
      <c r="H1540" s="217">
        <v>4.1966000000000001</v>
      </c>
    </row>
    <row r="1541" spans="2:8">
      <c r="B1541" s="217" t="str">
        <f t="shared" si="122"/>
        <v>4Q</v>
      </c>
      <c r="C1541" s="217">
        <f t="shared" si="126"/>
        <v>11</v>
      </c>
      <c r="D1541" s="217" t="str">
        <f t="shared" si="123"/>
        <v>19</v>
      </c>
      <c r="E1541">
        <f t="shared" si="124"/>
        <v>2019</v>
      </c>
      <c r="F1541" s="217" t="str">
        <f t="shared" si="125"/>
        <v>4Q19</v>
      </c>
      <c r="G1541" s="218">
        <v>43794</v>
      </c>
      <c r="H1541" s="217">
        <v>4.2268999999999997</v>
      </c>
    </row>
    <row r="1542" spans="2:8">
      <c r="B1542" s="217" t="str">
        <f t="shared" si="122"/>
        <v>4Q</v>
      </c>
      <c r="C1542" s="217">
        <f t="shared" si="126"/>
        <v>11</v>
      </c>
      <c r="D1542" s="217" t="str">
        <f t="shared" si="123"/>
        <v>19</v>
      </c>
      <c r="E1542">
        <f t="shared" si="124"/>
        <v>2019</v>
      </c>
      <c r="F1542" s="217" t="str">
        <f t="shared" si="125"/>
        <v>4Q19</v>
      </c>
      <c r="G1542" s="218">
        <v>43795</v>
      </c>
      <c r="H1542" s="217">
        <v>4.2332000000000001</v>
      </c>
    </row>
    <row r="1543" spans="2:8">
      <c r="B1543" s="217" t="str">
        <f t="shared" si="122"/>
        <v>4Q</v>
      </c>
      <c r="C1543" s="217">
        <f t="shared" si="126"/>
        <v>11</v>
      </c>
      <c r="D1543" s="217" t="str">
        <f t="shared" si="123"/>
        <v>19</v>
      </c>
      <c r="E1543">
        <f t="shared" si="124"/>
        <v>2019</v>
      </c>
      <c r="F1543" s="217" t="str">
        <f t="shared" si="125"/>
        <v>4Q19</v>
      </c>
      <c r="G1543" s="218">
        <v>43796</v>
      </c>
      <c r="H1543" s="217">
        <v>4.2637999999999998</v>
      </c>
    </row>
    <row r="1544" spans="2:8">
      <c r="B1544" s="217" t="str">
        <f t="shared" si="122"/>
        <v>4Q</v>
      </c>
      <c r="C1544" s="217">
        <f t="shared" si="126"/>
        <v>11</v>
      </c>
      <c r="D1544" s="217" t="str">
        <f t="shared" si="123"/>
        <v>19</v>
      </c>
      <c r="E1544">
        <f t="shared" si="124"/>
        <v>2019</v>
      </c>
      <c r="F1544" s="217" t="str">
        <f t="shared" si="125"/>
        <v>4Q19</v>
      </c>
      <c r="G1544" s="218">
        <v>43797</v>
      </c>
      <c r="H1544" s="217">
        <v>4.1902999999999997</v>
      </c>
    </row>
    <row r="1545" spans="2:8">
      <c r="B1545" s="217" t="str">
        <f t="shared" si="122"/>
        <v>4Q</v>
      </c>
      <c r="C1545" s="217">
        <f t="shared" si="126"/>
        <v>11</v>
      </c>
      <c r="D1545" s="217" t="str">
        <f t="shared" si="123"/>
        <v>19</v>
      </c>
      <c r="E1545">
        <f t="shared" si="124"/>
        <v>2019</v>
      </c>
      <c r="F1545" s="217" t="str">
        <f t="shared" si="125"/>
        <v>4Q19</v>
      </c>
      <c r="G1545" s="218">
        <v>43798</v>
      </c>
      <c r="H1545" s="217">
        <v>4.2366999999999999</v>
      </c>
    </row>
    <row r="1546" spans="2:8">
      <c r="B1546" s="217" t="str">
        <f t="shared" si="122"/>
        <v>4Q</v>
      </c>
      <c r="C1546" s="217">
        <f t="shared" si="126"/>
        <v>12</v>
      </c>
      <c r="D1546" s="217" t="str">
        <f t="shared" si="123"/>
        <v>19</v>
      </c>
      <c r="E1546">
        <f t="shared" si="124"/>
        <v>2019</v>
      </c>
      <c r="F1546" s="217" t="str">
        <f t="shared" si="125"/>
        <v>4Q19</v>
      </c>
      <c r="G1546" s="218">
        <v>43801</v>
      </c>
      <c r="H1546" s="217">
        <v>4.2233999999999998</v>
      </c>
    </row>
    <row r="1547" spans="2:8">
      <c r="B1547" s="217" t="str">
        <f t="shared" si="122"/>
        <v>4Q</v>
      </c>
      <c r="C1547" s="217">
        <f t="shared" si="126"/>
        <v>12</v>
      </c>
      <c r="D1547" s="217" t="str">
        <f t="shared" si="123"/>
        <v>19</v>
      </c>
      <c r="E1547">
        <f t="shared" si="124"/>
        <v>2019</v>
      </c>
      <c r="F1547" s="217" t="str">
        <f t="shared" si="125"/>
        <v>4Q19</v>
      </c>
      <c r="G1547" s="218">
        <v>43802</v>
      </c>
      <c r="H1547" s="217">
        <v>4.2065999999999999</v>
      </c>
    </row>
    <row r="1548" spans="2:8">
      <c r="B1548" s="217" t="str">
        <f t="shared" si="122"/>
        <v>4Q</v>
      </c>
      <c r="C1548" s="217">
        <f t="shared" si="126"/>
        <v>12</v>
      </c>
      <c r="D1548" s="217" t="str">
        <f t="shared" si="123"/>
        <v>19</v>
      </c>
      <c r="E1548">
        <f t="shared" si="124"/>
        <v>2019</v>
      </c>
      <c r="F1548" s="217" t="str">
        <f t="shared" si="125"/>
        <v>4Q19</v>
      </c>
      <c r="G1548" s="218">
        <v>43803</v>
      </c>
      <c r="H1548" s="217">
        <v>4.2080000000000002</v>
      </c>
    </row>
    <row r="1549" spans="2:8">
      <c r="B1549" s="217" t="str">
        <f t="shared" si="122"/>
        <v>4Q</v>
      </c>
      <c r="C1549" s="217">
        <f t="shared" si="126"/>
        <v>12</v>
      </c>
      <c r="D1549" s="217" t="str">
        <f t="shared" si="123"/>
        <v>19</v>
      </c>
      <c r="E1549">
        <f t="shared" si="124"/>
        <v>2019</v>
      </c>
      <c r="F1549" s="217" t="str">
        <f t="shared" si="125"/>
        <v>4Q19</v>
      </c>
      <c r="G1549" s="218">
        <v>43804</v>
      </c>
      <c r="H1549" s="217">
        <v>4.1859999999999999</v>
      </c>
    </row>
    <row r="1550" spans="2:8">
      <c r="B1550" s="217" t="str">
        <f t="shared" si="122"/>
        <v>4Q</v>
      </c>
      <c r="C1550" s="217">
        <f t="shared" si="126"/>
        <v>12</v>
      </c>
      <c r="D1550" s="217" t="str">
        <f t="shared" si="123"/>
        <v>19</v>
      </c>
      <c r="E1550">
        <f t="shared" si="124"/>
        <v>2019</v>
      </c>
      <c r="F1550" s="217" t="str">
        <f t="shared" si="125"/>
        <v>4Q19</v>
      </c>
      <c r="G1550" s="218">
        <v>43805</v>
      </c>
      <c r="H1550" s="217">
        <v>4.1414</v>
      </c>
    </row>
    <row r="1551" spans="2:8">
      <c r="B1551" s="217" t="str">
        <f t="shared" si="122"/>
        <v>4Q</v>
      </c>
      <c r="C1551" s="217">
        <f t="shared" si="126"/>
        <v>12</v>
      </c>
      <c r="D1551" s="217" t="str">
        <f t="shared" si="123"/>
        <v>19</v>
      </c>
      <c r="E1551">
        <f t="shared" si="124"/>
        <v>2019</v>
      </c>
      <c r="F1551" s="217" t="str">
        <f t="shared" si="125"/>
        <v>4Q19</v>
      </c>
      <c r="G1551" s="218">
        <v>43808</v>
      </c>
      <c r="H1551" s="217">
        <v>4.1425000000000001</v>
      </c>
    </row>
    <row r="1552" spans="2:8">
      <c r="B1552" s="217" t="str">
        <f t="shared" si="122"/>
        <v>4Q</v>
      </c>
      <c r="C1552" s="217">
        <f t="shared" si="126"/>
        <v>12</v>
      </c>
      <c r="D1552" s="217" t="str">
        <f t="shared" si="123"/>
        <v>19</v>
      </c>
      <c r="E1552">
        <f t="shared" si="124"/>
        <v>2019</v>
      </c>
      <c r="F1552" s="217" t="str">
        <f t="shared" si="125"/>
        <v>4Q19</v>
      </c>
      <c r="G1552" s="218">
        <v>43809</v>
      </c>
      <c r="H1552" s="217">
        <v>4.1470000000000002</v>
      </c>
    </row>
    <row r="1553" spans="2:8">
      <c r="B1553" s="217" t="str">
        <f t="shared" si="122"/>
        <v>4Q</v>
      </c>
      <c r="C1553" s="217">
        <f t="shared" si="126"/>
        <v>12</v>
      </c>
      <c r="D1553" s="217" t="str">
        <f t="shared" si="123"/>
        <v>19</v>
      </c>
      <c r="E1553">
        <f t="shared" si="124"/>
        <v>2019</v>
      </c>
      <c r="F1553" s="217" t="str">
        <f t="shared" si="125"/>
        <v>4Q19</v>
      </c>
      <c r="G1553" s="218">
        <v>43810</v>
      </c>
      <c r="H1553" s="217">
        <v>4.1242000000000001</v>
      </c>
    </row>
    <row r="1554" spans="2:8">
      <c r="B1554" s="217" t="str">
        <f t="shared" si="122"/>
        <v>4Q</v>
      </c>
      <c r="C1554" s="217">
        <f t="shared" si="126"/>
        <v>12</v>
      </c>
      <c r="D1554" s="217" t="str">
        <f t="shared" si="123"/>
        <v>19</v>
      </c>
      <c r="E1554">
        <f t="shared" si="124"/>
        <v>2019</v>
      </c>
      <c r="F1554" s="217" t="str">
        <f t="shared" si="125"/>
        <v>4Q19</v>
      </c>
      <c r="G1554" s="218">
        <v>43811</v>
      </c>
      <c r="H1554" s="217">
        <v>4.0907999999999998</v>
      </c>
    </row>
    <row r="1555" spans="2:8">
      <c r="B1555" s="217" t="str">
        <f t="shared" si="122"/>
        <v>4Q</v>
      </c>
      <c r="C1555" s="217">
        <f t="shared" si="126"/>
        <v>12</v>
      </c>
      <c r="D1555" s="217" t="str">
        <f t="shared" si="123"/>
        <v>19</v>
      </c>
      <c r="E1555">
        <f t="shared" si="124"/>
        <v>2019</v>
      </c>
      <c r="F1555" s="217" t="str">
        <f t="shared" si="125"/>
        <v>4Q19</v>
      </c>
      <c r="G1555" s="218">
        <v>43812</v>
      </c>
      <c r="H1555" s="217">
        <v>4.1082000000000001</v>
      </c>
    </row>
    <row r="1556" spans="2:8">
      <c r="B1556" s="217" t="str">
        <f t="shared" si="122"/>
        <v>4Q</v>
      </c>
      <c r="C1556" s="217">
        <f t="shared" si="126"/>
        <v>12</v>
      </c>
      <c r="D1556" s="217" t="str">
        <f t="shared" si="123"/>
        <v>19</v>
      </c>
      <c r="E1556">
        <f t="shared" si="124"/>
        <v>2019</v>
      </c>
      <c r="F1556" s="217" t="str">
        <f t="shared" si="125"/>
        <v>4Q19</v>
      </c>
      <c r="G1556" s="218">
        <v>43815</v>
      </c>
      <c r="H1556" s="217">
        <v>4.0632000000000001</v>
      </c>
    </row>
    <row r="1557" spans="2:8">
      <c r="B1557" s="217" t="str">
        <f t="shared" si="122"/>
        <v>4Q</v>
      </c>
      <c r="C1557" s="217">
        <f t="shared" si="126"/>
        <v>12</v>
      </c>
      <c r="D1557" s="217" t="str">
        <f t="shared" si="123"/>
        <v>19</v>
      </c>
      <c r="E1557">
        <f t="shared" si="124"/>
        <v>2019</v>
      </c>
      <c r="F1557" s="217" t="str">
        <f t="shared" si="125"/>
        <v>4Q19</v>
      </c>
      <c r="G1557" s="218">
        <v>43816</v>
      </c>
      <c r="H1557" s="217">
        <v>4.0717999999999996</v>
      </c>
    </row>
    <row r="1558" spans="2:8">
      <c r="B1558" s="217" t="str">
        <f t="shared" si="122"/>
        <v>4Q</v>
      </c>
      <c r="C1558" s="217">
        <f t="shared" si="126"/>
        <v>12</v>
      </c>
      <c r="D1558" s="217" t="str">
        <f t="shared" si="123"/>
        <v>19</v>
      </c>
      <c r="E1558">
        <f t="shared" si="124"/>
        <v>2019</v>
      </c>
      <c r="F1558" s="217" t="str">
        <f t="shared" si="125"/>
        <v>4Q19</v>
      </c>
      <c r="G1558" s="218">
        <v>43817</v>
      </c>
      <c r="H1558" s="217">
        <v>4.0633999999999997</v>
      </c>
    </row>
    <row r="1559" spans="2:8">
      <c r="B1559" s="217" t="str">
        <f t="shared" si="122"/>
        <v>4Q</v>
      </c>
      <c r="C1559" s="217">
        <f t="shared" si="126"/>
        <v>12</v>
      </c>
      <c r="D1559" s="217" t="str">
        <f t="shared" si="123"/>
        <v>19</v>
      </c>
      <c r="E1559">
        <f t="shared" si="124"/>
        <v>2019</v>
      </c>
      <c r="F1559" s="217" t="str">
        <f t="shared" si="125"/>
        <v>4Q19</v>
      </c>
      <c r="G1559" s="218">
        <v>43818</v>
      </c>
      <c r="H1559" s="217">
        <v>4.0697000000000001</v>
      </c>
    </row>
    <row r="1560" spans="2:8">
      <c r="B1560" s="217" t="str">
        <f t="shared" si="122"/>
        <v>4Q</v>
      </c>
      <c r="C1560" s="217">
        <f t="shared" si="126"/>
        <v>12</v>
      </c>
      <c r="D1560" s="217" t="str">
        <f t="shared" si="123"/>
        <v>19</v>
      </c>
      <c r="E1560">
        <f t="shared" si="124"/>
        <v>2019</v>
      </c>
      <c r="F1560" s="217" t="str">
        <f t="shared" si="125"/>
        <v>4Q19</v>
      </c>
      <c r="G1560" s="218">
        <v>43819</v>
      </c>
      <c r="H1560" s="217">
        <v>4.1025</v>
      </c>
    </row>
    <row r="1561" spans="2:8">
      <c r="B1561" s="217" t="str">
        <f t="shared" si="122"/>
        <v>4Q</v>
      </c>
      <c r="C1561" s="217">
        <f t="shared" si="126"/>
        <v>12</v>
      </c>
      <c r="D1561" s="217" t="str">
        <f t="shared" si="123"/>
        <v>19</v>
      </c>
      <c r="E1561">
        <f t="shared" si="124"/>
        <v>2019</v>
      </c>
      <c r="F1561" s="217" t="str">
        <f t="shared" si="125"/>
        <v>4Q19</v>
      </c>
      <c r="G1561" s="218">
        <v>43822</v>
      </c>
      <c r="H1561" s="217">
        <v>4.0835999999999997</v>
      </c>
    </row>
    <row r="1562" spans="2:8">
      <c r="B1562" s="217" t="str">
        <f t="shared" si="122"/>
        <v>4Q</v>
      </c>
      <c r="C1562" s="217">
        <f t="shared" si="126"/>
        <v>12</v>
      </c>
      <c r="D1562" s="217" t="str">
        <f t="shared" si="123"/>
        <v>19</v>
      </c>
      <c r="E1562">
        <f t="shared" si="124"/>
        <v>2019</v>
      </c>
      <c r="F1562" s="217" t="str">
        <f t="shared" si="125"/>
        <v>4Q19</v>
      </c>
      <c r="G1562" s="218">
        <v>43823</v>
      </c>
      <c r="H1562" s="217">
        <v>4.0838000000000001</v>
      </c>
    </row>
    <row r="1563" spans="2:8">
      <c r="B1563" s="217" t="str">
        <f t="shared" si="122"/>
        <v>4Q</v>
      </c>
      <c r="C1563" s="217">
        <f t="shared" si="126"/>
        <v>12</v>
      </c>
      <c r="D1563" s="217" t="str">
        <f t="shared" si="123"/>
        <v>19</v>
      </c>
      <c r="E1563">
        <f t="shared" si="124"/>
        <v>2019</v>
      </c>
      <c r="F1563" s="217" t="str">
        <f t="shared" si="125"/>
        <v>4Q19</v>
      </c>
      <c r="G1563" s="218">
        <v>43824</v>
      </c>
      <c r="H1563" s="217">
        <v>4.0838000000000001</v>
      </c>
    </row>
    <row r="1564" spans="2:8">
      <c r="B1564" s="217" t="str">
        <f t="shared" si="122"/>
        <v>4Q</v>
      </c>
      <c r="C1564" s="217">
        <f t="shared" si="126"/>
        <v>12</v>
      </c>
      <c r="D1564" s="217" t="str">
        <f t="shared" si="123"/>
        <v>19</v>
      </c>
      <c r="E1564">
        <f t="shared" si="124"/>
        <v>2019</v>
      </c>
      <c r="F1564" s="217" t="str">
        <f t="shared" si="125"/>
        <v>4Q19</v>
      </c>
      <c r="G1564" s="218">
        <v>43825</v>
      </c>
      <c r="H1564" s="217">
        <v>4.056</v>
      </c>
    </row>
    <row r="1565" spans="2:8">
      <c r="B1565" s="217" t="str">
        <f t="shared" si="122"/>
        <v>4Q</v>
      </c>
      <c r="C1565" s="217">
        <f t="shared" si="126"/>
        <v>12</v>
      </c>
      <c r="D1565" s="217" t="str">
        <f t="shared" si="123"/>
        <v>19</v>
      </c>
      <c r="E1565">
        <f t="shared" si="124"/>
        <v>2019</v>
      </c>
      <c r="F1565" s="217" t="str">
        <f t="shared" si="125"/>
        <v>4Q19</v>
      </c>
      <c r="G1565" s="218">
        <v>43826</v>
      </c>
      <c r="H1565" s="217">
        <v>4.0458999999999996</v>
      </c>
    </row>
    <row r="1566" spans="2:8">
      <c r="B1566" s="217" t="str">
        <f t="shared" si="122"/>
        <v>4Q</v>
      </c>
      <c r="C1566" s="217">
        <f t="shared" si="126"/>
        <v>12</v>
      </c>
      <c r="D1566" s="217" t="str">
        <f t="shared" si="123"/>
        <v>19</v>
      </c>
      <c r="E1566">
        <f t="shared" si="124"/>
        <v>2019</v>
      </c>
      <c r="F1566" s="217" t="str">
        <f t="shared" si="125"/>
        <v>4Q19</v>
      </c>
      <c r="G1566" s="218">
        <v>43829</v>
      </c>
      <c r="H1566" s="217">
        <v>4.0194999999999999</v>
      </c>
    </row>
    <row r="1567" spans="2:8">
      <c r="B1567" s="217" t="str">
        <f t="shared" si="122"/>
        <v>4Q</v>
      </c>
      <c r="C1567" s="217">
        <f t="shared" si="126"/>
        <v>12</v>
      </c>
      <c r="D1567" s="217" t="str">
        <f t="shared" si="123"/>
        <v>19</v>
      </c>
      <c r="E1567">
        <f t="shared" si="124"/>
        <v>2019</v>
      </c>
      <c r="F1567" s="217" t="str">
        <f t="shared" si="125"/>
        <v>4Q19</v>
      </c>
      <c r="G1567" s="218">
        <v>43830</v>
      </c>
      <c r="H1567" s="217">
        <v>4.0194999999999999</v>
      </c>
    </row>
    <row r="1568" spans="2:8">
      <c r="B1568" s="217" t="str">
        <f t="shared" si="122"/>
        <v>1Q</v>
      </c>
      <c r="C1568" s="217">
        <f t="shared" si="126"/>
        <v>1</v>
      </c>
      <c r="D1568" s="217" t="str">
        <f t="shared" si="123"/>
        <v>20</v>
      </c>
      <c r="E1568">
        <f t="shared" si="124"/>
        <v>2020</v>
      </c>
      <c r="F1568" s="217" t="str">
        <f t="shared" si="125"/>
        <v>1Q20</v>
      </c>
      <c r="G1568" s="218">
        <v>43831</v>
      </c>
      <c r="H1568" s="217">
        <v>4.0194999999999999</v>
      </c>
    </row>
    <row r="1569" spans="2:8">
      <c r="B1569" s="217" t="str">
        <f t="shared" si="122"/>
        <v>1Q</v>
      </c>
      <c r="C1569" s="217">
        <f t="shared" si="126"/>
        <v>1</v>
      </c>
      <c r="D1569" s="217" t="str">
        <f t="shared" si="123"/>
        <v>20</v>
      </c>
      <c r="E1569">
        <f t="shared" si="124"/>
        <v>2020</v>
      </c>
      <c r="F1569" s="217" t="str">
        <f t="shared" si="125"/>
        <v>1Q20</v>
      </c>
      <c r="G1569" s="218">
        <v>43832</v>
      </c>
      <c r="H1569" s="217">
        <v>4.0263</v>
      </c>
    </row>
    <row r="1570" spans="2:8">
      <c r="B1570" s="217" t="str">
        <f t="shared" si="122"/>
        <v>1Q</v>
      </c>
      <c r="C1570" s="217">
        <f t="shared" si="126"/>
        <v>1</v>
      </c>
      <c r="D1570" s="217" t="str">
        <f t="shared" si="123"/>
        <v>20</v>
      </c>
      <c r="E1570">
        <f t="shared" si="124"/>
        <v>2020</v>
      </c>
      <c r="F1570" s="217" t="str">
        <f t="shared" si="125"/>
        <v>1Q20</v>
      </c>
      <c r="G1570" s="218">
        <v>43833</v>
      </c>
      <c r="H1570" s="217">
        <v>4.0671999999999997</v>
      </c>
    </row>
    <row r="1571" spans="2:8">
      <c r="B1571" s="217" t="str">
        <f t="shared" si="122"/>
        <v>1Q</v>
      </c>
      <c r="C1571" s="217">
        <f t="shared" si="126"/>
        <v>1</v>
      </c>
      <c r="D1571" s="217" t="str">
        <f t="shared" si="123"/>
        <v>20</v>
      </c>
      <c r="E1571">
        <f t="shared" si="124"/>
        <v>2020</v>
      </c>
      <c r="F1571" s="217" t="str">
        <f t="shared" si="125"/>
        <v>1Q20</v>
      </c>
      <c r="G1571" s="218">
        <v>43836</v>
      </c>
      <c r="H1571" s="217">
        <v>4.0617999999999999</v>
      </c>
    </row>
    <row r="1572" spans="2:8">
      <c r="B1572" s="217" t="str">
        <f t="shared" si="122"/>
        <v>1Q</v>
      </c>
      <c r="C1572" s="217">
        <f t="shared" si="126"/>
        <v>1</v>
      </c>
      <c r="D1572" s="217" t="str">
        <f t="shared" si="123"/>
        <v>20</v>
      </c>
      <c r="E1572">
        <f t="shared" si="124"/>
        <v>2020</v>
      </c>
      <c r="F1572" s="217" t="str">
        <f t="shared" si="125"/>
        <v>1Q20</v>
      </c>
      <c r="G1572" s="218">
        <v>43837</v>
      </c>
      <c r="H1572" s="217">
        <v>4.0678999999999998</v>
      </c>
    </row>
    <row r="1573" spans="2:8">
      <c r="B1573" s="217" t="str">
        <f t="shared" si="122"/>
        <v>1Q</v>
      </c>
      <c r="C1573" s="217">
        <f t="shared" si="126"/>
        <v>1</v>
      </c>
      <c r="D1573" s="217" t="str">
        <f t="shared" si="123"/>
        <v>20</v>
      </c>
      <c r="E1573">
        <f t="shared" si="124"/>
        <v>2020</v>
      </c>
      <c r="F1573" s="217" t="str">
        <f t="shared" si="125"/>
        <v>1Q20</v>
      </c>
      <c r="G1573" s="218">
        <v>43838</v>
      </c>
      <c r="H1573" s="217">
        <v>4.0648999999999997</v>
      </c>
    </row>
    <row r="1574" spans="2:8">
      <c r="B1574" s="217" t="str">
        <f t="shared" si="122"/>
        <v>1Q</v>
      </c>
      <c r="C1574" s="217">
        <f t="shared" si="126"/>
        <v>1</v>
      </c>
      <c r="D1574" s="217" t="str">
        <f t="shared" si="123"/>
        <v>20</v>
      </c>
      <c r="E1574">
        <f t="shared" si="124"/>
        <v>2020</v>
      </c>
      <c r="F1574" s="217" t="str">
        <f t="shared" si="125"/>
        <v>1Q20</v>
      </c>
      <c r="G1574" s="218">
        <v>43839</v>
      </c>
      <c r="H1574" s="217">
        <v>4.0928000000000004</v>
      </c>
    </row>
    <row r="1575" spans="2:8">
      <c r="B1575" s="217" t="str">
        <f t="shared" si="122"/>
        <v>1Q</v>
      </c>
      <c r="C1575" s="217">
        <f t="shared" si="126"/>
        <v>1</v>
      </c>
      <c r="D1575" s="217" t="str">
        <f t="shared" si="123"/>
        <v>20</v>
      </c>
      <c r="E1575">
        <f t="shared" si="124"/>
        <v>2020</v>
      </c>
      <c r="F1575" s="217" t="str">
        <f t="shared" si="125"/>
        <v>1Q20</v>
      </c>
      <c r="G1575" s="218">
        <v>43840</v>
      </c>
      <c r="H1575" s="217">
        <v>4.0961999999999996</v>
      </c>
    </row>
    <row r="1576" spans="2:8">
      <c r="B1576" s="217" t="str">
        <f t="shared" si="122"/>
        <v>1Q</v>
      </c>
      <c r="C1576" s="217">
        <f t="shared" si="126"/>
        <v>1</v>
      </c>
      <c r="D1576" s="217" t="str">
        <f t="shared" si="123"/>
        <v>20</v>
      </c>
      <c r="E1576">
        <f t="shared" si="124"/>
        <v>2020</v>
      </c>
      <c r="F1576" s="217" t="str">
        <f t="shared" si="125"/>
        <v>1Q20</v>
      </c>
      <c r="G1576" s="218">
        <v>43843</v>
      </c>
      <c r="H1576" s="217">
        <v>4.1468999999999996</v>
      </c>
    </row>
    <row r="1577" spans="2:8">
      <c r="B1577" s="217" t="str">
        <f t="shared" si="122"/>
        <v>1Q</v>
      </c>
      <c r="C1577" s="217">
        <f t="shared" si="126"/>
        <v>1</v>
      </c>
      <c r="D1577" s="217" t="str">
        <f t="shared" si="123"/>
        <v>20</v>
      </c>
      <c r="E1577">
        <f t="shared" si="124"/>
        <v>2020</v>
      </c>
      <c r="F1577" s="217" t="str">
        <f t="shared" si="125"/>
        <v>1Q20</v>
      </c>
      <c r="G1577" s="218">
        <v>43844</v>
      </c>
      <c r="H1577" s="217">
        <v>4.133</v>
      </c>
    </row>
    <row r="1578" spans="2:8">
      <c r="B1578" s="217" t="str">
        <f t="shared" si="122"/>
        <v>1Q</v>
      </c>
      <c r="C1578" s="217">
        <f t="shared" si="126"/>
        <v>1</v>
      </c>
      <c r="D1578" s="217" t="str">
        <f t="shared" si="123"/>
        <v>20</v>
      </c>
      <c r="E1578">
        <f t="shared" si="124"/>
        <v>2020</v>
      </c>
      <c r="F1578" s="217" t="str">
        <f t="shared" si="125"/>
        <v>1Q20</v>
      </c>
      <c r="G1578" s="218">
        <v>43845</v>
      </c>
      <c r="H1578" s="217">
        <v>4.1756000000000002</v>
      </c>
    </row>
    <row r="1579" spans="2:8">
      <c r="B1579" s="217" t="str">
        <f t="shared" si="122"/>
        <v>1Q</v>
      </c>
      <c r="C1579" s="217">
        <f t="shared" si="126"/>
        <v>1</v>
      </c>
      <c r="D1579" s="217" t="str">
        <f t="shared" si="123"/>
        <v>20</v>
      </c>
      <c r="E1579">
        <f t="shared" si="124"/>
        <v>2020</v>
      </c>
      <c r="F1579" s="217" t="str">
        <f t="shared" si="125"/>
        <v>1Q20</v>
      </c>
      <c r="G1579" s="218">
        <v>43846</v>
      </c>
      <c r="H1579" s="217">
        <v>4.1851000000000003</v>
      </c>
    </row>
    <row r="1580" spans="2:8">
      <c r="B1580" s="217" t="str">
        <f t="shared" si="122"/>
        <v>1Q</v>
      </c>
      <c r="C1580" s="217">
        <f t="shared" si="126"/>
        <v>1</v>
      </c>
      <c r="D1580" s="217" t="str">
        <f t="shared" si="123"/>
        <v>20</v>
      </c>
      <c r="E1580">
        <f t="shared" si="124"/>
        <v>2020</v>
      </c>
      <c r="F1580" s="217" t="str">
        <f t="shared" si="125"/>
        <v>1Q20</v>
      </c>
      <c r="G1580" s="218">
        <v>43847</v>
      </c>
      <c r="H1580" s="217">
        <v>4.1619999999999999</v>
      </c>
    </row>
    <row r="1581" spans="2:8">
      <c r="B1581" s="217" t="str">
        <f t="shared" si="122"/>
        <v>1Q</v>
      </c>
      <c r="C1581" s="217">
        <f t="shared" si="126"/>
        <v>1</v>
      </c>
      <c r="D1581" s="217" t="str">
        <f t="shared" si="123"/>
        <v>20</v>
      </c>
      <c r="E1581">
        <f t="shared" si="124"/>
        <v>2020</v>
      </c>
      <c r="F1581" s="217" t="str">
        <f t="shared" si="125"/>
        <v>1Q20</v>
      </c>
      <c r="G1581" s="218">
        <v>43850</v>
      </c>
      <c r="H1581" s="217">
        <v>4.1901999999999999</v>
      </c>
    </row>
    <row r="1582" spans="2:8">
      <c r="B1582" s="217" t="str">
        <f t="shared" si="122"/>
        <v>1Q</v>
      </c>
      <c r="C1582" s="217">
        <f t="shared" si="126"/>
        <v>1</v>
      </c>
      <c r="D1582" s="217" t="str">
        <f t="shared" si="123"/>
        <v>20</v>
      </c>
      <c r="E1582">
        <f t="shared" si="124"/>
        <v>2020</v>
      </c>
      <c r="F1582" s="217" t="str">
        <f t="shared" si="125"/>
        <v>1Q20</v>
      </c>
      <c r="G1582" s="218">
        <v>43851</v>
      </c>
      <c r="H1582" s="217">
        <v>4.2126000000000001</v>
      </c>
    </row>
    <row r="1583" spans="2:8">
      <c r="B1583" s="217" t="str">
        <f t="shared" si="122"/>
        <v>1Q</v>
      </c>
      <c r="C1583" s="217">
        <f t="shared" si="126"/>
        <v>1</v>
      </c>
      <c r="D1583" s="217" t="str">
        <f t="shared" si="123"/>
        <v>20</v>
      </c>
      <c r="E1583">
        <f t="shared" si="124"/>
        <v>2020</v>
      </c>
      <c r="F1583" s="217" t="str">
        <f t="shared" si="125"/>
        <v>1Q20</v>
      </c>
      <c r="G1583" s="218">
        <v>43852</v>
      </c>
      <c r="H1583" s="217">
        <v>4.1829000000000001</v>
      </c>
    </row>
    <row r="1584" spans="2:8">
      <c r="B1584" s="217" t="str">
        <f t="shared" si="122"/>
        <v>1Q</v>
      </c>
      <c r="C1584" s="217">
        <f t="shared" si="126"/>
        <v>1</v>
      </c>
      <c r="D1584" s="217" t="str">
        <f t="shared" si="123"/>
        <v>20</v>
      </c>
      <c r="E1584">
        <f t="shared" si="124"/>
        <v>2020</v>
      </c>
      <c r="F1584" s="217" t="str">
        <f t="shared" si="125"/>
        <v>1Q20</v>
      </c>
      <c r="G1584" s="218">
        <v>43853</v>
      </c>
      <c r="H1584" s="217">
        <v>4.1707000000000001</v>
      </c>
    </row>
    <row r="1585" spans="2:8">
      <c r="B1585" s="217" t="str">
        <f t="shared" si="122"/>
        <v>1Q</v>
      </c>
      <c r="C1585" s="217">
        <f t="shared" si="126"/>
        <v>1</v>
      </c>
      <c r="D1585" s="217" t="str">
        <f t="shared" si="123"/>
        <v>20</v>
      </c>
      <c r="E1585">
        <f t="shared" si="124"/>
        <v>2020</v>
      </c>
      <c r="F1585" s="217" t="str">
        <f t="shared" si="125"/>
        <v>1Q20</v>
      </c>
      <c r="G1585" s="218">
        <v>43854</v>
      </c>
      <c r="H1585" s="217">
        <v>4.1816000000000004</v>
      </c>
    </row>
    <row r="1586" spans="2:8">
      <c r="B1586" s="217" t="str">
        <f t="shared" si="122"/>
        <v>1Q</v>
      </c>
      <c r="C1586" s="217">
        <f t="shared" si="126"/>
        <v>1</v>
      </c>
      <c r="D1586" s="217" t="str">
        <f t="shared" si="123"/>
        <v>20</v>
      </c>
      <c r="E1586">
        <f t="shared" si="124"/>
        <v>2020</v>
      </c>
      <c r="F1586" s="217" t="str">
        <f t="shared" si="125"/>
        <v>1Q20</v>
      </c>
      <c r="G1586" s="218">
        <v>43857</v>
      </c>
      <c r="H1586" s="217">
        <v>4.2077</v>
      </c>
    </row>
    <row r="1587" spans="2:8">
      <c r="B1587" s="217" t="str">
        <f t="shared" si="122"/>
        <v>1Q</v>
      </c>
      <c r="C1587" s="217">
        <f t="shared" si="126"/>
        <v>1</v>
      </c>
      <c r="D1587" s="217" t="str">
        <f t="shared" si="123"/>
        <v>20</v>
      </c>
      <c r="E1587">
        <f t="shared" si="124"/>
        <v>2020</v>
      </c>
      <c r="F1587" s="217" t="str">
        <f t="shared" si="125"/>
        <v>1Q20</v>
      </c>
      <c r="G1587" s="218">
        <v>43858</v>
      </c>
      <c r="H1587" s="217">
        <v>4.1944999999999997</v>
      </c>
    </row>
    <row r="1588" spans="2:8">
      <c r="B1588" s="217" t="str">
        <f t="shared" si="122"/>
        <v>1Q</v>
      </c>
      <c r="C1588" s="217">
        <f t="shared" si="126"/>
        <v>1</v>
      </c>
      <c r="D1588" s="217" t="str">
        <f t="shared" si="123"/>
        <v>20</v>
      </c>
      <c r="E1588">
        <f t="shared" si="124"/>
        <v>2020</v>
      </c>
      <c r="F1588" s="217" t="str">
        <f t="shared" si="125"/>
        <v>1Q20</v>
      </c>
      <c r="G1588" s="218">
        <v>43859</v>
      </c>
      <c r="H1588" s="217">
        <v>4.2305999999999999</v>
      </c>
    </row>
    <row r="1589" spans="2:8">
      <c r="B1589" s="217" t="str">
        <f t="shared" si="122"/>
        <v>1Q</v>
      </c>
      <c r="C1589" s="217">
        <f t="shared" si="126"/>
        <v>1</v>
      </c>
      <c r="D1589" s="217" t="str">
        <f t="shared" si="123"/>
        <v>20</v>
      </c>
      <c r="E1589">
        <f t="shared" si="124"/>
        <v>2020</v>
      </c>
      <c r="F1589" s="217" t="str">
        <f t="shared" si="125"/>
        <v>1Q20</v>
      </c>
      <c r="G1589" s="218">
        <v>43860</v>
      </c>
      <c r="H1589" s="217">
        <v>4.2431999999999999</v>
      </c>
    </row>
    <row r="1590" spans="2:8">
      <c r="B1590" s="217" t="str">
        <f t="shared" si="122"/>
        <v>1Q</v>
      </c>
      <c r="C1590" s="217">
        <f t="shared" si="126"/>
        <v>1</v>
      </c>
      <c r="D1590" s="217" t="str">
        <f t="shared" si="123"/>
        <v>20</v>
      </c>
      <c r="E1590">
        <f t="shared" si="124"/>
        <v>2020</v>
      </c>
      <c r="F1590" s="217" t="str">
        <f t="shared" si="125"/>
        <v>1Q20</v>
      </c>
      <c r="G1590" s="218">
        <v>43861</v>
      </c>
      <c r="H1590" s="217">
        <v>4.2824</v>
      </c>
    </row>
    <row r="1591" spans="2:8">
      <c r="B1591" s="217" t="str">
        <f t="shared" si="122"/>
        <v>1Q</v>
      </c>
      <c r="C1591" s="217">
        <f t="shared" si="126"/>
        <v>2</v>
      </c>
      <c r="D1591" s="217" t="str">
        <f t="shared" si="123"/>
        <v>20</v>
      </c>
      <c r="E1591">
        <f t="shared" si="124"/>
        <v>2020</v>
      </c>
      <c r="F1591" s="217" t="str">
        <f t="shared" si="125"/>
        <v>1Q20</v>
      </c>
      <c r="G1591" s="218">
        <v>43864</v>
      </c>
      <c r="H1591" s="217">
        <v>4.2480000000000002</v>
      </c>
    </row>
    <row r="1592" spans="2:8">
      <c r="B1592" s="217" t="str">
        <f t="shared" si="122"/>
        <v>1Q</v>
      </c>
      <c r="C1592" s="217">
        <f t="shared" si="126"/>
        <v>2</v>
      </c>
      <c r="D1592" s="217" t="str">
        <f t="shared" si="123"/>
        <v>20</v>
      </c>
      <c r="E1592">
        <f t="shared" si="124"/>
        <v>2020</v>
      </c>
      <c r="F1592" s="217" t="str">
        <f t="shared" si="125"/>
        <v>1Q20</v>
      </c>
      <c r="G1592" s="218">
        <v>43865</v>
      </c>
      <c r="H1592" s="217">
        <v>4.2546999999999997</v>
      </c>
    </row>
    <row r="1593" spans="2:8">
      <c r="B1593" s="217" t="str">
        <f t="shared" si="122"/>
        <v>1Q</v>
      </c>
      <c r="C1593" s="217">
        <f t="shared" si="126"/>
        <v>2</v>
      </c>
      <c r="D1593" s="217" t="str">
        <f t="shared" si="123"/>
        <v>20</v>
      </c>
      <c r="E1593">
        <f t="shared" si="124"/>
        <v>2020</v>
      </c>
      <c r="F1593" s="217" t="str">
        <f t="shared" si="125"/>
        <v>1Q20</v>
      </c>
      <c r="G1593" s="218">
        <v>43866</v>
      </c>
      <c r="H1593" s="217">
        <v>4.2356999999999996</v>
      </c>
    </row>
    <row r="1594" spans="2:8">
      <c r="B1594" s="217" t="str">
        <f t="shared" si="122"/>
        <v>1Q</v>
      </c>
      <c r="C1594" s="217">
        <f t="shared" si="126"/>
        <v>2</v>
      </c>
      <c r="D1594" s="217" t="str">
        <f t="shared" si="123"/>
        <v>20</v>
      </c>
      <c r="E1594">
        <f t="shared" si="124"/>
        <v>2020</v>
      </c>
      <c r="F1594" s="217" t="str">
        <f t="shared" si="125"/>
        <v>1Q20</v>
      </c>
      <c r="G1594" s="218">
        <v>43867</v>
      </c>
      <c r="H1594" s="217">
        <v>4.2824999999999998</v>
      </c>
    </row>
    <row r="1595" spans="2:8">
      <c r="B1595" s="217" t="str">
        <f t="shared" si="122"/>
        <v>1Q</v>
      </c>
      <c r="C1595" s="217">
        <f t="shared" si="126"/>
        <v>2</v>
      </c>
      <c r="D1595" s="217" t="str">
        <f t="shared" si="123"/>
        <v>20</v>
      </c>
      <c r="E1595">
        <f t="shared" si="124"/>
        <v>2020</v>
      </c>
      <c r="F1595" s="217" t="str">
        <f t="shared" si="125"/>
        <v>1Q20</v>
      </c>
      <c r="G1595" s="218">
        <v>43868</v>
      </c>
      <c r="H1595" s="217">
        <v>4.3205999999999998</v>
      </c>
    </row>
    <row r="1596" spans="2:8">
      <c r="B1596" s="217" t="str">
        <f t="shared" si="122"/>
        <v>1Q</v>
      </c>
      <c r="C1596" s="217">
        <f t="shared" si="126"/>
        <v>2</v>
      </c>
      <c r="D1596" s="217" t="str">
        <f t="shared" si="123"/>
        <v>20</v>
      </c>
      <c r="E1596">
        <f t="shared" si="124"/>
        <v>2020</v>
      </c>
      <c r="F1596" s="217" t="str">
        <f t="shared" si="125"/>
        <v>1Q20</v>
      </c>
      <c r="G1596" s="218">
        <v>43871</v>
      </c>
      <c r="H1596" s="217">
        <v>4.3250999999999999</v>
      </c>
    </row>
    <row r="1597" spans="2:8">
      <c r="B1597" s="217" t="str">
        <f t="shared" si="122"/>
        <v>1Q</v>
      </c>
      <c r="C1597" s="217">
        <f t="shared" si="126"/>
        <v>2</v>
      </c>
      <c r="D1597" s="217" t="str">
        <f t="shared" si="123"/>
        <v>20</v>
      </c>
      <c r="E1597">
        <f t="shared" si="124"/>
        <v>2020</v>
      </c>
      <c r="F1597" s="217" t="str">
        <f t="shared" si="125"/>
        <v>1Q20</v>
      </c>
      <c r="G1597" s="218">
        <v>43872</v>
      </c>
      <c r="H1597" s="217">
        <v>4.3318000000000003</v>
      </c>
    </row>
    <row r="1598" spans="2:8">
      <c r="B1598" s="217" t="str">
        <f t="shared" si="122"/>
        <v>1Q</v>
      </c>
      <c r="C1598" s="217">
        <f t="shared" si="126"/>
        <v>2</v>
      </c>
      <c r="D1598" s="217" t="str">
        <f t="shared" si="123"/>
        <v>20</v>
      </c>
      <c r="E1598">
        <f t="shared" si="124"/>
        <v>2020</v>
      </c>
      <c r="F1598" s="217" t="str">
        <f t="shared" si="125"/>
        <v>1Q20</v>
      </c>
      <c r="G1598" s="218">
        <v>43873</v>
      </c>
      <c r="H1598" s="217">
        <v>4.3552</v>
      </c>
    </row>
    <row r="1599" spans="2:8">
      <c r="B1599" s="217" t="str">
        <f t="shared" si="122"/>
        <v>1Q</v>
      </c>
      <c r="C1599" s="217">
        <f t="shared" si="126"/>
        <v>2</v>
      </c>
      <c r="D1599" s="217" t="str">
        <f t="shared" si="123"/>
        <v>20</v>
      </c>
      <c r="E1599">
        <f t="shared" si="124"/>
        <v>2020</v>
      </c>
      <c r="F1599" s="217" t="str">
        <f t="shared" si="125"/>
        <v>1Q20</v>
      </c>
      <c r="G1599" s="218">
        <v>43874</v>
      </c>
      <c r="H1599" s="217">
        <v>4.3502000000000001</v>
      </c>
    </row>
    <row r="1600" spans="2:8">
      <c r="B1600" s="217" t="str">
        <f t="shared" si="122"/>
        <v>1Q</v>
      </c>
      <c r="C1600" s="217">
        <f t="shared" si="126"/>
        <v>2</v>
      </c>
      <c r="D1600" s="217" t="str">
        <f t="shared" si="123"/>
        <v>20</v>
      </c>
      <c r="E1600">
        <f t="shared" si="124"/>
        <v>2020</v>
      </c>
      <c r="F1600" s="217" t="str">
        <f t="shared" si="125"/>
        <v>1Q20</v>
      </c>
      <c r="G1600" s="218">
        <v>43875</v>
      </c>
      <c r="H1600" s="217">
        <v>4.2976000000000001</v>
      </c>
    </row>
    <row r="1601" spans="2:8">
      <c r="B1601" s="217" t="str">
        <f t="shared" si="122"/>
        <v>1Q</v>
      </c>
      <c r="C1601" s="217">
        <f t="shared" si="126"/>
        <v>2</v>
      </c>
      <c r="D1601" s="217" t="str">
        <f t="shared" si="123"/>
        <v>20</v>
      </c>
      <c r="E1601">
        <f t="shared" si="124"/>
        <v>2020</v>
      </c>
      <c r="F1601" s="217" t="str">
        <f t="shared" si="125"/>
        <v>1Q20</v>
      </c>
      <c r="G1601" s="218">
        <v>43878</v>
      </c>
      <c r="H1601" s="217">
        <v>4.3272000000000004</v>
      </c>
    </row>
    <row r="1602" spans="2:8">
      <c r="B1602" s="217" t="str">
        <f t="shared" si="122"/>
        <v>1Q</v>
      </c>
      <c r="C1602" s="217">
        <f t="shared" si="126"/>
        <v>2</v>
      </c>
      <c r="D1602" s="217" t="str">
        <f t="shared" si="123"/>
        <v>20</v>
      </c>
      <c r="E1602">
        <f t="shared" si="124"/>
        <v>2020</v>
      </c>
      <c r="F1602" s="217" t="str">
        <f t="shared" si="125"/>
        <v>1Q20</v>
      </c>
      <c r="G1602" s="218">
        <v>43879</v>
      </c>
      <c r="H1602" s="217">
        <v>4.3559000000000001</v>
      </c>
    </row>
    <row r="1603" spans="2:8">
      <c r="B1603" s="217" t="str">
        <f t="shared" ref="B1603:B1666" si="127">VLOOKUP(C1603,$N$3:$O$14,2,0)</f>
        <v>1Q</v>
      </c>
      <c r="C1603" s="217">
        <f t="shared" si="126"/>
        <v>2</v>
      </c>
      <c r="D1603" s="217" t="str">
        <f t="shared" ref="D1603:D1666" si="128">RIGHT(E1603,2)</f>
        <v>20</v>
      </c>
      <c r="E1603">
        <f t="shared" ref="E1603:E1666" si="129">YEAR(G1603)</f>
        <v>2020</v>
      </c>
      <c r="F1603" s="217" t="str">
        <f t="shared" ref="F1603:F1666" si="130">+B1603&amp;D1603</f>
        <v>1Q20</v>
      </c>
      <c r="G1603" s="218">
        <v>43880</v>
      </c>
      <c r="H1603" s="217">
        <v>4.3653000000000004</v>
      </c>
    </row>
    <row r="1604" spans="2:8">
      <c r="B1604" s="217" t="str">
        <f t="shared" si="127"/>
        <v>1Q</v>
      </c>
      <c r="C1604" s="217">
        <f t="shared" ref="C1604:C1667" si="131">MONTH(G1604)</f>
        <v>2</v>
      </c>
      <c r="D1604" s="217" t="str">
        <f t="shared" si="128"/>
        <v>20</v>
      </c>
      <c r="E1604">
        <f t="shared" si="129"/>
        <v>2020</v>
      </c>
      <c r="F1604" s="217" t="str">
        <f t="shared" si="130"/>
        <v>1Q20</v>
      </c>
      <c r="G1604" s="218">
        <v>43881</v>
      </c>
      <c r="H1604" s="217">
        <v>4.3935000000000004</v>
      </c>
    </row>
    <row r="1605" spans="2:8">
      <c r="B1605" s="217" t="str">
        <f t="shared" si="127"/>
        <v>1Q</v>
      </c>
      <c r="C1605" s="217">
        <f t="shared" si="131"/>
        <v>2</v>
      </c>
      <c r="D1605" s="217" t="str">
        <f t="shared" si="128"/>
        <v>20</v>
      </c>
      <c r="E1605">
        <f t="shared" si="129"/>
        <v>2020</v>
      </c>
      <c r="F1605" s="217" t="str">
        <f t="shared" si="130"/>
        <v>1Q20</v>
      </c>
      <c r="G1605" s="218">
        <v>43882</v>
      </c>
      <c r="H1605" s="217">
        <v>4.3897000000000004</v>
      </c>
    </row>
    <row r="1606" spans="2:8">
      <c r="B1606" s="217" t="str">
        <f t="shared" si="127"/>
        <v>1Q</v>
      </c>
      <c r="C1606" s="217">
        <f t="shared" si="131"/>
        <v>2</v>
      </c>
      <c r="D1606" s="217" t="str">
        <f t="shared" si="128"/>
        <v>20</v>
      </c>
      <c r="E1606">
        <f t="shared" si="129"/>
        <v>2020</v>
      </c>
      <c r="F1606" s="217" t="str">
        <f t="shared" si="130"/>
        <v>1Q20</v>
      </c>
      <c r="G1606" s="218">
        <v>43885</v>
      </c>
      <c r="H1606" s="217">
        <v>4.3883000000000001</v>
      </c>
    </row>
    <row r="1607" spans="2:8">
      <c r="B1607" s="217" t="str">
        <f t="shared" si="127"/>
        <v>1Q</v>
      </c>
      <c r="C1607" s="217">
        <f t="shared" si="131"/>
        <v>2</v>
      </c>
      <c r="D1607" s="217" t="str">
        <f t="shared" si="128"/>
        <v>20</v>
      </c>
      <c r="E1607">
        <f t="shared" si="129"/>
        <v>2020</v>
      </c>
      <c r="F1607" s="217" t="str">
        <f t="shared" si="130"/>
        <v>1Q20</v>
      </c>
      <c r="G1607" s="218">
        <v>43886</v>
      </c>
      <c r="H1607" s="217">
        <v>4.3883000000000001</v>
      </c>
    </row>
    <row r="1608" spans="2:8">
      <c r="B1608" s="217" t="str">
        <f t="shared" si="127"/>
        <v>1Q</v>
      </c>
      <c r="C1608" s="217">
        <f t="shared" si="131"/>
        <v>2</v>
      </c>
      <c r="D1608" s="217" t="str">
        <f t="shared" si="128"/>
        <v>20</v>
      </c>
      <c r="E1608">
        <f t="shared" si="129"/>
        <v>2020</v>
      </c>
      <c r="F1608" s="217" t="str">
        <f t="shared" si="130"/>
        <v>1Q20</v>
      </c>
      <c r="G1608" s="218">
        <v>43887</v>
      </c>
      <c r="H1608" s="217">
        <v>4.4504999999999999</v>
      </c>
    </row>
    <row r="1609" spans="2:8">
      <c r="B1609" s="217" t="str">
        <f t="shared" si="127"/>
        <v>1Q</v>
      </c>
      <c r="C1609" s="217">
        <f t="shared" si="131"/>
        <v>2</v>
      </c>
      <c r="D1609" s="217" t="str">
        <f t="shared" si="128"/>
        <v>20</v>
      </c>
      <c r="E1609">
        <f t="shared" si="129"/>
        <v>2020</v>
      </c>
      <c r="F1609" s="217" t="str">
        <f t="shared" si="130"/>
        <v>1Q20</v>
      </c>
      <c r="G1609" s="218">
        <v>43888</v>
      </c>
      <c r="H1609" s="217">
        <v>4.4863</v>
      </c>
    </row>
    <row r="1610" spans="2:8">
      <c r="B1610" s="217" t="str">
        <f t="shared" si="127"/>
        <v>1Q</v>
      </c>
      <c r="C1610" s="217">
        <f t="shared" si="131"/>
        <v>2</v>
      </c>
      <c r="D1610" s="217" t="str">
        <f t="shared" si="128"/>
        <v>20</v>
      </c>
      <c r="E1610">
        <f t="shared" si="129"/>
        <v>2020</v>
      </c>
      <c r="F1610" s="217" t="str">
        <f t="shared" si="130"/>
        <v>1Q20</v>
      </c>
      <c r="G1610" s="218">
        <v>43889</v>
      </c>
      <c r="H1610" s="217">
        <v>4.4734999999999996</v>
      </c>
    </row>
    <row r="1611" spans="2:8">
      <c r="B1611" s="217" t="str">
        <f t="shared" si="127"/>
        <v>1Q</v>
      </c>
      <c r="C1611" s="217">
        <f t="shared" si="131"/>
        <v>3</v>
      </c>
      <c r="D1611" s="217" t="str">
        <f t="shared" si="128"/>
        <v>20</v>
      </c>
      <c r="E1611">
        <f t="shared" si="129"/>
        <v>2020</v>
      </c>
      <c r="F1611" s="217" t="str">
        <f t="shared" si="130"/>
        <v>1Q20</v>
      </c>
      <c r="G1611" s="218">
        <v>43892</v>
      </c>
      <c r="H1611" s="217">
        <v>4.4744000000000002</v>
      </c>
    </row>
    <row r="1612" spans="2:8">
      <c r="B1612" s="217" t="str">
        <f t="shared" si="127"/>
        <v>1Q</v>
      </c>
      <c r="C1612" s="217">
        <f t="shared" si="131"/>
        <v>3</v>
      </c>
      <c r="D1612" s="217" t="str">
        <f t="shared" si="128"/>
        <v>20</v>
      </c>
      <c r="E1612">
        <f t="shared" si="129"/>
        <v>2020</v>
      </c>
      <c r="F1612" s="217" t="str">
        <f t="shared" si="130"/>
        <v>1Q20</v>
      </c>
      <c r="G1612" s="218">
        <v>43893</v>
      </c>
      <c r="H1612" s="217">
        <v>4.5148000000000001</v>
      </c>
    </row>
    <row r="1613" spans="2:8">
      <c r="B1613" s="217" t="str">
        <f t="shared" si="127"/>
        <v>1Q</v>
      </c>
      <c r="C1613" s="217">
        <f t="shared" si="131"/>
        <v>3</v>
      </c>
      <c r="D1613" s="217" t="str">
        <f t="shared" si="128"/>
        <v>20</v>
      </c>
      <c r="E1613">
        <f t="shared" si="129"/>
        <v>2020</v>
      </c>
      <c r="F1613" s="217" t="str">
        <f t="shared" si="130"/>
        <v>1Q20</v>
      </c>
      <c r="G1613" s="218">
        <v>43894</v>
      </c>
      <c r="H1613" s="217">
        <v>4.585</v>
      </c>
    </row>
    <row r="1614" spans="2:8">
      <c r="B1614" s="217" t="str">
        <f t="shared" si="127"/>
        <v>1Q</v>
      </c>
      <c r="C1614" s="217">
        <f t="shared" si="131"/>
        <v>3</v>
      </c>
      <c r="D1614" s="217" t="str">
        <f t="shared" si="128"/>
        <v>20</v>
      </c>
      <c r="E1614">
        <f t="shared" si="129"/>
        <v>2020</v>
      </c>
      <c r="F1614" s="217" t="str">
        <f t="shared" si="130"/>
        <v>1Q20</v>
      </c>
      <c r="G1614" s="218">
        <v>43895</v>
      </c>
      <c r="H1614" s="217">
        <v>4.6075999999999997</v>
      </c>
    </row>
    <row r="1615" spans="2:8">
      <c r="B1615" s="217" t="str">
        <f t="shared" si="127"/>
        <v>1Q</v>
      </c>
      <c r="C1615" s="217">
        <f t="shared" si="131"/>
        <v>3</v>
      </c>
      <c r="D1615" s="217" t="str">
        <f t="shared" si="128"/>
        <v>20</v>
      </c>
      <c r="E1615">
        <f t="shared" si="129"/>
        <v>2020</v>
      </c>
      <c r="F1615" s="217" t="str">
        <f t="shared" si="130"/>
        <v>1Q20</v>
      </c>
      <c r="G1615" s="218">
        <v>43896</v>
      </c>
      <c r="H1615" s="217">
        <v>4.6272000000000002</v>
      </c>
    </row>
    <row r="1616" spans="2:8">
      <c r="B1616" s="217" t="str">
        <f t="shared" si="127"/>
        <v>1Q</v>
      </c>
      <c r="C1616" s="217">
        <f t="shared" si="131"/>
        <v>3</v>
      </c>
      <c r="D1616" s="217" t="str">
        <f t="shared" si="128"/>
        <v>20</v>
      </c>
      <c r="E1616">
        <f t="shared" si="129"/>
        <v>2020</v>
      </c>
      <c r="F1616" s="217" t="str">
        <f t="shared" si="130"/>
        <v>1Q20</v>
      </c>
      <c r="G1616" s="218">
        <v>43899</v>
      </c>
      <c r="H1616" s="217">
        <v>4.7245999999999997</v>
      </c>
    </row>
    <row r="1617" spans="2:8">
      <c r="B1617" s="217" t="str">
        <f t="shared" si="127"/>
        <v>1Q</v>
      </c>
      <c r="C1617" s="217">
        <f t="shared" si="131"/>
        <v>3</v>
      </c>
      <c r="D1617" s="217" t="str">
        <f t="shared" si="128"/>
        <v>20</v>
      </c>
      <c r="E1617">
        <f t="shared" si="129"/>
        <v>2020</v>
      </c>
      <c r="F1617" s="217" t="str">
        <f t="shared" si="130"/>
        <v>1Q20</v>
      </c>
      <c r="G1617" s="218">
        <v>43900</v>
      </c>
      <c r="H1617" s="217">
        <v>4.6439000000000004</v>
      </c>
    </row>
    <row r="1618" spans="2:8">
      <c r="B1618" s="217" t="str">
        <f t="shared" si="127"/>
        <v>1Q</v>
      </c>
      <c r="C1618" s="217">
        <f t="shared" si="131"/>
        <v>3</v>
      </c>
      <c r="D1618" s="217" t="str">
        <f t="shared" si="128"/>
        <v>20</v>
      </c>
      <c r="E1618">
        <f t="shared" si="129"/>
        <v>2020</v>
      </c>
      <c r="F1618" s="217" t="str">
        <f t="shared" si="130"/>
        <v>1Q20</v>
      </c>
      <c r="G1618" s="218">
        <v>43901</v>
      </c>
      <c r="H1618" s="217">
        <v>4.8151999999999999</v>
      </c>
    </row>
    <row r="1619" spans="2:8">
      <c r="B1619" s="217" t="str">
        <f t="shared" si="127"/>
        <v>1Q</v>
      </c>
      <c r="C1619" s="217">
        <f t="shared" si="131"/>
        <v>3</v>
      </c>
      <c r="D1619" s="217" t="str">
        <f t="shared" si="128"/>
        <v>20</v>
      </c>
      <c r="E1619">
        <f t="shared" si="129"/>
        <v>2020</v>
      </c>
      <c r="F1619" s="217" t="str">
        <f t="shared" si="130"/>
        <v>1Q20</v>
      </c>
      <c r="G1619" s="218">
        <v>43902</v>
      </c>
      <c r="H1619" s="217">
        <v>4.7915999999999999</v>
      </c>
    </row>
    <row r="1620" spans="2:8">
      <c r="B1620" s="217" t="str">
        <f t="shared" si="127"/>
        <v>1Q</v>
      </c>
      <c r="C1620" s="217">
        <f t="shared" si="131"/>
        <v>3</v>
      </c>
      <c r="D1620" s="217" t="str">
        <f t="shared" si="128"/>
        <v>20</v>
      </c>
      <c r="E1620">
        <f t="shared" si="129"/>
        <v>2020</v>
      </c>
      <c r="F1620" s="217" t="str">
        <f t="shared" si="130"/>
        <v>1Q20</v>
      </c>
      <c r="G1620" s="218">
        <v>43903</v>
      </c>
      <c r="H1620" s="217">
        <v>4.8596000000000004</v>
      </c>
    </row>
    <row r="1621" spans="2:8">
      <c r="B1621" s="217" t="str">
        <f t="shared" si="127"/>
        <v>1Q</v>
      </c>
      <c r="C1621" s="217">
        <f t="shared" si="131"/>
        <v>3</v>
      </c>
      <c r="D1621" s="217" t="str">
        <f t="shared" si="128"/>
        <v>20</v>
      </c>
      <c r="E1621">
        <f t="shared" si="129"/>
        <v>2020</v>
      </c>
      <c r="F1621" s="217" t="str">
        <f t="shared" si="130"/>
        <v>1Q20</v>
      </c>
      <c r="G1621" s="218">
        <v>43906</v>
      </c>
      <c r="H1621" s="217">
        <v>5.0004999999999997</v>
      </c>
    </row>
    <row r="1622" spans="2:8">
      <c r="B1622" s="217" t="str">
        <f t="shared" si="127"/>
        <v>1Q</v>
      </c>
      <c r="C1622" s="217">
        <f t="shared" si="131"/>
        <v>3</v>
      </c>
      <c r="D1622" s="217" t="str">
        <f t="shared" si="128"/>
        <v>20</v>
      </c>
      <c r="E1622">
        <f t="shared" si="129"/>
        <v>2020</v>
      </c>
      <c r="F1622" s="217" t="str">
        <f t="shared" si="130"/>
        <v>1Q20</v>
      </c>
      <c r="G1622" s="218">
        <v>43907</v>
      </c>
      <c r="H1622" s="217">
        <v>5.01</v>
      </c>
    </row>
    <row r="1623" spans="2:8">
      <c r="B1623" s="217" t="str">
        <f t="shared" si="127"/>
        <v>1Q</v>
      </c>
      <c r="C1623" s="217">
        <f t="shared" si="131"/>
        <v>3</v>
      </c>
      <c r="D1623" s="217" t="str">
        <f t="shared" si="128"/>
        <v>20</v>
      </c>
      <c r="E1623">
        <f t="shared" si="129"/>
        <v>2020</v>
      </c>
      <c r="F1623" s="217" t="str">
        <f t="shared" si="130"/>
        <v>1Q20</v>
      </c>
      <c r="G1623" s="218">
        <v>43908</v>
      </c>
      <c r="H1623" s="217">
        <v>5.1074999999999999</v>
      </c>
    </row>
    <row r="1624" spans="2:8">
      <c r="B1624" s="217" t="str">
        <f t="shared" si="127"/>
        <v>1Q</v>
      </c>
      <c r="C1624" s="217">
        <f t="shared" si="131"/>
        <v>3</v>
      </c>
      <c r="D1624" s="217" t="str">
        <f t="shared" si="128"/>
        <v>20</v>
      </c>
      <c r="E1624">
        <f t="shared" si="129"/>
        <v>2020</v>
      </c>
      <c r="F1624" s="217" t="str">
        <f t="shared" si="130"/>
        <v>1Q20</v>
      </c>
      <c r="G1624" s="218">
        <v>43909</v>
      </c>
      <c r="H1624" s="217">
        <v>5.0960000000000001</v>
      </c>
    </row>
    <row r="1625" spans="2:8">
      <c r="B1625" s="217" t="str">
        <f t="shared" si="127"/>
        <v>1Q</v>
      </c>
      <c r="C1625" s="217">
        <f t="shared" si="131"/>
        <v>3</v>
      </c>
      <c r="D1625" s="217" t="str">
        <f t="shared" si="128"/>
        <v>20</v>
      </c>
      <c r="E1625">
        <f t="shared" si="129"/>
        <v>2020</v>
      </c>
      <c r="F1625" s="217" t="str">
        <f t="shared" si="130"/>
        <v>1Q20</v>
      </c>
      <c r="G1625" s="218">
        <v>43910</v>
      </c>
      <c r="H1625" s="217">
        <v>5.0640000000000001</v>
      </c>
    </row>
    <row r="1626" spans="2:8">
      <c r="B1626" s="217" t="str">
        <f t="shared" si="127"/>
        <v>1Q</v>
      </c>
      <c r="C1626" s="217">
        <f t="shared" si="131"/>
        <v>3</v>
      </c>
      <c r="D1626" s="217" t="str">
        <f t="shared" si="128"/>
        <v>20</v>
      </c>
      <c r="E1626">
        <f t="shared" si="129"/>
        <v>2020</v>
      </c>
      <c r="F1626" s="217" t="str">
        <f t="shared" si="130"/>
        <v>1Q20</v>
      </c>
      <c r="G1626" s="218">
        <v>43913</v>
      </c>
      <c r="H1626" s="217">
        <v>5.1447000000000003</v>
      </c>
    </row>
    <row r="1627" spans="2:8">
      <c r="B1627" s="217" t="str">
        <f t="shared" si="127"/>
        <v>1Q</v>
      </c>
      <c r="C1627" s="217">
        <f t="shared" si="131"/>
        <v>3</v>
      </c>
      <c r="D1627" s="217" t="str">
        <f t="shared" si="128"/>
        <v>20</v>
      </c>
      <c r="E1627">
        <f t="shared" si="129"/>
        <v>2020</v>
      </c>
      <c r="F1627" s="217" t="str">
        <f t="shared" si="130"/>
        <v>1Q20</v>
      </c>
      <c r="G1627" s="218">
        <v>43914</v>
      </c>
      <c r="H1627" s="217">
        <v>5.0994999999999999</v>
      </c>
    </row>
    <row r="1628" spans="2:8">
      <c r="B1628" s="217" t="str">
        <f t="shared" si="127"/>
        <v>1Q</v>
      </c>
      <c r="C1628" s="217">
        <f t="shared" si="131"/>
        <v>3</v>
      </c>
      <c r="D1628" s="217" t="str">
        <f t="shared" si="128"/>
        <v>20</v>
      </c>
      <c r="E1628">
        <f t="shared" si="129"/>
        <v>2020</v>
      </c>
      <c r="F1628" s="217" t="str">
        <f t="shared" si="130"/>
        <v>1Q20</v>
      </c>
      <c r="G1628" s="218">
        <v>43915</v>
      </c>
      <c r="H1628" s="217">
        <v>5.0366</v>
      </c>
    </row>
    <row r="1629" spans="2:8">
      <c r="B1629" s="217" t="str">
        <f t="shared" si="127"/>
        <v>1Q</v>
      </c>
      <c r="C1629" s="217">
        <f t="shared" si="131"/>
        <v>3</v>
      </c>
      <c r="D1629" s="217" t="str">
        <f t="shared" si="128"/>
        <v>20</v>
      </c>
      <c r="E1629">
        <f t="shared" si="129"/>
        <v>2020</v>
      </c>
      <c r="F1629" s="217" t="str">
        <f t="shared" si="130"/>
        <v>1Q20</v>
      </c>
      <c r="G1629" s="218">
        <v>43916</v>
      </c>
      <c r="H1629" s="217">
        <v>5.0218999999999996</v>
      </c>
    </row>
    <row r="1630" spans="2:8">
      <c r="B1630" s="217" t="str">
        <f t="shared" si="127"/>
        <v>1Q</v>
      </c>
      <c r="C1630" s="217">
        <f t="shared" si="131"/>
        <v>3</v>
      </c>
      <c r="D1630" s="217" t="str">
        <f t="shared" si="128"/>
        <v>20</v>
      </c>
      <c r="E1630">
        <f t="shared" si="129"/>
        <v>2020</v>
      </c>
      <c r="F1630" s="217" t="str">
        <f t="shared" si="130"/>
        <v>1Q20</v>
      </c>
      <c r="G1630" s="218">
        <v>43917</v>
      </c>
      <c r="H1630" s="217">
        <v>5.1005000000000003</v>
      </c>
    </row>
    <row r="1631" spans="2:8">
      <c r="B1631" s="217" t="str">
        <f t="shared" si="127"/>
        <v>1Q</v>
      </c>
      <c r="C1631" s="217">
        <f t="shared" si="131"/>
        <v>3</v>
      </c>
      <c r="D1631" s="217" t="str">
        <f t="shared" si="128"/>
        <v>20</v>
      </c>
      <c r="E1631">
        <f t="shared" si="129"/>
        <v>2020</v>
      </c>
      <c r="F1631" s="217" t="str">
        <f t="shared" si="130"/>
        <v>1Q20</v>
      </c>
      <c r="G1631" s="218">
        <v>43920</v>
      </c>
      <c r="H1631" s="217">
        <v>5.1943000000000001</v>
      </c>
    </row>
    <row r="1632" spans="2:8">
      <c r="B1632" s="217" t="str">
        <f t="shared" si="127"/>
        <v>1Q</v>
      </c>
      <c r="C1632" s="217">
        <f t="shared" si="131"/>
        <v>3</v>
      </c>
      <c r="D1632" s="217" t="str">
        <f t="shared" si="128"/>
        <v>20</v>
      </c>
      <c r="E1632">
        <f t="shared" si="129"/>
        <v>2020</v>
      </c>
      <c r="F1632" s="217" t="str">
        <f t="shared" si="130"/>
        <v>1Q20</v>
      </c>
      <c r="G1632" s="218">
        <v>43921</v>
      </c>
      <c r="H1632" s="217">
        <v>5.2054</v>
      </c>
    </row>
    <row r="1633" spans="2:8">
      <c r="B1633" s="217" t="str">
        <f t="shared" si="127"/>
        <v>2Q</v>
      </c>
      <c r="C1633" s="217">
        <f t="shared" si="131"/>
        <v>4</v>
      </c>
      <c r="D1633" s="217" t="str">
        <f t="shared" si="128"/>
        <v>20</v>
      </c>
      <c r="E1633">
        <f t="shared" si="129"/>
        <v>2020</v>
      </c>
      <c r="F1633" s="217" t="str">
        <f t="shared" si="130"/>
        <v>2Q20</v>
      </c>
      <c r="G1633" s="218">
        <v>43922</v>
      </c>
      <c r="H1633" s="217">
        <v>5.2495000000000003</v>
      </c>
    </row>
    <row r="1634" spans="2:8">
      <c r="B1634" s="217" t="str">
        <f t="shared" si="127"/>
        <v>2Q</v>
      </c>
      <c r="C1634" s="217">
        <f t="shared" si="131"/>
        <v>4</v>
      </c>
      <c r="D1634" s="217" t="str">
        <f t="shared" si="128"/>
        <v>20</v>
      </c>
      <c r="E1634">
        <f t="shared" si="129"/>
        <v>2020</v>
      </c>
      <c r="F1634" s="217" t="str">
        <f t="shared" si="130"/>
        <v>2Q20</v>
      </c>
      <c r="G1634" s="218">
        <v>43923</v>
      </c>
      <c r="H1634" s="217">
        <v>5.2535999999999996</v>
      </c>
    </row>
    <row r="1635" spans="2:8">
      <c r="B1635" s="217" t="str">
        <f t="shared" si="127"/>
        <v>2Q</v>
      </c>
      <c r="C1635" s="217">
        <f t="shared" si="131"/>
        <v>4</v>
      </c>
      <c r="D1635" s="217" t="str">
        <f t="shared" si="128"/>
        <v>20</v>
      </c>
      <c r="E1635">
        <f t="shared" si="129"/>
        <v>2020</v>
      </c>
      <c r="F1635" s="217" t="str">
        <f t="shared" si="130"/>
        <v>2Q20</v>
      </c>
      <c r="G1635" s="218">
        <v>43924</v>
      </c>
      <c r="H1635" s="217">
        <v>5.3507999999999996</v>
      </c>
    </row>
    <row r="1636" spans="2:8">
      <c r="B1636" s="217" t="str">
        <f t="shared" si="127"/>
        <v>2Q</v>
      </c>
      <c r="C1636" s="217">
        <f t="shared" si="131"/>
        <v>4</v>
      </c>
      <c r="D1636" s="217" t="str">
        <f t="shared" si="128"/>
        <v>20</v>
      </c>
      <c r="E1636">
        <f t="shared" si="129"/>
        <v>2020</v>
      </c>
      <c r="F1636" s="217" t="str">
        <f t="shared" si="130"/>
        <v>2Q20</v>
      </c>
      <c r="G1636" s="218">
        <v>43927</v>
      </c>
      <c r="H1636" s="217">
        <v>5.2873000000000001</v>
      </c>
    </row>
    <row r="1637" spans="2:8">
      <c r="B1637" s="217" t="str">
        <f t="shared" si="127"/>
        <v>2Q</v>
      </c>
      <c r="C1637" s="217">
        <f t="shared" si="131"/>
        <v>4</v>
      </c>
      <c r="D1637" s="217" t="str">
        <f t="shared" si="128"/>
        <v>20</v>
      </c>
      <c r="E1637">
        <f t="shared" si="129"/>
        <v>2020</v>
      </c>
      <c r="F1637" s="217" t="str">
        <f t="shared" si="130"/>
        <v>2Q20</v>
      </c>
      <c r="G1637" s="218">
        <v>43928</v>
      </c>
      <c r="H1637" s="217">
        <v>5.2229000000000001</v>
      </c>
    </row>
    <row r="1638" spans="2:8">
      <c r="B1638" s="217" t="str">
        <f t="shared" si="127"/>
        <v>2Q</v>
      </c>
      <c r="C1638" s="217">
        <f t="shared" si="131"/>
        <v>4</v>
      </c>
      <c r="D1638" s="217" t="str">
        <f t="shared" si="128"/>
        <v>20</v>
      </c>
      <c r="E1638">
        <f t="shared" si="129"/>
        <v>2020</v>
      </c>
      <c r="F1638" s="217" t="str">
        <f t="shared" si="130"/>
        <v>2Q20</v>
      </c>
      <c r="G1638" s="218">
        <v>43929</v>
      </c>
      <c r="H1638" s="217">
        <v>5.1241000000000003</v>
      </c>
    </row>
    <row r="1639" spans="2:8">
      <c r="B1639" s="217" t="str">
        <f t="shared" si="127"/>
        <v>2Q</v>
      </c>
      <c r="C1639" s="217">
        <f t="shared" si="131"/>
        <v>4</v>
      </c>
      <c r="D1639" s="217" t="str">
        <f t="shared" si="128"/>
        <v>20</v>
      </c>
      <c r="E1639">
        <f t="shared" si="129"/>
        <v>2020</v>
      </c>
      <c r="F1639" s="217" t="str">
        <f t="shared" si="130"/>
        <v>2Q20</v>
      </c>
      <c r="G1639" s="218">
        <v>43930</v>
      </c>
      <c r="H1639" s="217">
        <v>5.1073000000000004</v>
      </c>
    </row>
    <row r="1640" spans="2:8">
      <c r="B1640" s="217" t="str">
        <f t="shared" si="127"/>
        <v>2Q</v>
      </c>
      <c r="C1640" s="217">
        <f t="shared" si="131"/>
        <v>4</v>
      </c>
      <c r="D1640" s="217" t="str">
        <f t="shared" si="128"/>
        <v>20</v>
      </c>
      <c r="E1640">
        <f t="shared" si="129"/>
        <v>2020</v>
      </c>
      <c r="F1640" s="217" t="str">
        <f t="shared" si="130"/>
        <v>2Q20</v>
      </c>
      <c r="G1640" s="218">
        <v>43931</v>
      </c>
      <c r="H1640" s="217">
        <v>5.1067999999999998</v>
      </c>
    </row>
    <row r="1641" spans="2:8">
      <c r="B1641" s="217" t="str">
        <f t="shared" si="127"/>
        <v>2Q</v>
      </c>
      <c r="C1641" s="217">
        <f t="shared" si="131"/>
        <v>4</v>
      </c>
      <c r="D1641" s="217" t="str">
        <f t="shared" si="128"/>
        <v>20</v>
      </c>
      <c r="E1641">
        <f t="shared" si="129"/>
        <v>2020</v>
      </c>
      <c r="F1641" s="217" t="str">
        <f t="shared" si="130"/>
        <v>2Q20</v>
      </c>
      <c r="G1641" s="218">
        <v>43934</v>
      </c>
      <c r="H1641" s="217">
        <v>5.2007000000000003</v>
      </c>
    </row>
    <row r="1642" spans="2:8">
      <c r="B1642" s="217" t="str">
        <f t="shared" si="127"/>
        <v>2Q</v>
      </c>
      <c r="C1642" s="217">
        <f t="shared" si="131"/>
        <v>4</v>
      </c>
      <c r="D1642" s="217" t="str">
        <f t="shared" si="128"/>
        <v>20</v>
      </c>
      <c r="E1642">
        <f t="shared" si="129"/>
        <v>2020</v>
      </c>
      <c r="F1642" s="217" t="str">
        <f t="shared" si="130"/>
        <v>2Q20</v>
      </c>
      <c r="G1642" s="218">
        <v>43935</v>
      </c>
      <c r="H1642" s="217">
        <v>5.1635999999999997</v>
      </c>
    </row>
    <row r="1643" spans="2:8">
      <c r="B1643" s="217" t="str">
        <f t="shared" si="127"/>
        <v>2Q</v>
      </c>
      <c r="C1643" s="217">
        <f t="shared" si="131"/>
        <v>4</v>
      </c>
      <c r="D1643" s="217" t="str">
        <f t="shared" si="128"/>
        <v>20</v>
      </c>
      <c r="E1643">
        <f t="shared" si="129"/>
        <v>2020</v>
      </c>
      <c r="F1643" s="217" t="str">
        <f t="shared" si="130"/>
        <v>2Q20</v>
      </c>
      <c r="G1643" s="218">
        <v>43936</v>
      </c>
      <c r="H1643" s="217">
        <v>5.2385000000000002</v>
      </c>
    </row>
    <row r="1644" spans="2:8">
      <c r="B1644" s="217" t="str">
        <f t="shared" si="127"/>
        <v>2Q</v>
      </c>
      <c r="C1644" s="217">
        <f t="shared" si="131"/>
        <v>4</v>
      </c>
      <c r="D1644" s="217" t="str">
        <f t="shared" si="128"/>
        <v>20</v>
      </c>
      <c r="E1644">
        <f t="shared" si="129"/>
        <v>2020</v>
      </c>
      <c r="F1644" s="217" t="str">
        <f t="shared" si="130"/>
        <v>2Q20</v>
      </c>
      <c r="G1644" s="218">
        <v>43937</v>
      </c>
      <c r="H1644" s="217">
        <v>5.2336</v>
      </c>
    </row>
    <row r="1645" spans="2:8">
      <c r="B1645" s="217" t="str">
        <f t="shared" si="127"/>
        <v>2Q</v>
      </c>
      <c r="C1645" s="217">
        <f t="shared" si="131"/>
        <v>4</v>
      </c>
      <c r="D1645" s="217" t="str">
        <f t="shared" si="128"/>
        <v>20</v>
      </c>
      <c r="E1645">
        <f t="shared" si="129"/>
        <v>2020</v>
      </c>
      <c r="F1645" s="217" t="str">
        <f t="shared" si="130"/>
        <v>2Q20</v>
      </c>
      <c r="G1645" s="218">
        <v>43938</v>
      </c>
      <c r="H1645" s="217">
        <v>5.2373000000000003</v>
      </c>
    </row>
    <row r="1646" spans="2:8">
      <c r="B1646" s="217" t="str">
        <f t="shared" si="127"/>
        <v>2Q</v>
      </c>
      <c r="C1646" s="217">
        <f t="shared" si="131"/>
        <v>4</v>
      </c>
      <c r="D1646" s="217" t="str">
        <f t="shared" si="128"/>
        <v>20</v>
      </c>
      <c r="E1646">
        <f t="shared" si="129"/>
        <v>2020</v>
      </c>
      <c r="F1646" s="217" t="str">
        <f t="shared" si="130"/>
        <v>2Q20</v>
      </c>
      <c r="G1646" s="218">
        <v>43941</v>
      </c>
      <c r="H1646" s="217">
        <v>5.3174999999999999</v>
      </c>
    </row>
    <row r="1647" spans="2:8">
      <c r="B1647" s="217" t="str">
        <f t="shared" si="127"/>
        <v>2Q</v>
      </c>
      <c r="C1647" s="217">
        <f t="shared" si="131"/>
        <v>4</v>
      </c>
      <c r="D1647" s="217" t="str">
        <f t="shared" si="128"/>
        <v>20</v>
      </c>
      <c r="E1647">
        <f t="shared" si="129"/>
        <v>2020</v>
      </c>
      <c r="F1647" s="217" t="str">
        <f t="shared" si="130"/>
        <v>2Q20</v>
      </c>
      <c r="G1647" s="218">
        <v>43942</v>
      </c>
      <c r="H1647" s="217">
        <v>5.3167999999999997</v>
      </c>
    </row>
    <row r="1648" spans="2:8">
      <c r="B1648" s="217" t="str">
        <f t="shared" si="127"/>
        <v>2Q</v>
      </c>
      <c r="C1648" s="217">
        <f t="shared" si="131"/>
        <v>4</v>
      </c>
      <c r="D1648" s="217" t="str">
        <f t="shared" si="128"/>
        <v>20</v>
      </c>
      <c r="E1648">
        <f t="shared" si="129"/>
        <v>2020</v>
      </c>
      <c r="F1648" s="217" t="str">
        <f t="shared" si="130"/>
        <v>2Q20</v>
      </c>
      <c r="G1648" s="218">
        <v>43943</v>
      </c>
      <c r="H1648" s="217">
        <v>5.4581999999999997</v>
      </c>
    </row>
    <row r="1649" spans="2:8">
      <c r="B1649" s="217" t="str">
        <f t="shared" si="127"/>
        <v>2Q</v>
      </c>
      <c r="C1649" s="217">
        <f t="shared" si="131"/>
        <v>4</v>
      </c>
      <c r="D1649" s="217" t="str">
        <f t="shared" si="128"/>
        <v>20</v>
      </c>
      <c r="E1649">
        <f t="shared" si="129"/>
        <v>2020</v>
      </c>
      <c r="F1649" s="217" t="str">
        <f t="shared" si="130"/>
        <v>2Q20</v>
      </c>
      <c r="G1649" s="218">
        <v>43944</v>
      </c>
      <c r="H1649" s="217">
        <v>5.5350999999999999</v>
      </c>
    </row>
    <row r="1650" spans="2:8">
      <c r="B1650" s="217" t="str">
        <f t="shared" si="127"/>
        <v>2Q</v>
      </c>
      <c r="C1650" s="217">
        <f t="shared" si="131"/>
        <v>4</v>
      </c>
      <c r="D1650" s="217" t="str">
        <f t="shared" si="128"/>
        <v>20</v>
      </c>
      <c r="E1650">
        <f t="shared" si="129"/>
        <v>2020</v>
      </c>
      <c r="F1650" s="217" t="str">
        <f t="shared" si="130"/>
        <v>2Q20</v>
      </c>
      <c r="G1650" s="218">
        <v>43945</v>
      </c>
      <c r="H1650" s="217">
        <v>5.5914999999999999</v>
      </c>
    </row>
    <row r="1651" spans="2:8">
      <c r="B1651" s="217" t="str">
        <f t="shared" si="127"/>
        <v>2Q</v>
      </c>
      <c r="C1651" s="217">
        <f t="shared" si="131"/>
        <v>4</v>
      </c>
      <c r="D1651" s="217" t="str">
        <f t="shared" si="128"/>
        <v>20</v>
      </c>
      <c r="E1651">
        <f t="shared" si="129"/>
        <v>2020</v>
      </c>
      <c r="F1651" s="217" t="str">
        <f t="shared" si="130"/>
        <v>2Q20</v>
      </c>
      <c r="G1651" s="218">
        <v>43948</v>
      </c>
      <c r="H1651" s="217">
        <v>5.6542000000000003</v>
      </c>
    </row>
    <row r="1652" spans="2:8">
      <c r="B1652" s="217" t="str">
        <f t="shared" si="127"/>
        <v>2Q</v>
      </c>
      <c r="C1652" s="217">
        <f t="shared" si="131"/>
        <v>4</v>
      </c>
      <c r="D1652" s="217" t="str">
        <f t="shared" si="128"/>
        <v>20</v>
      </c>
      <c r="E1652">
        <f t="shared" si="129"/>
        <v>2020</v>
      </c>
      <c r="F1652" s="217" t="str">
        <f t="shared" si="130"/>
        <v>2Q20</v>
      </c>
      <c r="G1652" s="218">
        <v>43949</v>
      </c>
      <c r="H1652" s="217">
        <v>5.5011000000000001</v>
      </c>
    </row>
    <row r="1653" spans="2:8">
      <c r="B1653" s="217" t="str">
        <f t="shared" si="127"/>
        <v>2Q</v>
      </c>
      <c r="C1653" s="217">
        <f t="shared" si="131"/>
        <v>4</v>
      </c>
      <c r="D1653" s="217" t="str">
        <f t="shared" si="128"/>
        <v>20</v>
      </c>
      <c r="E1653">
        <f t="shared" si="129"/>
        <v>2020</v>
      </c>
      <c r="F1653" s="217" t="str">
        <f t="shared" si="130"/>
        <v>2Q20</v>
      </c>
      <c r="G1653" s="218">
        <v>43950</v>
      </c>
      <c r="H1653" s="217">
        <v>5.3361000000000001</v>
      </c>
    </row>
    <row r="1654" spans="2:8">
      <c r="B1654" s="217" t="str">
        <f t="shared" si="127"/>
        <v>2Q</v>
      </c>
      <c r="C1654" s="217">
        <f t="shared" si="131"/>
        <v>4</v>
      </c>
      <c r="D1654" s="217" t="str">
        <f t="shared" si="128"/>
        <v>20</v>
      </c>
      <c r="E1654">
        <f t="shared" si="129"/>
        <v>2020</v>
      </c>
      <c r="F1654" s="217" t="str">
        <f t="shared" si="130"/>
        <v>2Q20</v>
      </c>
      <c r="G1654" s="218">
        <v>43951</v>
      </c>
      <c r="H1654" s="217">
        <v>5.4875999999999996</v>
      </c>
    </row>
    <row r="1655" spans="2:8">
      <c r="B1655" s="217" t="str">
        <f t="shared" si="127"/>
        <v>2Q</v>
      </c>
      <c r="C1655" s="217">
        <f t="shared" si="131"/>
        <v>5</v>
      </c>
      <c r="D1655" s="217" t="str">
        <f t="shared" si="128"/>
        <v>20</v>
      </c>
      <c r="E1655">
        <f t="shared" si="129"/>
        <v>2020</v>
      </c>
      <c r="F1655" s="217" t="str">
        <f t="shared" si="130"/>
        <v>2Q20</v>
      </c>
      <c r="G1655" s="218">
        <v>43952</v>
      </c>
      <c r="H1655" s="217">
        <v>5.4861000000000004</v>
      </c>
    </row>
    <row r="1656" spans="2:8">
      <c r="B1656" s="217" t="str">
        <f t="shared" si="127"/>
        <v>2Q</v>
      </c>
      <c r="C1656" s="217">
        <f t="shared" si="131"/>
        <v>5</v>
      </c>
      <c r="D1656" s="217" t="str">
        <f t="shared" si="128"/>
        <v>20</v>
      </c>
      <c r="E1656">
        <f t="shared" si="129"/>
        <v>2020</v>
      </c>
      <c r="F1656" s="217" t="str">
        <f t="shared" si="130"/>
        <v>2Q20</v>
      </c>
      <c r="G1656" s="218">
        <v>43955</v>
      </c>
      <c r="H1656" s="217">
        <v>5.5458999999999996</v>
      </c>
    </row>
    <row r="1657" spans="2:8">
      <c r="B1657" s="217" t="str">
        <f t="shared" si="127"/>
        <v>2Q</v>
      </c>
      <c r="C1657" s="217">
        <f t="shared" si="131"/>
        <v>5</v>
      </c>
      <c r="D1657" s="217" t="str">
        <f t="shared" si="128"/>
        <v>20</v>
      </c>
      <c r="E1657">
        <f t="shared" si="129"/>
        <v>2020</v>
      </c>
      <c r="F1657" s="217" t="str">
        <f t="shared" si="130"/>
        <v>2Q20</v>
      </c>
      <c r="G1657" s="218">
        <v>43956</v>
      </c>
      <c r="H1657" s="217">
        <v>5.5796999999999999</v>
      </c>
    </row>
    <row r="1658" spans="2:8">
      <c r="B1658" s="217" t="str">
        <f t="shared" si="127"/>
        <v>2Q</v>
      </c>
      <c r="C1658" s="217">
        <f t="shared" si="131"/>
        <v>5</v>
      </c>
      <c r="D1658" s="217" t="str">
        <f t="shared" si="128"/>
        <v>20</v>
      </c>
      <c r="E1658">
        <f t="shared" si="129"/>
        <v>2020</v>
      </c>
      <c r="F1658" s="217" t="str">
        <f t="shared" si="130"/>
        <v>2Q20</v>
      </c>
      <c r="G1658" s="218">
        <v>43957</v>
      </c>
      <c r="H1658" s="217">
        <v>5.7154999999999996</v>
      </c>
    </row>
    <row r="1659" spans="2:8">
      <c r="B1659" s="217" t="str">
        <f t="shared" si="127"/>
        <v>2Q</v>
      </c>
      <c r="C1659" s="217">
        <f t="shared" si="131"/>
        <v>5</v>
      </c>
      <c r="D1659" s="217" t="str">
        <f t="shared" si="128"/>
        <v>20</v>
      </c>
      <c r="E1659">
        <f t="shared" si="129"/>
        <v>2020</v>
      </c>
      <c r="F1659" s="217" t="str">
        <f t="shared" si="130"/>
        <v>2Q20</v>
      </c>
      <c r="G1659" s="218">
        <v>43958</v>
      </c>
      <c r="H1659" s="217">
        <v>5.8323999999999998</v>
      </c>
    </row>
    <row r="1660" spans="2:8">
      <c r="B1660" s="217" t="str">
        <f t="shared" si="127"/>
        <v>2Q</v>
      </c>
      <c r="C1660" s="217">
        <f t="shared" si="131"/>
        <v>5</v>
      </c>
      <c r="D1660" s="217" t="str">
        <f t="shared" si="128"/>
        <v>20</v>
      </c>
      <c r="E1660">
        <f t="shared" si="129"/>
        <v>2020</v>
      </c>
      <c r="F1660" s="217" t="str">
        <f t="shared" si="130"/>
        <v>2Q20</v>
      </c>
      <c r="G1660" s="218">
        <v>43959</v>
      </c>
      <c r="H1660" s="217">
        <v>5.7328999999999999</v>
      </c>
    </row>
    <row r="1661" spans="2:8">
      <c r="B1661" s="217" t="str">
        <f t="shared" si="127"/>
        <v>2Q</v>
      </c>
      <c r="C1661" s="217">
        <f t="shared" si="131"/>
        <v>5</v>
      </c>
      <c r="D1661" s="217" t="str">
        <f t="shared" si="128"/>
        <v>20</v>
      </c>
      <c r="E1661">
        <f t="shared" si="129"/>
        <v>2020</v>
      </c>
      <c r="F1661" s="217" t="str">
        <f t="shared" si="130"/>
        <v>2Q20</v>
      </c>
      <c r="G1661" s="218">
        <v>43962</v>
      </c>
      <c r="H1661" s="217">
        <v>5.8190999999999997</v>
      </c>
    </row>
    <row r="1662" spans="2:8">
      <c r="B1662" s="217" t="str">
        <f t="shared" si="127"/>
        <v>2Q</v>
      </c>
      <c r="C1662" s="217">
        <f t="shared" si="131"/>
        <v>5</v>
      </c>
      <c r="D1662" s="217" t="str">
        <f t="shared" si="128"/>
        <v>20</v>
      </c>
      <c r="E1662">
        <f t="shared" si="129"/>
        <v>2020</v>
      </c>
      <c r="F1662" s="217" t="str">
        <f t="shared" si="130"/>
        <v>2Q20</v>
      </c>
      <c r="G1662" s="218">
        <v>43963</v>
      </c>
      <c r="H1662" s="217">
        <v>5.8864000000000001</v>
      </c>
    </row>
    <row r="1663" spans="2:8">
      <c r="B1663" s="217" t="str">
        <f t="shared" si="127"/>
        <v>2Q</v>
      </c>
      <c r="C1663" s="217">
        <f t="shared" si="131"/>
        <v>5</v>
      </c>
      <c r="D1663" s="217" t="str">
        <f t="shared" si="128"/>
        <v>20</v>
      </c>
      <c r="E1663">
        <f t="shared" si="129"/>
        <v>2020</v>
      </c>
      <c r="F1663" s="217" t="str">
        <f t="shared" si="130"/>
        <v>2Q20</v>
      </c>
      <c r="G1663" s="218">
        <v>43964</v>
      </c>
      <c r="H1663" s="217">
        <v>5.8869999999999996</v>
      </c>
    </row>
    <row r="1664" spans="2:8">
      <c r="B1664" s="217" t="str">
        <f t="shared" si="127"/>
        <v>2Q</v>
      </c>
      <c r="C1664" s="217">
        <f t="shared" si="131"/>
        <v>5</v>
      </c>
      <c r="D1664" s="217" t="str">
        <f t="shared" si="128"/>
        <v>20</v>
      </c>
      <c r="E1664">
        <f t="shared" si="129"/>
        <v>2020</v>
      </c>
      <c r="F1664" s="217" t="str">
        <f t="shared" si="130"/>
        <v>2Q20</v>
      </c>
      <c r="G1664" s="218">
        <v>43965</v>
      </c>
      <c r="H1664" s="217">
        <v>5.8129999999999997</v>
      </c>
    </row>
    <row r="1665" spans="2:8">
      <c r="B1665" s="217" t="str">
        <f t="shared" si="127"/>
        <v>2Q</v>
      </c>
      <c r="C1665" s="217">
        <f t="shared" si="131"/>
        <v>5</v>
      </c>
      <c r="D1665" s="217" t="str">
        <f t="shared" si="128"/>
        <v>20</v>
      </c>
      <c r="E1665">
        <f t="shared" si="129"/>
        <v>2020</v>
      </c>
      <c r="F1665" s="217" t="str">
        <f t="shared" si="130"/>
        <v>2Q20</v>
      </c>
      <c r="G1665" s="218">
        <v>43966</v>
      </c>
      <c r="H1665" s="217">
        <v>5.8571</v>
      </c>
    </row>
    <row r="1666" spans="2:8">
      <c r="B1666" s="217" t="str">
        <f t="shared" si="127"/>
        <v>2Q</v>
      </c>
      <c r="C1666" s="217">
        <f t="shared" si="131"/>
        <v>5</v>
      </c>
      <c r="D1666" s="217" t="str">
        <f t="shared" si="128"/>
        <v>20</v>
      </c>
      <c r="E1666">
        <f t="shared" si="129"/>
        <v>2020</v>
      </c>
      <c r="F1666" s="217" t="str">
        <f t="shared" si="130"/>
        <v>2Q20</v>
      </c>
      <c r="G1666" s="218">
        <v>43969</v>
      </c>
      <c r="H1666" s="217">
        <v>5.7203999999999997</v>
      </c>
    </row>
    <row r="1667" spans="2:8">
      <c r="B1667" s="217" t="str">
        <f t="shared" ref="B1667:B1730" si="132">VLOOKUP(C1667,$N$3:$O$14,2,0)</f>
        <v>2Q</v>
      </c>
      <c r="C1667" s="217">
        <f t="shared" si="131"/>
        <v>5</v>
      </c>
      <c r="D1667" s="217" t="str">
        <f t="shared" ref="D1667:D1730" si="133">RIGHT(E1667,2)</f>
        <v>20</v>
      </c>
      <c r="E1667">
        <f t="shared" ref="E1667:E1730" si="134">YEAR(G1667)</f>
        <v>2020</v>
      </c>
      <c r="F1667" s="217" t="str">
        <f t="shared" ref="F1667:F1730" si="135">+B1667&amp;D1667</f>
        <v>2Q20</v>
      </c>
      <c r="G1667" s="218">
        <v>43970</v>
      </c>
      <c r="H1667" s="217">
        <v>5.7557</v>
      </c>
    </row>
    <row r="1668" spans="2:8">
      <c r="B1668" s="217" t="str">
        <f t="shared" si="132"/>
        <v>2Q</v>
      </c>
      <c r="C1668" s="217">
        <f t="shared" ref="C1668:C1731" si="136">MONTH(G1668)</f>
        <v>5</v>
      </c>
      <c r="D1668" s="217" t="str">
        <f t="shared" si="133"/>
        <v>20</v>
      </c>
      <c r="E1668">
        <f t="shared" si="134"/>
        <v>2020</v>
      </c>
      <c r="F1668" s="217" t="str">
        <f t="shared" si="135"/>
        <v>2Q20</v>
      </c>
      <c r="G1668" s="218">
        <v>43971</v>
      </c>
      <c r="H1668" s="217">
        <v>5.6933999999999996</v>
      </c>
    </row>
    <row r="1669" spans="2:8">
      <c r="B1669" s="217" t="str">
        <f t="shared" si="132"/>
        <v>2Q</v>
      </c>
      <c r="C1669" s="217">
        <f t="shared" si="136"/>
        <v>5</v>
      </c>
      <c r="D1669" s="217" t="str">
        <f t="shared" si="133"/>
        <v>20</v>
      </c>
      <c r="E1669">
        <f t="shared" si="134"/>
        <v>2020</v>
      </c>
      <c r="F1669" s="217" t="str">
        <f t="shared" si="135"/>
        <v>2Q20</v>
      </c>
      <c r="G1669" s="218">
        <v>43972</v>
      </c>
      <c r="H1669" s="217">
        <v>5.5523999999999996</v>
      </c>
    </row>
    <row r="1670" spans="2:8">
      <c r="B1670" s="217" t="str">
        <f t="shared" si="132"/>
        <v>2Q</v>
      </c>
      <c r="C1670" s="217">
        <f t="shared" si="136"/>
        <v>5</v>
      </c>
      <c r="D1670" s="217" t="str">
        <f t="shared" si="133"/>
        <v>20</v>
      </c>
      <c r="E1670">
        <f t="shared" si="134"/>
        <v>2020</v>
      </c>
      <c r="F1670" s="217" t="str">
        <f t="shared" si="135"/>
        <v>2Q20</v>
      </c>
      <c r="G1670" s="218">
        <v>43973</v>
      </c>
      <c r="H1670" s="217">
        <v>5.5340999999999996</v>
      </c>
    </row>
    <row r="1671" spans="2:8">
      <c r="B1671" s="217" t="str">
        <f t="shared" si="132"/>
        <v>2Q</v>
      </c>
      <c r="C1671" s="217">
        <f t="shared" si="136"/>
        <v>5</v>
      </c>
      <c r="D1671" s="217" t="str">
        <f t="shared" si="133"/>
        <v>20</v>
      </c>
      <c r="E1671">
        <f t="shared" si="134"/>
        <v>2020</v>
      </c>
      <c r="F1671" s="217" t="str">
        <f t="shared" si="135"/>
        <v>2Q20</v>
      </c>
      <c r="G1671" s="218">
        <v>43976</v>
      </c>
      <c r="H1671" s="217">
        <v>5.4466999999999999</v>
      </c>
    </row>
    <row r="1672" spans="2:8">
      <c r="B1672" s="217" t="str">
        <f t="shared" si="132"/>
        <v>2Q</v>
      </c>
      <c r="C1672" s="217">
        <f t="shared" si="136"/>
        <v>5</v>
      </c>
      <c r="D1672" s="217" t="str">
        <f t="shared" si="133"/>
        <v>20</v>
      </c>
      <c r="E1672">
        <f t="shared" si="134"/>
        <v>2020</v>
      </c>
      <c r="F1672" s="217" t="str">
        <f t="shared" si="135"/>
        <v>2Q20</v>
      </c>
      <c r="G1672" s="218">
        <v>43977</v>
      </c>
      <c r="H1672" s="217">
        <v>5.3460000000000001</v>
      </c>
    </row>
    <row r="1673" spans="2:8">
      <c r="B1673" s="217" t="str">
        <f t="shared" si="132"/>
        <v>2Q</v>
      </c>
      <c r="C1673" s="217">
        <f t="shared" si="136"/>
        <v>5</v>
      </c>
      <c r="D1673" s="217" t="str">
        <f t="shared" si="133"/>
        <v>20</v>
      </c>
      <c r="E1673">
        <f t="shared" si="134"/>
        <v>2020</v>
      </c>
      <c r="F1673" s="217" t="str">
        <f t="shared" si="135"/>
        <v>2Q20</v>
      </c>
      <c r="G1673" s="218">
        <v>43978</v>
      </c>
      <c r="H1673" s="217">
        <v>5.2743000000000002</v>
      </c>
    </row>
    <row r="1674" spans="2:8">
      <c r="B1674" s="217" t="str">
        <f t="shared" si="132"/>
        <v>2Q</v>
      </c>
      <c r="C1674" s="217">
        <f t="shared" si="136"/>
        <v>5</v>
      </c>
      <c r="D1674" s="217" t="str">
        <f t="shared" si="133"/>
        <v>20</v>
      </c>
      <c r="E1674">
        <f t="shared" si="134"/>
        <v>2020</v>
      </c>
      <c r="F1674" s="217" t="str">
        <f t="shared" si="135"/>
        <v>2Q20</v>
      </c>
      <c r="G1674" s="218">
        <v>43979</v>
      </c>
      <c r="H1674" s="217">
        <v>5.4058999999999999</v>
      </c>
    </row>
    <row r="1675" spans="2:8">
      <c r="B1675" s="217" t="str">
        <f t="shared" si="132"/>
        <v>2Q</v>
      </c>
      <c r="C1675" s="217">
        <f t="shared" si="136"/>
        <v>5</v>
      </c>
      <c r="D1675" s="217" t="str">
        <f t="shared" si="133"/>
        <v>20</v>
      </c>
      <c r="E1675">
        <f t="shared" si="134"/>
        <v>2020</v>
      </c>
      <c r="F1675" s="217" t="str">
        <f t="shared" si="135"/>
        <v>2Q20</v>
      </c>
      <c r="G1675" s="218">
        <v>43980</v>
      </c>
      <c r="H1675" s="217">
        <v>5.3369999999999997</v>
      </c>
    </row>
    <row r="1676" spans="2:8">
      <c r="B1676" s="217" t="str">
        <f t="shared" si="132"/>
        <v>2Q</v>
      </c>
      <c r="C1676" s="217">
        <f t="shared" si="136"/>
        <v>6</v>
      </c>
      <c r="D1676" s="217" t="str">
        <f t="shared" si="133"/>
        <v>20</v>
      </c>
      <c r="E1676">
        <f t="shared" si="134"/>
        <v>2020</v>
      </c>
      <c r="F1676" s="217" t="str">
        <f t="shared" si="135"/>
        <v>2Q20</v>
      </c>
      <c r="G1676" s="218">
        <v>43983</v>
      </c>
      <c r="H1676" s="217">
        <v>5.3651</v>
      </c>
    </row>
    <row r="1677" spans="2:8">
      <c r="B1677" s="217" t="str">
        <f t="shared" si="132"/>
        <v>2Q</v>
      </c>
      <c r="C1677" s="217">
        <f t="shared" si="136"/>
        <v>6</v>
      </c>
      <c r="D1677" s="217" t="str">
        <f t="shared" si="133"/>
        <v>20</v>
      </c>
      <c r="E1677">
        <f t="shared" si="134"/>
        <v>2020</v>
      </c>
      <c r="F1677" s="217" t="str">
        <f t="shared" si="135"/>
        <v>2Q20</v>
      </c>
      <c r="G1677" s="218">
        <v>43984</v>
      </c>
      <c r="H1677" s="217">
        <v>5.2016999999999998</v>
      </c>
    </row>
    <row r="1678" spans="2:8">
      <c r="B1678" s="217" t="str">
        <f t="shared" si="132"/>
        <v>2Q</v>
      </c>
      <c r="C1678" s="217">
        <f t="shared" si="136"/>
        <v>6</v>
      </c>
      <c r="D1678" s="217" t="str">
        <f t="shared" si="133"/>
        <v>20</v>
      </c>
      <c r="E1678">
        <f t="shared" si="134"/>
        <v>2020</v>
      </c>
      <c r="F1678" s="217" t="str">
        <f t="shared" si="135"/>
        <v>2Q20</v>
      </c>
      <c r="G1678" s="218">
        <v>43985</v>
      </c>
      <c r="H1678" s="217">
        <v>5.0636999999999999</v>
      </c>
    </row>
    <row r="1679" spans="2:8">
      <c r="B1679" s="217" t="str">
        <f t="shared" si="132"/>
        <v>2Q</v>
      </c>
      <c r="C1679" s="217">
        <f t="shared" si="136"/>
        <v>6</v>
      </c>
      <c r="D1679" s="217" t="str">
        <f t="shared" si="133"/>
        <v>20</v>
      </c>
      <c r="E1679">
        <f t="shared" si="134"/>
        <v>2020</v>
      </c>
      <c r="F1679" s="217" t="str">
        <f t="shared" si="135"/>
        <v>2Q20</v>
      </c>
      <c r="G1679" s="218">
        <v>43986</v>
      </c>
      <c r="H1679" s="217">
        <v>5.12</v>
      </c>
    </row>
    <row r="1680" spans="2:8">
      <c r="B1680" s="217" t="str">
        <f t="shared" si="132"/>
        <v>2Q</v>
      </c>
      <c r="C1680" s="217">
        <f t="shared" si="136"/>
        <v>6</v>
      </c>
      <c r="D1680" s="217" t="str">
        <f t="shared" si="133"/>
        <v>20</v>
      </c>
      <c r="E1680">
        <f t="shared" si="134"/>
        <v>2020</v>
      </c>
      <c r="F1680" s="217" t="str">
        <f t="shared" si="135"/>
        <v>2Q20</v>
      </c>
      <c r="G1680" s="218">
        <v>43987</v>
      </c>
      <c r="H1680" s="217">
        <v>4.9592000000000001</v>
      </c>
    </row>
    <row r="1681" spans="2:8">
      <c r="B1681" s="217" t="str">
        <f t="shared" si="132"/>
        <v>2Q</v>
      </c>
      <c r="C1681" s="217">
        <f t="shared" si="136"/>
        <v>6</v>
      </c>
      <c r="D1681" s="217" t="str">
        <f t="shared" si="133"/>
        <v>20</v>
      </c>
      <c r="E1681">
        <f t="shared" si="134"/>
        <v>2020</v>
      </c>
      <c r="F1681" s="217" t="str">
        <f t="shared" si="135"/>
        <v>2Q20</v>
      </c>
      <c r="G1681" s="218">
        <v>43990</v>
      </c>
      <c r="H1681" s="217">
        <v>4.8235000000000001</v>
      </c>
    </row>
    <row r="1682" spans="2:8">
      <c r="B1682" s="217" t="str">
        <f t="shared" si="132"/>
        <v>2Q</v>
      </c>
      <c r="C1682" s="217">
        <f t="shared" si="136"/>
        <v>6</v>
      </c>
      <c r="D1682" s="217" t="str">
        <f t="shared" si="133"/>
        <v>20</v>
      </c>
      <c r="E1682">
        <f t="shared" si="134"/>
        <v>2020</v>
      </c>
      <c r="F1682" s="217" t="str">
        <f t="shared" si="135"/>
        <v>2Q20</v>
      </c>
      <c r="G1682" s="218">
        <v>43991</v>
      </c>
      <c r="H1682" s="217">
        <v>4.9001999999999999</v>
      </c>
    </row>
    <row r="1683" spans="2:8">
      <c r="B1683" s="217" t="str">
        <f t="shared" si="132"/>
        <v>2Q</v>
      </c>
      <c r="C1683" s="217">
        <f t="shared" si="136"/>
        <v>6</v>
      </c>
      <c r="D1683" s="217" t="str">
        <f t="shared" si="133"/>
        <v>20</v>
      </c>
      <c r="E1683">
        <f t="shared" si="134"/>
        <v>2020</v>
      </c>
      <c r="F1683" s="217" t="str">
        <f t="shared" si="135"/>
        <v>2Q20</v>
      </c>
      <c r="G1683" s="218">
        <v>43992</v>
      </c>
      <c r="H1683" s="217">
        <v>4.9744999999999999</v>
      </c>
    </row>
    <row r="1684" spans="2:8">
      <c r="B1684" s="217" t="str">
        <f t="shared" si="132"/>
        <v>2Q</v>
      </c>
      <c r="C1684" s="217">
        <f t="shared" si="136"/>
        <v>6</v>
      </c>
      <c r="D1684" s="217" t="str">
        <f t="shared" si="133"/>
        <v>20</v>
      </c>
      <c r="E1684">
        <f t="shared" si="134"/>
        <v>2020</v>
      </c>
      <c r="F1684" s="217" t="str">
        <f t="shared" si="135"/>
        <v>2Q20</v>
      </c>
      <c r="G1684" s="218">
        <v>43993</v>
      </c>
      <c r="H1684" s="217">
        <v>4.9764999999999997</v>
      </c>
    </row>
    <row r="1685" spans="2:8">
      <c r="B1685" s="217" t="str">
        <f t="shared" si="132"/>
        <v>2Q</v>
      </c>
      <c r="C1685" s="217">
        <f t="shared" si="136"/>
        <v>6</v>
      </c>
      <c r="D1685" s="217" t="str">
        <f t="shared" si="133"/>
        <v>20</v>
      </c>
      <c r="E1685">
        <f t="shared" si="134"/>
        <v>2020</v>
      </c>
      <c r="F1685" s="217" t="str">
        <f t="shared" si="135"/>
        <v>2Q20</v>
      </c>
      <c r="G1685" s="218">
        <v>43994</v>
      </c>
      <c r="H1685" s="217">
        <v>5.0518000000000001</v>
      </c>
    </row>
    <row r="1686" spans="2:8">
      <c r="B1686" s="217" t="str">
        <f t="shared" si="132"/>
        <v>2Q</v>
      </c>
      <c r="C1686" s="217">
        <f t="shared" si="136"/>
        <v>6</v>
      </c>
      <c r="D1686" s="217" t="str">
        <f t="shared" si="133"/>
        <v>20</v>
      </c>
      <c r="E1686">
        <f t="shared" si="134"/>
        <v>2020</v>
      </c>
      <c r="F1686" s="217" t="str">
        <f t="shared" si="135"/>
        <v>2Q20</v>
      </c>
      <c r="G1686" s="218">
        <v>43997</v>
      </c>
      <c r="H1686" s="217">
        <v>5.1559999999999997</v>
      </c>
    </row>
    <row r="1687" spans="2:8">
      <c r="B1687" s="217" t="str">
        <f t="shared" si="132"/>
        <v>2Q</v>
      </c>
      <c r="C1687" s="217">
        <f t="shared" si="136"/>
        <v>6</v>
      </c>
      <c r="D1687" s="217" t="str">
        <f t="shared" si="133"/>
        <v>20</v>
      </c>
      <c r="E1687">
        <f t="shared" si="134"/>
        <v>2020</v>
      </c>
      <c r="F1687" s="217" t="str">
        <f t="shared" si="135"/>
        <v>2Q20</v>
      </c>
      <c r="G1687" s="218">
        <v>43998</v>
      </c>
      <c r="H1687" s="217">
        <v>5.2445000000000004</v>
      </c>
    </row>
    <row r="1688" spans="2:8">
      <c r="B1688" s="217" t="str">
        <f t="shared" si="132"/>
        <v>2Q</v>
      </c>
      <c r="C1688" s="217">
        <f t="shared" si="136"/>
        <v>6</v>
      </c>
      <c r="D1688" s="217" t="str">
        <f t="shared" si="133"/>
        <v>20</v>
      </c>
      <c r="E1688">
        <f t="shared" si="134"/>
        <v>2020</v>
      </c>
      <c r="F1688" s="217" t="str">
        <f t="shared" si="135"/>
        <v>2Q20</v>
      </c>
      <c r="G1688" s="218">
        <v>43999</v>
      </c>
      <c r="H1688" s="217">
        <v>5.2287999999999997</v>
      </c>
    </row>
    <row r="1689" spans="2:8">
      <c r="B1689" s="217" t="str">
        <f t="shared" si="132"/>
        <v>2Q</v>
      </c>
      <c r="C1689" s="217">
        <f t="shared" si="136"/>
        <v>6</v>
      </c>
      <c r="D1689" s="217" t="str">
        <f t="shared" si="133"/>
        <v>20</v>
      </c>
      <c r="E1689">
        <f t="shared" si="134"/>
        <v>2020</v>
      </c>
      <c r="F1689" s="217" t="str">
        <f t="shared" si="135"/>
        <v>2Q20</v>
      </c>
      <c r="G1689" s="218">
        <v>44000</v>
      </c>
      <c r="H1689" s="217">
        <v>5.3779000000000003</v>
      </c>
    </row>
    <row r="1690" spans="2:8">
      <c r="B1690" s="217" t="str">
        <f t="shared" si="132"/>
        <v>2Q</v>
      </c>
      <c r="C1690" s="217">
        <f t="shared" si="136"/>
        <v>6</v>
      </c>
      <c r="D1690" s="217" t="str">
        <f t="shared" si="133"/>
        <v>20</v>
      </c>
      <c r="E1690">
        <f t="shared" si="134"/>
        <v>2020</v>
      </c>
      <c r="F1690" s="217" t="str">
        <f t="shared" si="135"/>
        <v>2Q20</v>
      </c>
      <c r="G1690" s="218">
        <v>44001</v>
      </c>
      <c r="H1690" s="217">
        <v>5.3121</v>
      </c>
    </row>
    <row r="1691" spans="2:8">
      <c r="B1691" s="217" t="str">
        <f t="shared" si="132"/>
        <v>2Q</v>
      </c>
      <c r="C1691" s="217">
        <f t="shared" si="136"/>
        <v>6</v>
      </c>
      <c r="D1691" s="217" t="str">
        <f t="shared" si="133"/>
        <v>20</v>
      </c>
      <c r="E1691">
        <f t="shared" si="134"/>
        <v>2020</v>
      </c>
      <c r="F1691" s="217" t="str">
        <f t="shared" si="135"/>
        <v>2Q20</v>
      </c>
      <c r="G1691" s="218">
        <v>44004</v>
      </c>
      <c r="H1691" s="217">
        <v>5.2537000000000003</v>
      </c>
    </row>
    <row r="1692" spans="2:8">
      <c r="B1692" s="217" t="str">
        <f t="shared" si="132"/>
        <v>2Q</v>
      </c>
      <c r="C1692" s="217">
        <f t="shared" si="136"/>
        <v>6</v>
      </c>
      <c r="D1692" s="217" t="str">
        <f t="shared" si="133"/>
        <v>20</v>
      </c>
      <c r="E1692">
        <f t="shared" si="134"/>
        <v>2020</v>
      </c>
      <c r="F1692" s="217" t="str">
        <f t="shared" si="135"/>
        <v>2Q20</v>
      </c>
      <c r="G1692" s="218">
        <v>44005</v>
      </c>
      <c r="H1692" s="217">
        <v>5.1544999999999996</v>
      </c>
    </row>
    <row r="1693" spans="2:8">
      <c r="B1693" s="217" t="str">
        <f t="shared" si="132"/>
        <v>2Q</v>
      </c>
      <c r="C1693" s="217">
        <f t="shared" si="136"/>
        <v>6</v>
      </c>
      <c r="D1693" s="217" t="str">
        <f t="shared" si="133"/>
        <v>20</v>
      </c>
      <c r="E1693">
        <f t="shared" si="134"/>
        <v>2020</v>
      </c>
      <c r="F1693" s="217" t="str">
        <f t="shared" si="135"/>
        <v>2Q20</v>
      </c>
      <c r="G1693" s="218">
        <v>44006</v>
      </c>
      <c r="H1693" s="217">
        <v>5.3479000000000001</v>
      </c>
    </row>
    <row r="1694" spans="2:8">
      <c r="B1694" s="217" t="str">
        <f t="shared" si="132"/>
        <v>2Q</v>
      </c>
      <c r="C1694" s="217">
        <f t="shared" si="136"/>
        <v>6</v>
      </c>
      <c r="D1694" s="217" t="str">
        <f t="shared" si="133"/>
        <v>20</v>
      </c>
      <c r="E1694">
        <f t="shared" si="134"/>
        <v>2020</v>
      </c>
      <c r="F1694" s="217" t="str">
        <f t="shared" si="135"/>
        <v>2Q20</v>
      </c>
      <c r="G1694" s="218">
        <v>44007</v>
      </c>
      <c r="H1694" s="217">
        <v>5.3563999999999998</v>
      </c>
    </row>
    <row r="1695" spans="2:8">
      <c r="B1695" s="217" t="str">
        <f t="shared" si="132"/>
        <v>2Q</v>
      </c>
      <c r="C1695" s="217">
        <f t="shared" si="136"/>
        <v>6</v>
      </c>
      <c r="D1695" s="217" t="str">
        <f t="shared" si="133"/>
        <v>20</v>
      </c>
      <c r="E1695">
        <f t="shared" si="134"/>
        <v>2020</v>
      </c>
      <c r="F1695" s="217" t="str">
        <f t="shared" si="135"/>
        <v>2Q20</v>
      </c>
      <c r="G1695" s="218">
        <v>44008</v>
      </c>
      <c r="H1695" s="217">
        <v>5.4856999999999996</v>
      </c>
    </row>
    <row r="1696" spans="2:8">
      <c r="B1696" s="217" t="str">
        <f t="shared" si="132"/>
        <v>2Q</v>
      </c>
      <c r="C1696" s="217">
        <f t="shared" si="136"/>
        <v>6</v>
      </c>
      <c r="D1696" s="217" t="str">
        <f t="shared" si="133"/>
        <v>20</v>
      </c>
      <c r="E1696">
        <f t="shared" si="134"/>
        <v>2020</v>
      </c>
      <c r="F1696" s="217" t="str">
        <f t="shared" si="135"/>
        <v>2Q20</v>
      </c>
      <c r="G1696" s="218">
        <v>44011</v>
      </c>
      <c r="H1696" s="217">
        <v>5.4036999999999997</v>
      </c>
    </row>
    <row r="1697" spans="2:8">
      <c r="B1697" s="217" t="str">
        <f t="shared" si="132"/>
        <v>2Q</v>
      </c>
      <c r="C1697" s="217">
        <f t="shared" si="136"/>
        <v>6</v>
      </c>
      <c r="D1697" s="217" t="str">
        <f t="shared" si="133"/>
        <v>20</v>
      </c>
      <c r="E1697">
        <f t="shared" si="134"/>
        <v>2020</v>
      </c>
      <c r="F1697" s="217" t="str">
        <f t="shared" si="135"/>
        <v>2Q20</v>
      </c>
      <c r="G1697" s="218">
        <v>44012</v>
      </c>
      <c r="H1697" s="217">
        <v>5.4672000000000001</v>
      </c>
    </row>
    <row r="1698" spans="2:8">
      <c r="B1698" s="217" t="str">
        <f t="shared" si="132"/>
        <v>3Q</v>
      </c>
      <c r="C1698" s="217">
        <f t="shared" si="136"/>
        <v>7</v>
      </c>
      <c r="D1698" s="217" t="str">
        <f t="shared" si="133"/>
        <v>20</v>
      </c>
      <c r="E1698">
        <f t="shared" si="134"/>
        <v>2020</v>
      </c>
      <c r="F1698" s="217" t="str">
        <f t="shared" si="135"/>
        <v>3Q20</v>
      </c>
      <c r="G1698" s="218">
        <v>44013</v>
      </c>
      <c r="H1698" s="217">
        <v>5.3186</v>
      </c>
    </row>
    <row r="1699" spans="2:8">
      <c r="B1699" s="217" t="str">
        <f t="shared" si="132"/>
        <v>3Q</v>
      </c>
      <c r="C1699" s="217">
        <f t="shared" si="136"/>
        <v>7</v>
      </c>
      <c r="D1699" s="217" t="str">
        <f t="shared" si="133"/>
        <v>20</v>
      </c>
      <c r="E1699">
        <f t="shared" si="134"/>
        <v>2020</v>
      </c>
      <c r="F1699" s="217" t="str">
        <f t="shared" si="135"/>
        <v>3Q20</v>
      </c>
      <c r="G1699" s="218">
        <v>44014</v>
      </c>
      <c r="H1699" s="217">
        <v>5.3598999999999997</v>
      </c>
    </row>
    <row r="1700" spans="2:8">
      <c r="B1700" s="217" t="str">
        <f t="shared" si="132"/>
        <v>3Q</v>
      </c>
      <c r="C1700" s="217">
        <f t="shared" si="136"/>
        <v>7</v>
      </c>
      <c r="D1700" s="217" t="str">
        <f t="shared" si="133"/>
        <v>20</v>
      </c>
      <c r="E1700">
        <f t="shared" si="134"/>
        <v>2020</v>
      </c>
      <c r="F1700" s="217" t="str">
        <f t="shared" si="135"/>
        <v>3Q20</v>
      </c>
      <c r="G1700" s="218">
        <v>44015</v>
      </c>
      <c r="H1700" s="217">
        <v>5.3160999999999996</v>
      </c>
    </row>
    <row r="1701" spans="2:8">
      <c r="B1701" s="217" t="str">
        <f t="shared" si="132"/>
        <v>3Q</v>
      </c>
      <c r="C1701" s="217">
        <f t="shared" si="136"/>
        <v>7</v>
      </c>
      <c r="D1701" s="217" t="str">
        <f t="shared" si="133"/>
        <v>20</v>
      </c>
      <c r="E1701">
        <f t="shared" si="134"/>
        <v>2020</v>
      </c>
      <c r="F1701" s="217" t="str">
        <f t="shared" si="135"/>
        <v>3Q20</v>
      </c>
      <c r="G1701" s="218">
        <v>44018</v>
      </c>
      <c r="H1701" s="217">
        <v>5.3571999999999997</v>
      </c>
    </row>
    <row r="1702" spans="2:8">
      <c r="B1702" s="217" t="str">
        <f t="shared" si="132"/>
        <v>3Q</v>
      </c>
      <c r="C1702" s="217">
        <f t="shared" si="136"/>
        <v>7</v>
      </c>
      <c r="D1702" s="217" t="str">
        <f t="shared" si="133"/>
        <v>20</v>
      </c>
      <c r="E1702">
        <f t="shared" si="134"/>
        <v>2020</v>
      </c>
      <c r="F1702" s="217" t="str">
        <f t="shared" si="135"/>
        <v>3Q20</v>
      </c>
      <c r="G1702" s="218">
        <v>44019</v>
      </c>
      <c r="H1702" s="217">
        <v>5.3792999999999997</v>
      </c>
    </row>
    <row r="1703" spans="2:8">
      <c r="B1703" s="217" t="str">
        <f t="shared" si="132"/>
        <v>3Q</v>
      </c>
      <c r="C1703" s="217">
        <f t="shared" si="136"/>
        <v>7</v>
      </c>
      <c r="D1703" s="217" t="str">
        <f t="shared" si="133"/>
        <v>20</v>
      </c>
      <c r="E1703">
        <f t="shared" si="134"/>
        <v>2020</v>
      </c>
      <c r="F1703" s="217" t="str">
        <f t="shared" si="135"/>
        <v>3Q20</v>
      </c>
      <c r="G1703" s="218">
        <v>44020</v>
      </c>
      <c r="H1703" s="217">
        <v>5.3437999999999999</v>
      </c>
    </row>
    <row r="1704" spans="2:8">
      <c r="B1704" s="217" t="str">
        <f t="shared" si="132"/>
        <v>3Q</v>
      </c>
      <c r="C1704" s="217">
        <f t="shared" si="136"/>
        <v>7</v>
      </c>
      <c r="D1704" s="217" t="str">
        <f t="shared" si="133"/>
        <v>20</v>
      </c>
      <c r="E1704">
        <f t="shared" si="134"/>
        <v>2020</v>
      </c>
      <c r="F1704" s="217" t="str">
        <f t="shared" si="135"/>
        <v>3Q20</v>
      </c>
      <c r="G1704" s="218">
        <v>44021</v>
      </c>
      <c r="H1704" s="217">
        <v>5.343</v>
      </c>
    </row>
    <row r="1705" spans="2:8">
      <c r="B1705" s="217" t="str">
        <f t="shared" si="132"/>
        <v>3Q</v>
      </c>
      <c r="C1705" s="217">
        <f t="shared" si="136"/>
        <v>7</v>
      </c>
      <c r="D1705" s="217" t="str">
        <f t="shared" si="133"/>
        <v>20</v>
      </c>
      <c r="E1705">
        <f t="shared" si="134"/>
        <v>2020</v>
      </c>
      <c r="F1705" s="217" t="str">
        <f t="shared" si="135"/>
        <v>3Q20</v>
      </c>
      <c r="G1705" s="218">
        <v>44022</v>
      </c>
      <c r="H1705" s="217">
        <v>5.3239999999999998</v>
      </c>
    </row>
    <row r="1706" spans="2:8">
      <c r="B1706" s="217" t="str">
        <f t="shared" si="132"/>
        <v>3Q</v>
      </c>
      <c r="C1706" s="217">
        <f t="shared" si="136"/>
        <v>7</v>
      </c>
      <c r="D1706" s="217" t="str">
        <f t="shared" si="133"/>
        <v>20</v>
      </c>
      <c r="E1706">
        <f t="shared" si="134"/>
        <v>2020</v>
      </c>
      <c r="F1706" s="217" t="str">
        <f t="shared" si="135"/>
        <v>3Q20</v>
      </c>
      <c r="G1706" s="218">
        <v>44025</v>
      </c>
      <c r="H1706" s="217">
        <v>5.4042000000000003</v>
      </c>
    </row>
    <row r="1707" spans="2:8">
      <c r="B1707" s="217" t="str">
        <f t="shared" si="132"/>
        <v>3Q</v>
      </c>
      <c r="C1707" s="217">
        <f t="shared" si="136"/>
        <v>7</v>
      </c>
      <c r="D1707" s="217" t="str">
        <f t="shared" si="133"/>
        <v>20</v>
      </c>
      <c r="E1707">
        <f t="shared" si="134"/>
        <v>2020</v>
      </c>
      <c r="F1707" s="217" t="str">
        <f t="shared" si="135"/>
        <v>3Q20</v>
      </c>
      <c r="G1707" s="218">
        <v>44026</v>
      </c>
      <c r="H1707" s="217">
        <v>5.3684000000000003</v>
      </c>
    </row>
    <row r="1708" spans="2:8">
      <c r="B1708" s="217" t="str">
        <f t="shared" si="132"/>
        <v>3Q</v>
      </c>
      <c r="C1708" s="217">
        <f t="shared" si="136"/>
        <v>7</v>
      </c>
      <c r="D1708" s="217" t="str">
        <f t="shared" si="133"/>
        <v>20</v>
      </c>
      <c r="E1708">
        <f t="shared" si="134"/>
        <v>2020</v>
      </c>
      <c r="F1708" s="217" t="str">
        <f t="shared" si="135"/>
        <v>3Q20</v>
      </c>
      <c r="G1708" s="218">
        <v>44027</v>
      </c>
      <c r="H1708" s="217">
        <v>5.3715999999999999</v>
      </c>
    </row>
    <row r="1709" spans="2:8">
      <c r="B1709" s="217" t="str">
        <f t="shared" si="132"/>
        <v>3Q</v>
      </c>
      <c r="C1709" s="217">
        <f t="shared" si="136"/>
        <v>7</v>
      </c>
      <c r="D1709" s="217" t="str">
        <f t="shared" si="133"/>
        <v>20</v>
      </c>
      <c r="E1709">
        <f t="shared" si="134"/>
        <v>2020</v>
      </c>
      <c r="F1709" s="217" t="str">
        <f t="shared" si="135"/>
        <v>3Q20</v>
      </c>
      <c r="G1709" s="218">
        <v>44028</v>
      </c>
      <c r="H1709" s="217">
        <v>5.3314000000000004</v>
      </c>
    </row>
    <row r="1710" spans="2:8">
      <c r="B1710" s="217" t="str">
        <f t="shared" si="132"/>
        <v>3Q</v>
      </c>
      <c r="C1710" s="217">
        <f t="shared" si="136"/>
        <v>7</v>
      </c>
      <c r="D1710" s="217" t="str">
        <f t="shared" si="133"/>
        <v>20</v>
      </c>
      <c r="E1710">
        <f t="shared" si="134"/>
        <v>2020</v>
      </c>
      <c r="F1710" s="217" t="str">
        <f t="shared" si="135"/>
        <v>3Q20</v>
      </c>
      <c r="G1710" s="218">
        <v>44029</v>
      </c>
      <c r="H1710" s="217">
        <v>5.3864000000000001</v>
      </c>
    </row>
    <row r="1711" spans="2:8">
      <c r="B1711" s="217" t="str">
        <f t="shared" si="132"/>
        <v>3Q</v>
      </c>
      <c r="C1711" s="217">
        <f t="shared" si="136"/>
        <v>7</v>
      </c>
      <c r="D1711" s="217" t="str">
        <f t="shared" si="133"/>
        <v>20</v>
      </c>
      <c r="E1711">
        <f t="shared" si="134"/>
        <v>2020</v>
      </c>
      <c r="F1711" s="217" t="str">
        <f t="shared" si="135"/>
        <v>3Q20</v>
      </c>
      <c r="G1711" s="218">
        <v>44032</v>
      </c>
      <c r="H1711" s="217">
        <v>5.3285999999999998</v>
      </c>
    </row>
    <row r="1712" spans="2:8">
      <c r="B1712" s="217" t="str">
        <f t="shared" si="132"/>
        <v>3Q</v>
      </c>
      <c r="C1712" s="217">
        <f t="shared" si="136"/>
        <v>7</v>
      </c>
      <c r="D1712" s="217" t="str">
        <f t="shared" si="133"/>
        <v>20</v>
      </c>
      <c r="E1712">
        <f t="shared" si="134"/>
        <v>2020</v>
      </c>
      <c r="F1712" s="217" t="str">
        <f t="shared" si="135"/>
        <v>3Q20</v>
      </c>
      <c r="G1712" s="218">
        <v>44033</v>
      </c>
      <c r="H1712" s="217">
        <v>5.1727999999999996</v>
      </c>
    </row>
    <row r="1713" spans="2:8">
      <c r="B1713" s="217" t="str">
        <f t="shared" si="132"/>
        <v>3Q</v>
      </c>
      <c r="C1713" s="217">
        <f t="shared" si="136"/>
        <v>7</v>
      </c>
      <c r="D1713" s="217" t="str">
        <f t="shared" si="133"/>
        <v>20</v>
      </c>
      <c r="E1713">
        <f t="shared" si="134"/>
        <v>2020</v>
      </c>
      <c r="F1713" s="217" t="str">
        <f t="shared" si="135"/>
        <v>3Q20</v>
      </c>
      <c r="G1713" s="218">
        <v>44034</v>
      </c>
      <c r="H1713" s="217">
        <v>5.1178999999999997</v>
      </c>
    </row>
    <row r="1714" spans="2:8">
      <c r="B1714" s="217" t="str">
        <f t="shared" si="132"/>
        <v>3Q</v>
      </c>
      <c r="C1714" s="217">
        <f t="shared" si="136"/>
        <v>7</v>
      </c>
      <c r="D1714" s="217" t="str">
        <f t="shared" si="133"/>
        <v>20</v>
      </c>
      <c r="E1714">
        <f t="shared" si="134"/>
        <v>2020</v>
      </c>
      <c r="F1714" s="217" t="str">
        <f t="shared" si="135"/>
        <v>3Q20</v>
      </c>
      <c r="G1714" s="218">
        <v>44035</v>
      </c>
      <c r="H1714" s="217">
        <v>5.2119</v>
      </c>
    </row>
    <row r="1715" spans="2:8">
      <c r="B1715" s="217" t="str">
        <f t="shared" si="132"/>
        <v>3Q</v>
      </c>
      <c r="C1715" s="217">
        <f t="shared" si="136"/>
        <v>7</v>
      </c>
      <c r="D1715" s="217" t="str">
        <f t="shared" si="133"/>
        <v>20</v>
      </c>
      <c r="E1715">
        <f t="shared" si="134"/>
        <v>2020</v>
      </c>
      <c r="F1715" s="217" t="str">
        <f t="shared" si="135"/>
        <v>3Q20</v>
      </c>
      <c r="G1715" s="218">
        <v>44036</v>
      </c>
      <c r="H1715" s="217">
        <v>5.2333999999999996</v>
      </c>
    </row>
    <row r="1716" spans="2:8">
      <c r="B1716" s="217" t="str">
        <f t="shared" si="132"/>
        <v>3Q</v>
      </c>
      <c r="C1716" s="217">
        <f t="shared" si="136"/>
        <v>7</v>
      </c>
      <c r="D1716" s="217" t="str">
        <f t="shared" si="133"/>
        <v>20</v>
      </c>
      <c r="E1716">
        <f t="shared" si="134"/>
        <v>2020</v>
      </c>
      <c r="F1716" s="217" t="str">
        <f t="shared" si="135"/>
        <v>3Q20</v>
      </c>
      <c r="G1716" s="218">
        <v>44039</v>
      </c>
      <c r="H1716" s="217">
        <v>5.1456999999999997</v>
      </c>
    </row>
    <row r="1717" spans="2:8">
      <c r="B1717" s="217" t="str">
        <f t="shared" si="132"/>
        <v>3Q</v>
      </c>
      <c r="C1717" s="217">
        <f t="shared" si="136"/>
        <v>7</v>
      </c>
      <c r="D1717" s="217" t="str">
        <f t="shared" si="133"/>
        <v>20</v>
      </c>
      <c r="E1717">
        <f t="shared" si="134"/>
        <v>2020</v>
      </c>
      <c r="F1717" s="217" t="str">
        <f t="shared" si="135"/>
        <v>3Q20</v>
      </c>
      <c r="G1717" s="218">
        <v>44040</v>
      </c>
      <c r="H1717" s="217">
        <v>5.1536</v>
      </c>
    </row>
    <row r="1718" spans="2:8">
      <c r="B1718" s="217" t="str">
        <f t="shared" si="132"/>
        <v>3Q</v>
      </c>
      <c r="C1718" s="217">
        <f t="shared" si="136"/>
        <v>7</v>
      </c>
      <c r="D1718" s="217" t="str">
        <f t="shared" si="133"/>
        <v>20</v>
      </c>
      <c r="E1718">
        <f t="shared" si="134"/>
        <v>2020</v>
      </c>
      <c r="F1718" s="217" t="str">
        <f t="shared" si="135"/>
        <v>3Q20</v>
      </c>
      <c r="G1718" s="218">
        <v>44041</v>
      </c>
      <c r="H1718" s="217">
        <v>5.1695000000000002</v>
      </c>
    </row>
    <row r="1719" spans="2:8">
      <c r="B1719" s="217" t="str">
        <f t="shared" si="132"/>
        <v>3Q</v>
      </c>
      <c r="C1719" s="217">
        <f t="shared" si="136"/>
        <v>7</v>
      </c>
      <c r="D1719" s="217" t="str">
        <f t="shared" si="133"/>
        <v>20</v>
      </c>
      <c r="E1719">
        <f t="shared" si="134"/>
        <v>2020</v>
      </c>
      <c r="F1719" s="217" t="str">
        <f t="shared" si="135"/>
        <v>3Q20</v>
      </c>
      <c r="G1719" s="218">
        <v>44042</v>
      </c>
      <c r="H1719" s="217">
        <v>5.1551999999999998</v>
      </c>
    </row>
    <row r="1720" spans="2:8">
      <c r="B1720" s="217" t="str">
        <f t="shared" si="132"/>
        <v>3Q</v>
      </c>
      <c r="C1720" s="217">
        <f t="shared" si="136"/>
        <v>7</v>
      </c>
      <c r="D1720" s="217" t="str">
        <f t="shared" si="133"/>
        <v>20</v>
      </c>
      <c r="E1720">
        <f t="shared" si="134"/>
        <v>2020</v>
      </c>
      <c r="F1720" s="217" t="str">
        <f t="shared" si="135"/>
        <v>3Q20</v>
      </c>
      <c r="G1720" s="218">
        <v>44043</v>
      </c>
      <c r="H1720" s="217">
        <v>5.2241999999999997</v>
      </c>
    </row>
    <row r="1721" spans="2:8">
      <c r="B1721" s="217" t="str">
        <f t="shared" si="132"/>
        <v>3Q</v>
      </c>
      <c r="C1721" s="217">
        <f t="shared" si="136"/>
        <v>8</v>
      </c>
      <c r="D1721" s="217" t="str">
        <f t="shared" si="133"/>
        <v>20</v>
      </c>
      <c r="E1721">
        <f t="shared" si="134"/>
        <v>2020</v>
      </c>
      <c r="F1721" s="217" t="str">
        <f t="shared" si="135"/>
        <v>3Q20</v>
      </c>
      <c r="G1721" s="218">
        <v>44046</v>
      </c>
      <c r="H1721" s="217">
        <v>5.3216000000000001</v>
      </c>
    </row>
    <row r="1722" spans="2:8">
      <c r="B1722" s="217" t="str">
        <f t="shared" si="132"/>
        <v>3Q</v>
      </c>
      <c r="C1722" s="217">
        <f t="shared" si="136"/>
        <v>8</v>
      </c>
      <c r="D1722" s="217" t="str">
        <f t="shared" si="133"/>
        <v>20</v>
      </c>
      <c r="E1722">
        <f t="shared" si="134"/>
        <v>2020</v>
      </c>
      <c r="F1722" s="217" t="str">
        <f t="shared" si="135"/>
        <v>3Q20</v>
      </c>
      <c r="G1722" s="218">
        <v>44047</v>
      </c>
      <c r="H1722" s="217">
        <v>5.2911999999999999</v>
      </c>
    </row>
    <row r="1723" spans="2:8">
      <c r="B1723" s="217" t="str">
        <f t="shared" si="132"/>
        <v>3Q</v>
      </c>
      <c r="C1723" s="217">
        <f t="shared" si="136"/>
        <v>8</v>
      </c>
      <c r="D1723" s="217" t="str">
        <f t="shared" si="133"/>
        <v>20</v>
      </c>
      <c r="E1723">
        <f t="shared" si="134"/>
        <v>2020</v>
      </c>
      <c r="F1723" s="217" t="str">
        <f t="shared" si="135"/>
        <v>3Q20</v>
      </c>
      <c r="G1723" s="218">
        <v>44048</v>
      </c>
      <c r="H1723" s="217">
        <v>5.2915999999999999</v>
      </c>
    </row>
    <row r="1724" spans="2:8">
      <c r="B1724" s="217" t="str">
        <f t="shared" si="132"/>
        <v>3Q</v>
      </c>
      <c r="C1724" s="217">
        <f t="shared" si="136"/>
        <v>8</v>
      </c>
      <c r="D1724" s="217" t="str">
        <f t="shared" si="133"/>
        <v>20</v>
      </c>
      <c r="E1724">
        <f t="shared" si="134"/>
        <v>2020</v>
      </c>
      <c r="F1724" s="217" t="str">
        <f t="shared" si="135"/>
        <v>3Q20</v>
      </c>
      <c r="G1724" s="218">
        <v>44049</v>
      </c>
      <c r="H1724" s="217">
        <v>5.3327</v>
      </c>
    </row>
    <row r="1725" spans="2:8">
      <c r="B1725" s="217" t="str">
        <f t="shared" si="132"/>
        <v>3Q</v>
      </c>
      <c r="C1725" s="217">
        <f t="shared" si="136"/>
        <v>8</v>
      </c>
      <c r="D1725" s="217" t="str">
        <f t="shared" si="133"/>
        <v>20</v>
      </c>
      <c r="E1725">
        <f t="shared" si="134"/>
        <v>2020</v>
      </c>
      <c r="F1725" s="217" t="str">
        <f t="shared" si="135"/>
        <v>3Q20</v>
      </c>
      <c r="G1725" s="218">
        <v>44050</v>
      </c>
      <c r="H1725" s="217">
        <v>5.4386000000000001</v>
      </c>
    </row>
    <row r="1726" spans="2:8">
      <c r="B1726" s="217" t="str">
        <f t="shared" si="132"/>
        <v>3Q</v>
      </c>
      <c r="C1726" s="217">
        <f t="shared" si="136"/>
        <v>8</v>
      </c>
      <c r="D1726" s="217" t="str">
        <f t="shared" si="133"/>
        <v>20</v>
      </c>
      <c r="E1726">
        <f t="shared" si="134"/>
        <v>2020</v>
      </c>
      <c r="F1726" s="217" t="str">
        <f t="shared" si="135"/>
        <v>3Q20</v>
      </c>
      <c r="G1726" s="218">
        <v>44053</v>
      </c>
      <c r="H1726" s="217">
        <v>5.4817999999999998</v>
      </c>
    </row>
    <row r="1727" spans="2:8">
      <c r="B1727" s="217" t="str">
        <f t="shared" si="132"/>
        <v>3Q</v>
      </c>
      <c r="C1727" s="217">
        <f t="shared" si="136"/>
        <v>8</v>
      </c>
      <c r="D1727" s="217" t="str">
        <f t="shared" si="133"/>
        <v>20</v>
      </c>
      <c r="E1727">
        <f t="shared" si="134"/>
        <v>2020</v>
      </c>
      <c r="F1727" s="217" t="str">
        <f t="shared" si="135"/>
        <v>3Q20</v>
      </c>
      <c r="G1727" s="218">
        <v>44054</v>
      </c>
      <c r="H1727" s="217">
        <v>5.3803000000000001</v>
      </c>
    </row>
    <row r="1728" spans="2:8">
      <c r="B1728" s="217" t="str">
        <f t="shared" si="132"/>
        <v>3Q</v>
      </c>
      <c r="C1728" s="217">
        <f t="shared" si="136"/>
        <v>8</v>
      </c>
      <c r="D1728" s="217" t="str">
        <f t="shared" si="133"/>
        <v>20</v>
      </c>
      <c r="E1728">
        <f t="shared" si="134"/>
        <v>2020</v>
      </c>
      <c r="F1728" s="217" t="str">
        <f t="shared" si="135"/>
        <v>3Q20</v>
      </c>
      <c r="G1728" s="218">
        <v>44055</v>
      </c>
      <c r="H1728" s="217">
        <v>5.4336000000000002</v>
      </c>
    </row>
    <row r="1729" spans="2:8">
      <c r="B1729" s="217" t="str">
        <f t="shared" si="132"/>
        <v>3Q</v>
      </c>
      <c r="C1729" s="217">
        <f t="shared" si="136"/>
        <v>8</v>
      </c>
      <c r="D1729" s="217" t="str">
        <f t="shared" si="133"/>
        <v>20</v>
      </c>
      <c r="E1729">
        <f t="shared" si="134"/>
        <v>2020</v>
      </c>
      <c r="F1729" s="217" t="str">
        <f t="shared" si="135"/>
        <v>3Q20</v>
      </c>
      <c r="G1729" s="218">
        <v>44056</v>
      </c>
      <c r="H1729" s="217">
        <v>5.3693</v>
      </c>
    </row>
    <row r="1730" spans="2:8">
      <c r="B1730" s="217" t="str">
        <f t="shared" si="132"/>
        <v>3Q</v>
      </c>
      <c r="C1730" s="217">
        <f t="shared" si="136"/>
        <v>8</v>
      </c>
      <c r="D1730" s="217" t="str">
        <f t="shared" si="133"/>
        <v>20</v>
      </c>
      <c r="E1730">
        <f t="shared" si="134"/>
        <v>2020</v>
      </c>
      <c r="F1730" s="217" t="str">
        <f t="shared" si="135"/>
        <v>3Q20</v>
      </c>
      <c r="G1730" s="218">
        <v>44057</v>
      </c>
      <c r="H1730" s="217">
        <v>5.4215999999999998</v>
      </c>
    </row>
    <row r="1731" spans="2:8">
      <c r="B1731" s="217" t="str">
        <f t="shared" ref="B1731:B1794" si="137">VLOOKUP(C1731,$N$3:$O$14,2,0)</f>
        <v>3Q</v>
      </c>
      <c r="C1731" s="217">
        <f t="shared" si="136"/>
        <v>8</v>
      </c>
      <c r="D1731" s="217" t="str">
        <f t="shared" ref="D1731:D1794" si="138">RIGHT(E1731,2)</f>
        <v>20</v>
      </c>
      <c r="E1731">
        <f t="shared" ref="E1731:E1794" si="139">YEAR(G1731)</f>
        <v>2020</v>
      </c>
      <c r="F1731" s="217" t="str">
        <f t="shared" ref="F1731:F1794" si="140">+B1731&amp;D1731</f>
        <v>3Q20</v>
      </c>
      <c r="G1731" s="218">
        <v>44060</v>
      </c>
      <c r="H1731" s="217">
        <v>5.5096999999999996</v>
      </c>
    </row>
    <row r="1732" spans="2:8">
      <c r="B1732" s="217" t="str">
        <f t="shared" si="137"/>
        <v>3Q</v>
      </c>
      <c r="C1732" s="217">
        <f t="shared" ref="C1732:C1795" si="141">MONTH(G1732)</f>
        <v>8</v>
      </c>
      <c r="D1732" s="217" t="str">
        <f t="shared" si="138"/>
        <v>20</v>
      </c>
      <c r="E1732">
        <f t="shared" si="139"/>
        <v>2020</v>
      </c>
      <c r="F1732" s="217" t="str">
        <f t="shared" si="140"/>
        <v>3Q20</v>
      </c>
      <c r="G1732" s="218">
        <v>44061</v>
      </c>
      <c r="H1732" s="217">
        <v>5.4676</v>
      </c>
    </row>
    <row r="1733" spans="2:8">
      <c r="B1733" s="217" t="str">
        <f t="shared" si="137"/>
        <v>3Q</v>
      </c>
      <c r="C1733" s="217">
        <f t="shared" si="141"/>
        <v>8</v>
      </c>
      <c r="D1733" s="217" t="str">
        <f t="shared" si="138"/>
        <v>20</v>
      </c>
      <c r="E1733">
        <f t="shared" si="139"/>
        <v>2020</v>
      </c>
      <c r="F1733" s="217" t="str">
        <f t="shared" si="140"/>
        <v>3Q20</v>
      </c>
      <c r="G1733" s="218">
        <v>44062</v>
      </c>
      <c r="H1733" s="217">
        <v>5.5579000000000001</v>
      </c>
    </row>
    <row r="1734" spans="2:8">
      <c r="B1734" s="217" t="str">
        <f t="shared" si="137"/>
        <v>3Q</v>
      </c>
      <c r="C1734" s="217">
        <f t="shared" si="141"/>
        <v>8</v>
      </c>
      <c r="D1734" s="217" t="str">
        <f t="shared" si="138"/>
        <v>20</v>
      </c>
      <c r="E1734">
        <f t="shared" si="139"/>
        <v>2020</v>
      </c>
      <c r="F1734" s="217" t="str">
        <f t="shared" si="140"/>
        <v>3Q20</v>
      </c>
      <c r="G1734" s="218">
        <v>44063</v>
      </c>
      <c r="H1734" s="217">
        <v>5.5571000000000002</v>
      </c>
    </row>
    <row r="1735" spans="2:8">
      <c r="B1735" s="217" t="str">
        <f t="shared" si="137"/>
        <v>3Q</v>
      </c>
      <c r="C1735" s="217">
        <f t="shared" si="141"/>
        <v>8</v>
      </c>
      <c r="D1735" s="217" t="str">
        <f t="shared" si="138"/>
        <v>20</v>
      </c>
      <c r="E1735">
        <f t="shared" si="139"/>
        <v>2020</v>
      </c>
      <c r="F1735" s="217" t="str">
        <f t="shared" si="140"/>
        <v>3Q20</v>
      </c>
      <c r="G1735" s="218">
        <v>44064</v>
      </c>
      <c r="H1735" s="217">
        <v>5.6207000000000003</v>
      </c>
    </row>
    <row r="1736" spans="2:8">
      <c r="B1736" s="217" t="str">
        <f t="shared" si="137"/>
        <v>3Q</v>
      </c>
      <c r="C1736" s="217">
        <f t="shared" si="141"/>
        <v>8</v>
      </c>
      <c r="D1736" s="217" t="str">
        <f t="shared" si="138"/>
        <v>20</v>
      </c>
      <c r="E1736">
        <f t="shared" si="139"/>
        <v>2020</v>
      </c>
      <c r="F1736" s="217" t="str">
        <f t="shared" si="140"/>
        <v>3Q20</v>
      </c>
      <c r="G1736" s="218">
        <v>44067</v>
      </c>
      <c r="H1736" s="217">
        <v>5.6115000000000004</v>
      </c>
    </row>
    <row r="1737" spans="2:8">
      <c r="B1737" s="217" t="str">
        <f t="shared" si="137"/>
        <v>3Q</v>
      </c>
      <c r="C1737" s="217">
        <f t="shared" si="141"/>
        <v>8</v>
      </c>
      <c r="D1737" s="217" t="str">
        <f t="shared" si="138"/>
        <v>20</v>
      </c>
      <c r="E1737">
        <f t="shared" si="139"/>
        <v>2020</v>
      </c>
      <c r="F1737" s="217" t="str">
        <f t="shared" si="140"/>
        <v>3Q20</v>
      </c>
      <c r="G1737" s="218">
        <v>44068</v>
      </c>
      <c r="H1737" s="217">
        <v>5.5090000000000003</v>
      </c>
    </row>
    <row r="1738" spans="2:8">
      <c r="B1738" s="217" t="str">
        <f t="shared" si="137"/>
        <v>3Q</v>
      </c>
      <c r="C1738" s="217">
        <f t="shared" si="141"/>
        <v>8</v>
      </c>
      <c r="D1738" s="217" t="str">
        <f t="shared" si="138"/>
        <v>20</v>
      </c>
      <c r="E1738">
        <f t="shared" si="139"/>
        <v>2020</v>
      </c>
      <c r="F1738" s="217" t="str">
        <f t="shared" si="140"/>
        <v>3Q20</v>
      </c>
      <c r="G1738" s="218">
        <v>44069</v>
      </c>
      <c r="H1738" s="217">
        <v>5.6067999999999998</v>
      </c>
    </row>
    <row r="1739" spans="2:8">
      <c r="B1739" s="217" t="str">
        <f t="shared" si="137"/>
        <v>3Q</v>
      </c>
      <c r="C1739" s="217">
        <f t="shared" si="141"/>
        <v>8</v>
      </c>
      <c r="D1739" s="217" t="str">
        <f t="shared" si="138"/>
        <v>20</v>
      </c>
      <c r="E1739">
        <f t="shared" si="139"/>
        <v>2020</v>
      </c>
      <c r="F1739" s="217" t="str">
        <f t="shared" si="140"/>
        <v>3Q20</v>
      </c>
      <c r="G1739" s="218">
        <v>44070</v>
      </c>
      <c r="H1739" s="217">
        <v>5.5701000000000001</v>
      </c>
    </row>
    <row r="1740" spans="2:8">
      <c r="B1740" s="217" t="str">
        <f t="shared" si="137"/>
        <v>3Q</v>
      </c>
      <c r="C1740" s="217">
        <f t="shared" si="141"/>
        <v>8</v>
      </c>
      <c r="D1740" s="217" t="str">
        <f t="shared" si="138"/>
        <v>20</v>
      </c>
      <c r="E1740">
        <f t="shared" si="139"/>
        <v>2020</v>
      </c>
      <c r="F1740" s="217" t="str">
        <f t="shared" si="140"/>
        <v>3Q20</v>
      </c>
      <c r="G1740" s="218">
        <v>44071</v>
      </c>
      <c r="H1740" s="217">
        <v>5.3887999999999998</v>
      </c>
    </row>
    <row r="1741" spans="2:8">
      <c r="B1741" s="217" t="str">
        <f t="shared" si="137"/>
        <v>3Q</v>
      </c>
      <c r="C1741" s="217">
        <f t="shared" si="141"/>
        <v>8</v>
      </c>
      <c r="D1741" s="217" t="str">
        <f t="shared" si="138"/>
        <v>20</v>
      </c>
      <c r="E1741">
        <f t="shared" si="139"/>
        <v>2020</v>
      </c>
      <c r="F1741" s="217" t="str">
        <f t="shared" si="140"/>
        <v>3Q20</v>
      </c>
      <c r="G1741" s="218">
        <v>44074</v>
      </c>
      <c r="H1741" s="217">
        <v>5.4927999999999999</v>
      </c>
    </row>
    <row r="1742" spans="2:8">
      <c r="B1742" s="217" t="str">
        <f t="shared" si="137"/>
        <v>3Q</v>
      </c>
      <c r="C1742" s="217">
        <f t="shared" si="141"/>
        <v>9</v>
      </c>
      <c r="D1742" s="217" t="str">
        <f t="shared" si="138"/>
        <v>20</v>
      </c>
      <c r="E1742">
        <f t="shared" si="139"/>
        <v>2020</v>
      </c>
      <c r="F1742" s="217" t="str">
        <f t="shared" si="140"/>
        <v>3Q20</v>
      </c>
      <c r="G1742" s="218">
        <v>44075</v>
      </c>
      <c r="H1742" s="217">
        <v>5.3964999999999996</v>
      </c>
    </row>
    <row r="1743" spans="2:8">
      <c r="B1743" s="217" t="str">
        <f t="shared" si="137"/>
        <v>3Q</v>
      </c>
      <c r="C1743" s="217">
        <f t="shared" si="141"/>
        <v>9</v>
      </c>
      <c r="D1743" s="217" t="str">
        <f t="shared" si="138"/>
        <v>20</v>
      </c>
      <c r="E1743">
        <f t="shared" si="139"/>
        <v>2020</v>
      </c>
      <c r="F1743" s="217" t="str">
        <f t="shared" si="140"/>
        <v>3Q20</v>
      </c>
      <c r="G1743" s="218">
        <v>44076</v>
      </c>
      <c r="H1743" s="217">
        <v>5.3421000000000003</v>
      </c>
    </row>
    <row r="1744" spans="2:8">
      <c r="B1744" s="217" t="str">
        <f t="shared" si="137"/>
        <v>3Q</v>
      </c>
      <c r="C1744" s="217">
        <f t="shared" si="141"/>
        <v>9</v>
      </c>
      <c r="D1744" s="217" t="str">
        <f t="shared" si="138"/>
        <v>20</v>
      </c>
      <c r="E1744">
        <f t="shared" si="139"/>
        <v>2020</v>
      </c>
      <c r="F1744" s="217" t="str">
        <f t="shared" si="140"/>
        <v>3Q20</v>
      </c>
      <c r="G1744" s="218">
        <v>44077</v>
      </c>
      <c r="H1744" s="217">
        <v>5.2923</v>
      </c>
    </row>
    <row r="1745" spans="2:8">
      <c r="B1745" s="217" t="str">
        <f t="shared" si="137"/>
        <v>3Q</v>
      </c>
      <c r="C1745" s="217">
        <f t="shared" si="141"/>
        <v>9</v>
      </c>
      <c r="D1745" s="217" t="str">
        <f t="shared" si="138"/>
        <v>20</v>
      </c>
      <c r="E1745">
        <f t="shared" si="139"/>
        <v>2020</v>
      </c>
      <c r="F1745" s="217" t="str">
        <f t="shared" si="140"/>
        <v>3Q20</v>
      </c>
      <c r="G1745" s="218">
        <v>44078</v>
      </c>
      <c r="H1745" s="217">
        <v>5.3017000000000003</v>
      </c>
    </row>
    <row r="1746" spans="2:8">
      <c r="B1746" s="217" t="str">
        <f t="shared" si="137"/>
        <v>3Q</v>
      </c>
      <c r="C1746" s="217">
        <f t="shared" si="141"/>
        <v>9</v>
      </c>
      <c r="D1746" s="217" t="str">
        <f t="shared" si="138"/>
        <v>20</v>
      </c>
      <c r="E1746">
        <f t="shared" si="139"/>
        <v>2020</v>
      </c>
      <c r="F1746" s="217" t="str">
        <f t="shared" si="140"/>
        <v>3Q20</v>
      </c>
      <c r="G1746" s="218">
        <v>44081</v>
      </c>
      <c r="H1746" s="217">
        <v>5.2996999999999996</v>
      </c>
    </row>
    <row r="1747" spans="2:8">
      <c r="B1747" s="217" t="str">
        <f t="shared" si="137"/>
        <v>3Q</v>
      </c>
      <c r="C1747" s="217">
        <f t="shared" si="141"/>
        <v>9</v>
      </c>
      <c r="D1747" s="217" t="str">
        <f t="shared" si="138"/>
        <v>20</v>
      </c>
      <c r="E1747">
        <f t="shared" si="139"/>
        <v>2020</v>
      </c>
      <c r="F1747" s="217" t="str">
        <f t="shared" si="140"/>
        <v>3Q20</v>
      </c>
      <c r="G1747" s="218">
        <v>44082</v>
      </c>
      <c r="H1747" s="217">
        <v>5.3651999999999997</v>
      </c>
    </row>
    <row r="1748" spans="2:8">
      <c r="B1748" s="217" t="str">
        <f t="shared" si="137"/>
        <v>3Q</v>
      </c>
      <c r="C1748" s="217">
        <f t="shared" si="141"/>
        <v>9</v>
      </c>
      <c r="D1748" s="217" t="str">
        <f t="shared" si="138"/>
        <v>20</v>
      </c>
      <c r="E1748">
        <f t="shared" si="139"/>
        <v>2020</v>
      </c>
      <c r="F1748" s="217" t="str">
        <f t="shared" si="140"/>
        <v>3Q20</v>
      </c>
      <c r="G1748" s="218">
        <v>44083</v>
      </c>
      <c r="H1748" s="217">
        <v>5.3083</v>
      </c>
    </row>
    <row r="1749" spans="2:8">
      <c r="B1749" s="217" t="str">
        <f t="shared" si="137"/>
        <v>3Q</v>
      </c>
      <c r="C1749" s="217">
        <f t="shared" si="141"/>
        <v>9</v>
      </c>
      <c r="D1749" s="217" t="str">
        <f t="shared" si="138"/>
        <v>20</v>
      </c>
      <c r="E1749">
        <f t="shared" si="139"/>
        <v>2020</v>
      </c>
      <c r="F1749" s="217" t="str">
        <f t="shared" si="140"/>
        <v>3Q20</v>
      </c>
      <c r="G1749" s="218">
        <v>44084</v>
      </c>
      <c r="H1749" s="217">
        <v>5.3220000000000001</v>
      </c>
    </row>
    <row r="1750" spans="2:8">
      <c r="B1750" s="217" t="str">
        <f t="shared" si="137"/>
        <v>3Q</v>
      </c>
      <c r="C1750" s="217">
        <f t="shared" si="141"/>
        <v>9</v>
      </c>
      <c r="D1750" s="217" t="str">
        <f t="shared" si="138"/>
        <v>20</v>
      </c>
      <c r="E1750">
        <f t="shared" si="139"/>
        <v>2020</v>
      </c>
      <c r="F1750" s="217" t="str">
        <f t="shared" si="140"/>
        <v>3Q20</v>
      </c>
      <c r="G1750" s="218">
        <v>44085</v>
      </c>
      <c r="H1750" s="217">
        <v>5.3198999999999996</v>
      </c>
    </row>
    <row r="1751" spans="2:8">
      <c r="B1751" s="217" t="str">
        <f t="shared" si="137"/>
        <v>3Q</v>
      </c>
      <c r="C1751" s="217">
        <f t="shared" si="141"/>
        <v>9</v>
      </c>
      <c r="D1751" s="217" t="str">
        <f t="shared" si="138"/>
        <v>20</v>
      </c>
      <c r="E1751">
        <f t="shared" si="139"/>
        <v>2020</v>
      </c>
      <c r="F1751" s="217" t="str">
        <f t="shared" si="140"/>
        <v>3Q20</v>
      </c>
      <c r="G1751" s="218">
        <v>44088</v>
      </c>
      <c r="H1751" s="217">
        <v>5.2708000000000004</v>
      </c>
    </row>
    <row r="1752" spans="2:8">
      <c r="B1752" s="217" t="str">
        <f t="shared" si="137"/>
        <v>3Q</v>
      </c>
      <c r="C1752" s="217">
        <f t="shared" si="141"/>
        <v>9</v>
      </c>
      <c r="D1752" s="217" t="str">
        <f t="shared" si="138"/>
        <v>20</v>
      </c>
      <c r="E1752">
        <f t="shared" si="139"/>
        <v>2020</v>
      </c>
      <c r="F1752" s="217" t="str">
        <f t="shared" si="140"/>
        <v>3Q20</v>
      </c>
      <c r="G1752" s="218">
        <v>44089</v>
      </c>
      <c r="H1752" s="217">
        <v>5.2765000000000004</v>
      </c>
    </row>
    <row r="1753" spans="2:8">
      <c r="B1753" s="217" t="str">
        <f t="shared" si="137"/>
        <v>3Q</v>
      </c>
      <c r="C1753" s="217">
        <f t="shared" si="141"/>
        <v>9</v>
      </c>
      <c r="D1753" s="217" t="str">
        <f t="shared" si="138"/>
        <v>20</v>
      </c>
      <c r="E1753">
        <f t="shared" si="139"/>
        <v>2020</v>
      </c>
      <c r="F1753" s="217" t="str">
        <f t="shared" si="140"/>
        <v>3Q20</v>
      </c>
      <c r="G1753" s="218">
        <v>44090</v>
      </c>
      <c r="H1753" s="217">
        <v>5.2385999999999999</v>
      </c>
    </row>
    <row r="1754" spans="2:8">
      <c r="B1754" s="217" t="str">
        <f t="shared" si="137"/>
        <v>3Q</v>
      </c>
      <c r="C1754" s="217">
        <f t="shared" si="141"/>
        <v>9</v>
      </c>
      <c r="D1754" s="217" t="str">
        <f t="shared" si="138"/>
        <v>20</v>
      </c>
      <c r="E1754">
        <f t="shared" si="139"/>
        <v>2020</v>
      </c>
      <c r="F1754" s="217" t="str">
        <f t="shared" si="140"/>
        <v>3Q20</v>
      </c>
      <c r="G1754" s="218">
        <v>44091</v>
      </c>
      <c r="H1754" s="217">
        <v>5.2397999999999998</v>
      </c>
    </row>
    <row r="1755" spans="2:8">
      <c r="B1755" s="217" t="str">
        <f t="shared" si="137"/>
        <v>3Q</v>
      </c>
      <c r="C1755" s="217">
        <f t="shared" si="141"/>
        <v>9</v>
      </c>
      <c r="D1755" s="217" t="str">
        <f t="shared" si="138"/>
        <v>20</v>
      </c>
      <c r="E1755">
        <f t="shared" si="139"/>
        <v>2020</v>
      </c>
      <c r="F1755" s="217" t="str">
        <f t="shared" si="140"/>
        <v>3Q20</v>
      </c>
      <c r="G1755" s="218">
        <v>44092</v>
      </c>
      <c r="H1755" s="217">
        <v>5.3879000000000001</v>
      </c>
    </row>
    <row r="1756" spans="2:8">
      <c r="B1756" s="217" t="str">
        <f t="shared" si="137"/>
        <v>3Q</v>
      </c>
      <c r="C1756" s="217">
        <f t="shared" si="141"/>
        <v>9</v>
      </c>
      <c r="D1756" s="217" t="str">
        <f t="shared" si="138"/>
        <v>20</v>
      </c>
      <c r="E1756">
        <f t="shared" si="139"/>
        <v>2020</v>
      </c>
      <c r="F1756" s="217" t="str">
        <f t="shared" si="140"/>
        <v>3Q20</v>
      </c>
      <c r="G1756" s="218">
        <v>44095</v>
      </c>
      <c r="H1756" s="217">
        <v>5.4143999999999997</v>
      </c>
    </row>
    <row r="1757" spans="2:8">
      <c r="B1757" s="217" t="str">
        <f t="shared" si="137"/>
        <v>3Q</v>
      </c>
      <c r="C1757" s="217">
        <f t="shared" si="141"/>
        <v>9</v>
      </c>
      <c r="D1757" s="217" t="str">
        <f t="shared" si="138"/>
        <v>20</v>
      </c>
      <c r="E1757">
        <f t="shared" si="139"/>
        <v>2020</v>
      </c>
      <c r="F1757" s="217" t="str">
        <f t="shared" si="140"/>
        <v>3Q20</v>
      </c>
      <c r="G1757" s="218">
        <v>44096</v>
      </c>
      <c r="H1757" s="217">
        <v>5.4706999999999999</v>
      </c>
    </row>
    <row r="1758" spans="2:8">
      <c r="B1758" s="217" t="str">
        <f t="shared" si="137"/>
        <v>3Q</v>
      </c>
      <c r="C1758" s="217">
        <f t="shared" si="141"/>
        <v>9</v>
      </c>
      <c r="D1758" s="217" t="str">
        <f t="shared" si="138"/>
        <v>20</v>
      </c>
      <c r="E1758">
        <f t="shared" si="139"/>
        <v>2020</v>
      </c>
      <c r="F1758" s="217" t="str">
        <f t="shared" si="140"/>
        <v>3Q20</v>
      </c>
      <c r="G1758" s="218">
        <v>44097</v>
      </c>
      <c r="H1758" s="217">
        <v>5.5960000000000001</v>
      </c>
    </row>
    <row r="1759" spans="2:8">
      <c r="B1759" s="217" t="str">
        <f t="shared" si="137"/>
        <v>3Q</v>
      </c>
      <c r="C1759" s="217">
        <f t="shared" si="141"/>
        <v>9</v>
      </c>
      <c r="D1759" s="217" t="str">
        <f t="shared" si="138"/>
        <v>20</v>
      </c>
      <c r="E1759">
        <f t="shared" si="139"/>
        <v>2020</v>
      </c>
      <c r="F1759" s="217" t="str">
        <f t="shared" si="140"/>
        <v>3Q20</v>
      </c>
      <c r="G1759" s="218">
        <v>44098</v>
      </c>
      <c r="H1759" s="217">
        <v>5.5099</v>
      </c>
    </row>
    <row r="1760" spans="2:8">
      <c r="B1760" s="217" t="str">
        <f t="shared" si="137"/>
        <v>3Q</v>
      </c>
      <c r="C1760" s="217">
        <f t="shared" si="141"/>
        <v>9</v>
      </c>
      <c r="D1760" s="217" t="str">
        <f t="shared" si="138"/>
        <v>20</v>
      </c>
      <c r="E1760">
        <f t="shared" si="139"/>
        <v>2020</v>
      </c>
      <c r="F1760" s="217" t="str">
        <f t="shared" si="140"/>
        <v>3Q20</v>
      </c>
      <c r="G1760" s="218">
        <v>44099</v>
      </c>
      <c r="H1760" s="217">
        <v>5.5633999999999997</v>
      </c>
    </row>
    <row r="1761" spans="2:8">
      <c r="B1761" s="217" t="str">
        <f t="shared" si="137"/>
        <v>3Q</v>
      </c>
      <c r="C1761" s="217">
        <f t="shared" si="141"/>
        <v>9</v>
      </c>
      <c r="D1761" s="217" t="str">
        <f t="shared" si="138"/>
        <v>20</v>
      </c>
      <c r="E1761">
        <f t="shared" si="139"/>
        <v>2020</v>
      </c>
      <c r="F1761" s="217" t="str">
        <f t="shared" si="140"/>
        <v>3Q20</v>
      </c>
      <c r="G1761" s="218">
        <v>44102</v>
      </c>
      <c r="H1761" s="217">
        <v>5.6630000000000003</v>
      </c>
    </row>
    <row r="1762" spans="2:8">
      <c r="B1762" s="217" t="str">
        <f t="shared" si="137"/>
        <v>3Q</v>
      </c>
      <c r="C1762" s="217">
        <f t="shared" si="141"/>
        <v>9</v>
      </c>
      <c r="D1762" s="217" t="str">
        <f t="shared" si="138"/>
        <v>20</v>
      </c>
      <c r="E1762">
        <f t="shared" si="139"/>
        <v>2020</v>
      </c>
      <c r="F1762" s="217" t="str">
        <f t="shared" si="140"/>
        <v>3Q20</v>
      </c>
      <c r="G1762" s="218">
        <v>44103</v>
      </c>
      <c r="H1762" s="217">
        <v>5.6356000000000002</v>
      </c>
    </row>
    <row r="1763" spans="2:8">
      <c r="B1763" s="217" t="str">
        <f t="shared" si="137"/>
        <v>3Q</v>
      </c>
      <c r="C1763" s="217">
        <f t="shared" si="141"/>
        <v>9</v>
      </c>
      <c r="D1763" s="217" t="str">
        <f t="shared" si="138"/>
        <v>20</v>
      </c>
      <c r="E1763">
        <f t="shared" si="139"/>
        <v>2020</v>
      </c>
      <c r="F1763" s="217" t="str">
        <f t="shared" si="140"/>
        <v>3Q20</v>
      </c>
      <c r="G1763" s="218">
        <v>44104</v>
      </c>
      <c r="H1763" s="217">
        <v>5.6120000000000001</v>
      </c>
    </row>
    <row r="1764" spans="2:8">
      <c r="B1764" s="217" t="str">
        <f t="shared" si="137"/>
        <v>4Q</v>
      </c>
      <c r="C1764" s="217">
        <f t="shared" si="141"/>
        <v>10</v>
      </c>
      <c r="D1764" s="217" t="str">
        <f t="shared" si="138"/>
        <v>20</v>
      </c>
      <c r="E1764">
        <f t="shared" si="139"/>
        <v>2020</v>
      </c>
      <c r="F1764" s="217" t="str">
        <f t="shared" si="140"/>
        <v>4Q20</v>
      </c>
      <c r="G1764" s="218">
        <v>44105</v>
      </c>
      <c r="H1764" s="217">
        <v>5.6448999999999998</v>
      </c>
    </row>
    <row r="1765" spans="2:8">
      <c r="B1765" s="217" t="str">
        <f t="shared" si="137"/>
        <v>4Q</v>
      </c>
      <c r="C1765" s="217">
        <f t="shared" si="141"/>
        <v>10</v>
      </c>
      <c r="D1765" s="217" t="str">
        <f t="shared" si="138"/>
        <v>20</v>
      </c>
      <c r="E1765">
        <f t="shared" si="139"/>
        <v>2020</v>
      </c>
      <c r="F1765" s="217" t="str">
        <f t="shared" si="140"/>
        <v>4Q20</v>
      </c>
      <c r="G1765" s="218">
        <v>44106</v>
      </c>
      <c r="H1765" s="217">
        <v>5.6863000000000001</v>
      </c>
    </row>
    <row r="1766" spans="2:8">
      <c r="B1766" s="217" t="str">
        <f t="shared" si="137"/>
        <v>4Q</v>
      </c>
      <c r="C1766" s="217">
        <f t="shared" si="141"/>
        <v>10</v>
      </c>
      <c r="D1766" s="217" t="str">
        <f t="shared" si="138"/>
        <v>20</v>
      </c>
      <c r="E1766">
        <f t="shared" si="139"/>
        <v>2020</v>
      </c>
      <c r="F1766" s="217" t="str">
        <f t="shared" si="140"/>
        <v>4Q20</v>
      </c>
      <c r="G1766" s="218">
        <v>44109</v>
      </c>
      <c r="H1766" s="217">
        <v>5.5758000000000001</v>
      </c>
    </row>
    <row r="1767" spans="2:8">
      <c r="B1767" s="217" t="str">
        <f t="shared" si="137"/>
        <v>4Q</v>
      </c>
      <c r="C1767" s="217">
        <f t="shared" si="141"/>
        <v>10</v>
      </c>
      <c r="D1767" s="217" t="str">
        <f t="shared" si="138"/>
        <v>20</v>
      </c>
      <c r="E1767">
        <f t="shared" si="139"/>
        <v>2020</v>
      </c>
      <c r="F1767" s="217" t="str">
        <f t="shared" si="140"/>
        <v>4Q20</v>
      </c>
      <c r="G1767" s="218">
        <v>44110</v>
      </c>
      <c r="H1767" s="217">
        <v>5.5945</v>
      </c>
    </row>
    <row r="1768" spans="2:8">
      <c r="B1768" s="217" t="str">
        <f t="shared" si="137"/>
        <v>4Q</v>
      </c>
      <c r="C1768" s="217">
        <f t="shared" si="141"/>
        <v>10</v>
      </c>
      <c r="D1768" s="217" t="str">
        <f t="shared" si="138"/>
        <v>20</v>
      </c>
      <c r="E1768">
        <f t="shared" si="139"/>
        <v>2020</v>
      </c>
      <c r="F1768" s="217" t="str">
        <f t="shared" si="140"/>
        <v>4Q20</v>
      </c>
      <c r="G1768" s="218">
        <v>44111</v>
      </c>
      <c r="H1768" s="217">
        <v>5.6112000000000002</v>
      </c>
    </row>
    <row r="1769" spans="2:8">
      <c r="B1769" s="217" t="str">
        <f t="shared" si="137"/>
        <v>4Q</v>
      </c>
      <c r="C1769" s="217">
        <f t="shared" si="141"/>
        <v>10</v>
      </c>
      <c r="D1769" s="217" t="str">
        <f t="shared" si="138"/>
        <v>20</v>
      </c>
      <c r="E1769">
        <f t="shared" si="139"/>
        <v>2020</v>
      </c>
      <c r="F1769" s="217" t="str">
        <f t="shared" si="140"/>
        <v>4Q20</v>
      </c>
      <c r="G1769" s="218">
        <v>44112</v>
      </c>
      <c r="H1769" s="217">
        <v>5.6001000000000003</v>
      </c>
    </row>
    <row r="1770" spans="2:8">
      <c r="B1770" s="217" t="str">
        <f t="shared" si="137"/>
        <v>4Q</v>
      </c>
      <c r="C1770" s="217">
        <f t="shared" si="141"/>
        <v>10</v>
      </c>
      <c r="D1770" s="217" t="str">
        <f t="shared" si="138"/>
        <v>20</v>
      </c>
      <c r="E1770">
        <f t="shared" si="139"/>
        <v>2020</v>
      </c>
      <c r="F1770" s="217" t="str">
        <f t="shared" si="140"/>
        <v>4Q20</v>
      </c>
      <c r="G1770" s="218">
        <v>44113</v>
      </c>
      <c r="H1770" s="217">
        <v>5.5328999999999997</v>
      </c>
    </row>
    <row r="1771" spans="2:8">
      <c r="B1771" s="217" t="str">
        <f t="shared" si="137"/>
        <v>4Q</v>
      </c>
      <c r="C1771" s="217">
        <f t="shared" si="141"/>
        <v>10</v>
      </c>
      <c r="D1771" s="217" t="str">
        <f t="shared" si="138"/>
        <v>20</v>
      </c>
      <c r="E1771">
        <f t="shared" si="139"/>
        <v>2020</v>
      </c>
      <c r="F1771" s="217" t="str">
        <f t="shared" si="140"/>
        <v>4Q20</v>
      </c>
      <c r="G1771" s="218">
        <v>44116</v>
      </c>
      <c r="H1771" s="217">
        <v>5.5316000000000001</v>
      </c>
    </row>
    <row r="1772" spans="2:8">
      <c r="B1772" s="217" t="str">
        <f t="shared" si="137"/>
        <v>4Q</v>
      </c>
      <c r="C1772" s="217">
        <f t="shared" si="141"/>
        <v>10</v>
      </c>
      <c r="D1772" s="217" t="str">
        <f t="shared" si="138"/>
        <v>20</v>
      </c>
      <c r="E1772">
        <f t="shared" si="139"/>
        <v>2020</v>
      </c>
      <c r="F1772" s="217" t="str">
        <f t="shared" si="140"/>
        <v>4Q20</v>
      </c>
      <c r="G1772" s="218">
        <v>44117</v>
      </c>
      <c r="H1772" s="217">
        <v>5.5701000000000001</v>
      </c>
    </row>
    <row r="1773" spans="2:8">
      <c r="B1773" s="217" t="str">
        <f t="shared" si="137"/>
        <v>4Q</v>
      </c>
      <c r="C1773" s="217">
        <f t="shared" si="141"/>
        <v>10</v>
      </c>
      <c r="D1773" s="217" t="str">
        <f t="shared" si="138"/>
        <v>20</v>
      </c>
      <c r="E1773">
        <f t="shared" si="139"/>
        <v>2020</v>
      </c>
      <c r="F1773" s="217" t="str">
        <f t="shared" si="140"/>
        <v>4Q20</v>
      </c>
      <c r="G1773" s="218">
        <v>44118</v>
      </c>
      <c r="H1773" s="217">
        <v>5.5922000000000001</v>
      </c>
    </row>
    <row r="1774" spans="2:8">
      <c r="B1774" s="217" t="str">
        <f t="shared" si="137"/>
        <v>4Q</v>
      </c>
      <c r="C1774" s="217">
        <f t="shared" si="141"/>
        <v>10</v>
      </c>
      <c r="D1774" s="217" t="str">
        <f t="shared" si="138"/>
        <v>20</v>
      </c>
      <c r="E1774">
        <f t="shared" si="139"/>
        <v>2020</v>
      </c>
      <c r="F1774" s="217" t="str">
        <f t="shared" si="140"/>
        <v>4Q20</v>
      </c>
      <c r="G1774" s="218">
        <v>44119</v>
      </c>
      <c r="H1774" s="217">
        <v>5.6143000000000001</v>
      </c>
    </row>
    <row r="1775" spans="2:8">
      <c r="B1775" s="217" t="str">
        <f t="shared" si="137"/>
        <v>4Q</v>
      </c>
      <c r="C1775" s="217">
        <f t="shared" si="141"/>
        <v>10</v>
      </c>
      <c r="D1775" s="217" t="str">
        <f t="shared" si="138"/>
        <v>20</v>
      </c>
      <c r="E1775">
        <f t="shared" si="139"/>
        <v>2020</v>
      </c>
      <c r="F1775" s="217" t="str">
        <f t="shared" si="140"/>
        <v>4Q20</v>
      </c>
      <c r="G1775" s="218">
        <v>44120</v>
      </c>
      <c r="H1775" s="217">
        <v>5.6437999999999997</v>
      </c>
    </row>
    <row r="1776" spans="2:8">
      <c r="B1776" s="217" t="str">
        <f t="shared" si="137"/>
        <v>4Q</v>
      </c>
      <c r="C1776" s="217">
        <f t="shared" si="141"/>
        <v>10</v>
      </c>
      <c r="D1776" s="217" t="str">
        <f t="shared" si="138"/>
        <v>20</v>
      </c>
      <c r="E1776">
        <f t="shared" si="139"/>
        <v>2020</v>
      </c>
      <c r="F1776" s="217" t="str">
        <f t="shared" si="140"/>
        <v>4Q20</v>
      </c>
      <c r="G1776" s="218">
        <v>44123</v>
      </c>
      <c r="H1776" s="217">
        <v>5.6071</v>
      </c>
    </row>
    <row r="1777" spans="2:8">
      <c r="B1777" s="217" t="str">
        <f t="shared" si="137"/>
        <v>4Q</v>
      </c>
      <c r="C1777" s="217">
        <f t="shared" si="141"/>
        <v>10</v>
      </c>
      <c r="D1777" s="217" t="str">
        <f t="shared" si="138"/>
        <v>20</v>
      </c>
      <c r="E1777">
        <f t="shared" si="139"/>
        <v>2020</v>
      </c>
      <c r="F1777" s="217" t="str">
        <f t="shared" si="140"/>
        <v>4Q20</v>
      </c>
      <c r="G1777" s="218">
        <v>44124</v>
      </c>
      <c r="H1777" s="217">
        <v>5.6056999999999997</v>
      </c>
    </row>
    <row r="1778" spans="2:8">
      <c r="B1778" s="217" t="str">
        <f t="shared" si="137"/>
        <v>4Q</v>
      </c>
      <c r="C1778" s="217">
        <f t="shared" si="141"/>
        <v>10</v>
      </c>
      <c r="D1778" s="217" t="str">
        <f t="shared" si="138"/>
        <v>20</v>
      </c>
      <c r="E1778">
        <f t="shared" si="139"/>
        <v>2020</v>
      </c>
      <c r="F1778" s="217" t="str">
        <f t="shared" si="140"/>
        <v>4Q20</v>
      </c>
      <c r="G1778" s="218">
        <v>44125</v>
      </c>
      <c r="H1778" s="217">
        <v>5.6078999999999999</v>
      </c>
    </row>
    <row r="1779" spans="2:8">
      <c r="B1779" s="217" t="str">
        <f t="shared" si="137"/>
        <v>4Q</v>
      </c>
      <c r="C1779" s="217">
        <f t="shared" si="141"/>
        <v>10</v>
      </c>
      <c r="D1779" s="217" t="str">
        <f t="shared" si="138"/>
        <v>20</v>
      </c>
      <c r="E1779">
        <f t="shared" si="139"/>
        <v>2020</v>
      </c>
      <c r="F1779" s="217" t="str">
        <f t="shared" si="140"/>
        <v>4Q20</v>
      </c>
      <c r="G1779" s="218">
        <v>44126</v>
      </c>
      <c r="H1779" s="217">
        <v>5.5911</v>
      </c>
    </row>
    <row r="1780" spans="2:8">
      <c r="B1780" s="217" t="str">
        <f t="shared" si="137"/>
        <v>4Q</v>
      </c>
      <c r="C1780" s="217">
        <f t="shared" si="141"/>
        <v>10</v>
      </c>
      <c r="D1780" s="217" t="str">
        <f t="shared" si="138"/>
        <v>20</v>
      </c>
      <c r="E1780">
        <f t="shared" si="139"/>
        <v>2020</v>
      </c>
      <c r="F1780" s="217" t="str">
        <f t="shared" si="140"/>
        <v>4Q20</v>
      </c>
      <c r="G1780" s="218">
        <v>44127</v>
      </c>
      <c r="H1780" s="217">
        <v>5.6193</v>
      </c>
    </row>
    <row r="1781" spans="2:8">
      <c r="B1781" s="217" t="str">
        <f t="shared" si="137"/>
        <v>4Q</v>
      </c>
      <c r="C1781" s="217">
        <f t="shared" si="141"/>
        <v>10</v>
      </c>
      <c r="D1781" s="217" t="str">
        <f t="shared" si="138"/>
        <v>20</v>
      </c>
      <c r="E1781">
        <f t="shared" si="139"/>
        <v>2020</v>
      </c>
      <c r="F1781" s="217" t="str">
        <f t="shared" si="140"/>
        <v>4Q20</v>
      </c>
      <c r="G1781" s="218">
        <v>44130</v>
      </c>
      <c r="H1781" s="217">
        <v>5.6246</v>
      </c>
    </row>
    <row r="1782" spans="2:8">
      <c r="B1782" s="217" t="str">
        <f t="shared" si="137"/>
        <v>4Q</v>
      </c>
      <c r="C1782" s="217">
        <f t="shared" si="141"/>
        <v>10</v>
      </c>
      <c r="D1782" s="217" t="str">
        <f t="shared" si="138"/>
        <v>20</v>
      </c>
      <c r="E1782">
        <f t="shared" si="139"/>
        <v>2020</v>
      </c>
      <c r="F1782" s="217" t="str">
        <f t="shared" si="140"/>
        <v>4Q20</v>
      </c>
      <c r="G1782" s="218">
        <v>44131</v>
      </c>
      <c r="H1782" s="217">
        <v>5.7061999999999999</v>
      </c>
    </row>
    <row r="1783" spans="2:8">
      <c r="B1783" s="217" t="str">
        <f t="shared" si="137"/>
        <v>4Q</v>
      </c>
      <c r="C1783" s="217">
        <f t="shared" si="141"/>
        <v>10</v>
      </c>
      <c r="D1783" s="217" t="str">
        <f t="shared" si="138"/>
        <v>20</v>
      </c>
      <c r="E1783">
        <f t="shared" si="139"/>
        <v>2020</v>
      </c>
      <c r="F1783" s="217" t="str">
        <f t="shared" si="140"/>
        <v>4Q20</v>
      </c>
      <c r="G1783" s="218">
        <v>44132</v>
      </c>
      <c r="H1783" s="217">
        <v>5.7473000000000001</v>
      </c>
    </row>
    <row r="1784" spans="2:8">
      <c r="B1784" s="217" t="str">
        <f t="shared" si="137"/>
        <v>4Q</v>
      </c>
      <c r="C1784" s="217">
        <f t="shared" si="141"/>
        <v>10</v>
      </c>
      <c r="D1784" s="217" t="str">
        <f t="shared" si="138"/>
        <v>20</v>
      </c>
      <c r="E1784">
        <f t="shared" si="139"/>
        <v>2020</v>
      </c>
      <c r="F1784" s="217" t="str">
        <f t="shared" si="140"/>
        <v>4Q20</v>
      </c>
      <c r="G1784" s="218">
        <v>44133</v>
      </c>
      <c r="H1784" s="217">
        <v>5.7805</v>
      </c>
    </row>
    <row r="1785" spans="2:8">
      <c r="B1785" s="217" t="str">
        <f t="shared" si="137"/>
        <v>4Q</v>
      </c>
      <c r="C1785" s="217">
        <f t="shared" si="141"/>
        <v>10</v>
      </c>
      <c r="D1785" s="217" t="str">
        <f t="shared" si="138"/>
        <v>20</v>
      </c>
      <c r="E1785">
        <f t="shared" si="139"/>
        <v>2020</v>
      </c>
      <c r="F1785" s="217" t="str">
        <f t="shared" si="140"/>
        <v>4Q20</v>
      </c>
      <c r="G1785" s="218">
        <v>44134</v>
      </c>
      <c r="H1785" s="217">
        <v>5.7460000000000004</v>
      </c>
    </row>
    <row r="1786" spans="2:8">
      <c r="B1786" s="217" t="str">
        <f t="shared" si="137"/>
        <v>4Q</v>
      </c>
      <c r="C1786" s="217">
        <f t="shared" si="141"/>
        <v>11</v>
      </c>
      <c r="D1786" s="217" t="str">
        <f t="shared" si="138"/>
        <v>20</v>
      </c>
      <c r="E1786">
        <f t="shared" si="139"/>
        <v>2020</v>
      </c>
      <c r="F1786" s="217" t="str">
        <f t="shared" si="140"/>
        <v>4Q20</v>
      </c>
      <c r="G1786" s="218">
        <v>44137</v>
      </c>
      <c r="H1786" s="217">
        <v>5.7430000000000003</v>
      </c>
    </row>
    <row r="1787" spans="2:8">
      <c r="B1787" s="217" t="str">
        <f t="shared" si="137"/>
        <v>4Q</v>
      </c>
      <c r="C1787" s="217">
        <f t="shared" si="141"/>
        <v>11</v>
      </c>
      <c r="D1787" s="217" t="str">
        <f t="shared" si="138"/>
        <v>20</v>
      </c>
      <c r="E1787">
        <f t="shared" si="139"/>
        <v>2020</v>
      </c>
      <c r="F1787" s="217" t="str">
        <f t="shared" si="140"/>
        <v>4Q20</v>
      </c>
      <c r="G1787" s="218">
        <v>44138</v>
      </c>
      <c r="H1787" s="217">
        <v>5.7565</v>
      </c>
    </row>
    <row r="1788" spans="2:8">
      <c r="B1788" s="217" t="str">
        <f t="shared" si="137"/>
        <v>4Q</v>
      </c>
      <c r="C1788" s="217">
        <f t="shared" si="141"/>
        <v>11</v>
      </c>
      <c r="D1788" s="217" t="str">
        <f t="shared" si="138"/>
        <v>20</v>
      </c>
      <c r="E1788">
        <f t="shared" si="139"/>
        <v>2020</v>
      </c>
      <c r="F1788" s="217" t="str">
        <f t="shared" si="140"/>
        <v>4Q20</v>
      </c>
      <c r="G1788" s="218">
        <v>44139</v>
      </c>
      <c r="H1788" s="217">
        <v>5.6639999999999997</v>
      </c>
    </row>
    <row r="1789" spans="2:8">
      <c r="B1789" s="217" t="str">
        <f t="shared" si="137"/>
        <v>4Q</v>
      </c>
      <c r="C1789" s="217">
        <f t="shared" si="141"/>
        <v>11</v>
      </c>
      <c r="D1789" s="217" t="str">
        <f t="shared" si="138"/>
        <v>20</v>
      </c>
      <c r="E1789">
        <f t="shared" si="139"/>
        <v>2020</v>
      </c>
      <c r="F1789" s="217" t="str">
        <f t="shared" si="140"/>
        <v>4Q20</v>
      </c>
      <c r="G1789" s="218">
        <v>44140</v>
      </c>
      <c r="H1789" s="217">
        <v>5.5252999999999997</v>
      </c>
    </row>
    <row r="1790" spans="2:8">
      <c r="B1790" s="217" t="str">
        <f t="shared" si="137"/>
        <v>4Q</v>
      </c>
      <c r="C1790" s="217">
        <f t="shared" si="141"/>
        <v>11</v>
      </c>
      <c r="D1790" s="217" t="str">
        <f t="shared" si="138"/>
        <v>20</v>
      </c>
      <c r="E1790">
        <f t="shared" si="139"/>
        <v>2020</v>
      </c>
      <c r="F1790" s="217" t="str">
        <f t="shared" si="140"/>
        <v>4Q20</v>
      </c>
      <c r="G1790" s="218">
        <v>44141</v>
      </c>
      <c r="H1790" s="217">
        <v>5.3650000000000002</v>
      </c>
    </row>
    <row r="1791" spans="2:8">
      <c r="B1791" s="217" t="str">
        <f t="shared" si="137"/>
        <v>4Q</v>
      </c>
      <c r="C1791" s="217">
        <f t="shared" si="141"/>
        <v>11</v>
      </c>
      <c r="D1791" s="217" t="str">
        <f t="shared" si="138"/>
        <v>20</v>
      </c>
      <c r="E1791">
        <f t="shared" si="139"/>
        <v>2020</v>
      </c>
      <c r="F1791" s="217" t="str">
        <f t="shared" si="140"/>
        <v>4Q20</v>
      </c>
      <c r="G1791" s="218">
        <v>44144</v>
      </c>
      <c r="H1791" s="217">
        <v>5.3860999999999999</v>
      </c>
    </row>
    <row r="1792" spans="2:8">
      <c r="B1792" s="217" t="str">
        <f t="shared" si="137"/>
        <v>4Q</v>
      </c>
      <c r="C1792" s="217">
        <f t="shared" si="141"/>
        <v>11</v>
      </c>
      <c r="D1792" s="217" t="str">
        <f t="shared" si="138"/>
        <v>20</v>
      </c>
      <c r="E1792">
        <f t="shared" si="139"/>
        <v>2020</v>
      </c>
      <c r="F1792" s="217" t="str">
        <f t="shared" si="140"/>
        <v>4Q20</v>
      </c>
      <c r="G1792" s="218">
        <v>44145</v>
      </c>
      <c r="H1792" s="217">
        <v>5.4149000000000003</v>
      </c>
    </row>
    <row r="1793" spans="2:8">
      <c r="B1793" s="217" t="str">
        <f t="shared" si="137"/>
        <v>4Q</v>
      </c>
      <c r="C1793" s="217">
        <f t="shared" si="141"/>
        <v>11</v>
      </c>
      <c r="D1793" s="217" t="str">
        <f t="shared" si="138"/>
        <v>20</v>
      </c>
      <c r="E1793">
        <f t="shared" si="139"/>
        <v>2020</v>
      </c>
      <c r="F1793" s="217" t="str">
        <f t="shared" si="140"/>
        <v>4Q20</v>
      </c>
      <c r="G1793" s="218">
        <v>44146</v>
      </c>
      <c r="H1793" s="217">
        <v>5.3914999999999997</v>
      </c>
    </row>
    <row r="1794" spans="2:8">
      <c r="B1794" s="217" t="str">
        <f t="shared" si="137"/>
        <v>4Q</v>
      </c>
      <c r="C1794" s="217">
        <f t="shared" si="141"/>
        <v>11</v>
      </c>
      <c r="D1794" s="217" t="str">
        <f t="shared" si="138"/>
        <v>20</v>
      </c>
      <c r="E1794">
        <f t="shared" si="139"/>
        <v>2020</v>
      </c>
      <c r="F1794" s="217" t="str">
        <f t="shared" si="140"/>
        <v>4Q20</v>
      </c>
      <c r="G1794" s="218">
        <v>44147</v>
      </c>
      <c r="H1794" s="217">
        <v>5.4583000000000004</v>
      </c>
    </row>
    <row r="1795" spans="2:8">
      <c r="B1795" s="217" t="str">
        <f t="shared" ref="B1795:B1858" si="142">VLOOKUP(C1795,$N$3:$O$14,2,0)</f>
        <v>4Q</v>
      </c>
      <c r="C1795" s="217">
        <f t="shared" si="141"/>
        <v>11</v>
      </c>
      <c r="D1795" s="217" t="str">
        <f t="shared" ref="D1795:D1858" si="143">RIGHT(E1795,2)</f>
        <v>20</v>
      </c>
      <c r="E1795">
        <f t="shared" ref="E1795:E1858" si="144">YEAR(G1795)</f>
        <v>2020</v>
      </c>
      <c r="F1795" s="217" t="str">
        <f t="shared" ref="F1795:F1858" si="145">+B1795&amp;D1795</f>
        <v>4Q20</v>
      </c>
      <c r="G1795" s="218">
        <v>44148</v>
      </c>
      <c r="H1795" s="217">
        <v>5.4584999999999999</v>
      </c>
    </row>
    <row r="1796" spans="2:8">
      <c r="B1796" s="217" t="str">
        <f t="shared" si="142"/>
        <v>4Q</v>
      </c>
      <c r="C1796" s="217">
        <f t="shared" ref="C1796:C1859" si="146">MONTH(G1796)</f>
        <v>11</v>
      </c>
      <c r="D1796" s="217" t="str">
        <f t="shared" si="143"/>
        <v>20</v>
      </c>
      <c r="E1796">
        <f t="shared" si="144"/>
        <v>2020</v>
      </c>
      <c r="F1796" s="217" t="str">
        <f t="shared" si="145"/>
        <v>4Q20</v>
      </c>
      <c r="G1796" s="218">
        <v>44151</v>
      </c>
      <c r="H1796" s="217">
        <v>5.4154999999999998</v>
      </c>
    </row>
    <row r="1797" spans="2:8">
      <c r="B1797" s="217" t="str">
        <f t="shared" si="142"/>
        <v>4Q</v>
      </c>
      <c r="C1797" s="217">
        <f t="shared" si="146"/>
        <v>11</v>
      </c>
      <c r="D1797" s="217" t="str">
        <f t="shared" si="143"/>
        <v>20</v>
      </c>
      <c r="E1797">
        <f t="shared" si="144"/>
        <v>2020</v>
      </c>
      <c r="F1797" s="217" t="str">
        <f t="shared" si="145"/>
        <v>4Q20</v>
      </c>
      <c r="G1797" s="218">
        <v>44152</v>
      </c>
      <c r="H1797" s="217">
        <v>5.3284000000000002</v>
      </c>
    </row>
    <row r="1798" spans="2:8">
      <c r="B1798" s="217" t="str">
        <f t="shared" si="142"/>
        <v>4Q</v>
      </c>
      <c r="C1798" s="217">
        <f t="shared" si="146"/>
        <v>11</v>
      </c>
      <c r="D1798" s="217" t="str">
        <f t="shared" si="143"/>
        <v>20</v>
      </c>
      <c r="E1798">
        <f t="shared" si="144"/>
        <v>2020</v>
      </c>
      <c r="F1798" s="217" t="str">
        <f t="shared" si="145"/>
        <v>4Q20</v>
      </c>
      <c r="G1798" s="218">
        <v>44153</v>
      </c>
      <c r="H1798" s="217">
        <v>5.3634000000000004</v>
      </c>
    </row>
    <row r="1799" spans="2:8">
      <c r="B1799" s="217" t="str">
        <f t="shared" si="142"/>
        <v>4Q</v>
      </c>
      <c r="C1799" s="217">
        <f t="shared" si="146"/>
        <v>11</v>
      </c>
      <c r="D1799" s="217" t="str">
        <f t="shared" si="143"/>
        <v>20</v>
      </c>
      <c r="E1799">
        <f t="shared" si="144"/>
        <v>2020</v>
      </c>
      <c r="F1799" s="217" t="str">
        <f t="shared" si="145"/>
        <v>4Q20</v>
      </c>
      <c r="G1799" s="218">
        <v>44154</v>
      </c>
      <c r="H1799" s="217">
        <v>5.3056999999999999</v>
      </c>
    </row>
    <row r="1800" spans="2:8">
      <c r="B1800" s="217" t="str">
        <f t="shared" si="142"/>
        <v>4Q</v>
      </c>
      <c r="C1800" s="217">
        <f t="shared" si="146"/>
        <v>11</v>
      </c>
      <c r="D1800" s="217" t="str">
        <f t="shared" si="143"/>
        <v>20</v>
      </c>
      <c r="E1800">
        <f t="shared" si="144"/>
        <v>2020</v>
      </c>
      <c r="F1800" s="217" t="str">
        <f t="shared" si="145"/>
        <v>4Q20</v>
      </c>
      <c r="G1800" s="218">
        <v>44155</v>
      </c>
      <c r="H1800" s="217">
        <v>5.3802000000000003</v>
      </c>
    </row>
    <row r="1801" spans="2:8">
      <c r="B1801" s="217" t="str">
        <f t="shared" si="142"/>
        <v>4Q</v>
      </c>
      <c r="C1801" s="217">
        <f t="shared" si="146"/>
        <v>11</v>
      </c>
      <c r="D1801" s="217" t="str">
        <f t="shared" si="143"/>
        <v>20</v>
      </c>
      <c r="E1801">
        <f t="shared" si="144"/>
        <v>2020</v>
      </c>
      <c r="F1801" s="217" t="str">
        <f t="shared" si="145"/>
        <v>4Q20</v>
      </c>
      <c r="G1801" s="218">
        <v>44158</v>
      </c>
      <c r="H1801" s="217">
        <v>5.4393000000000002</v>
      </c>
    </row>
    <row r="1802" spans="2:8">
      <c r="B1802" s="217" t="str">
        <f t="shared" si="142"/>
        <v>4Q</v>
      </c>
      <c r="C1802" s="217">
        <f t="shared" si="146"/>
        <v>11</v>
      </c>
      <c r="D1802" s="217" t="str">
        <f t="shared" si="143"/>
        <v>20</v>
      </c>
      <c r="E1802">
        <f t="shared" si="144"/>
        <v>2020</v>
      </c>
      <c r="F1802" s="217" t="str">
        <f t="shared" si="145"/>
        <v>4Q20</v>
      </c>
      <c r="G1802" s="218">
        <v>44159</v>
      </c>
      <c r="H1802" s="217">
        <v>5.3739999999999997</v>
      </c>
    </row>
    <row r="1803" spans="2:8">
      <c r="B1803" s="217" t="str">
        <f t="shared" si="142"/>
        <v>4Q</v>
      </c>
      <c r="C1803" s="217">
        <f t="shared" si="146"/>
        <v>11</v>
      </c>
      <c r="D1803" s="217" t="str">
        <f t="shared" si="143"/>
        <v>20</v>
      </c>
      <c r="E1803">
        <f t="shared" si="144"/>
        <v>2020</v>
      </c>
      <c r="F1803" s="217" t="str">
        <f t="shared" si="145"/>
        <v>4Q20</v>
      </c>
      <c r="G1803" s="218">
        <v>44160</v>
      </c>
      <c r="H1803" s="217">
        <v>5.3242000000000003</v>
      </c>
    </row>
    <row r="1804" spans="2:8">
      <c r="B1804" s="217" t="str">
        <f t="shared" si="142"/>
        <v>4Q</v>
      </c>
      <c r="C1804" s="217">
        <f t="shared" si="146"/>
        <v>11</v>
      </c>
      <c r="D1804" s="217" t="str">
        <f t="shared" si="143"/>
        <v>20</v>
      </c>
      <c r="E1804">
        <f t="shared" si="144"/>
        <v>2020</v>
      </c>
      <c r="F1804" s="217" t="str">
        <f t="shared" si="145"/>
        <v>4Q20</v>
      </c>
      <c r="G1804" s="218">
        <v>44161</v>
      </c>
      <c r="H1804" s="217">
        <v>5.3368000000000002</v>
      </c>
    </row>
    <row r="1805" spans="2:8">
      <c r="B1805" s="217" t="str">
        <f t="shared" si="142"/>
        <v>4Q</v>
      </c>
      <c r="C1805" s="217">
        <f t="shared" si="146"/>
        <v>11</v>
      </c>
      <c r="D1805" s="217" t="str">
        <f t="shared" si="143"/>
        <v>20</v>
      </c>
      <c r="E1805">
        <f t="shared" si="144"/>
        <v>2020</v>
      </c>
      <c r="F1805" s="217" t="str">
        <f t="shared" si="145"/>
        <v>4Q20</v>
      </c>
      <c r="G1805" s="218">
        <v>44162</v>
      </c>
      <c r="H1805" s="217">
        <v>5.3441000000000001</v>
      </c>
    </row>
    <row r="1806" spans="2:8">
      <c r="B1806" s="217" t="str">
        <f t="shared" si="142"/>
        <v>4Q</v>
      </c>
      <c r="C1806" s="217">
        <f t="shared" si="146"/>
        <v>11</v>
      </c>
      <c r="D1806" s="217" t="str">
        <f t="shared" si="143"/>
        <v>20</v>
      </c>
      <c r="E1806">
        <f t="shared" si="144"/>
        <v>2020</v>
      </c>
      <c r="F1806" s="217" t="str">
        <f t="shared" si="145"/>
        <v>4Q20</v>
      </c>
      <c r="G1806" s="218">
        <v>44165</v>
      </c>
      <c r="H1806" s="217">
        <v>5.3323</v>
      </c>
    </row>
    <row r="1807" spans="2:8">
      <c r="B1807" s="217" t="str">
        <f t="shared" si="142"/>
        <v>4Q</v>
      </c>
      <c r="C1807" s="217">
        <f t="shared" si="146"/>
        <v>12</v>
      </c>
      <c r="D1807" s="217" t="str">
        <f t="shared" si="143"/>
        <v>20</v>
      </c>
      <c r="E1807">
        <f t="shared" si="144"/>
        <v>2020</v>
      </c>
      <c r="F1807" s="217" t="str">
        <f t="shared" si="145"/>
        <v>4Q20</v>
      </c>
      <c r="G1807" s="218">
        <v>44166</v>
      </c>
      <c r="H1807" s="217">
        <v>5.2065000000000001</v>
      </c>
    </row>
    <row r="1808" spans="2:8">
      <c r="B1808" s="217" t="str">
        <f t="shared" si="142"/>
        <v>4Q</v>
      </c>
      <c r="C1808" s="217">
        <f t="shared" si="146"/>
        <v>12</v>
      </c>
      <c r="D1808" s="217" t="str">
        <f t="shared" si="143"/>
        <v>20</v>
      </c>
      <c r="E1808">
        <f t="shared" si="144"/>
        <v>2020</v>
      </c>
      <c r="F1808" s="217" t="str">
        <f t="shared" si="145"/>
        <v>4Q20</v>
      </c>
      <c r="G1808" s="218">
        <v>44167</v>
      </c>
      <c r="H1808" s="217">
        <v>5.2178000000000004</v>
      </c>
    </row>
    <row r="1809" spans="2:8">
      <c r="B1809" s="217" t="str">
        <f t="shared" si="142"/>
        <v>4Q</v>
      </c>
      <c r="C1809" s="217">
        <f t="shared" si="146"/>
        <v>12</v>
      </c>
      <c r="D1809" s="217" t="str">
        <f t="shared" si="143"/>
        <v>20</v>
      </c>
      <c r="E1809">
        <f t="shared" si="144"/>
        <v>2020</v>
      </c>
      <c r="F1809" s="217" t="str">
        <f t="shared" si="145"/>
        <v>4Q20</v>
      </c>
      <c r="G1809" s="218">
        <v>44168</v>
      </c>
      <c r="H1809" s="217">
        <v>5.1520000000000001</v>
      </c>
    </row>
    <row r="1810" spans="2:8">
      <c r="B1810" s="217" t="str">
        <f t="shared" si="142"/>
        <v>4Q</v>
      </c>
      <c r="C1810" s="217">
        <f t="shared" si="146"/>
        <v>12</v>
      </c>
      <c r="D1810" s="217" t="str">
        <f t="shared" si="143"/>
        <v>20</v>
      </c>
      <c r="E1810">
        <f t="shared" si="144"/>
        <v>2020</v>
      </c>
      <c r="F1810" s="217" t="str">
        <f t="shared" si="145"/>
        <v>4Q20</v>
      </c>
      <c r="G1810" s="218">
        <v>44169</v>
      </c>
      <c r="H1810" s="217">
        <v>5.1559999999999997</v>
      </c>
    </row>
    <row r="1811" spans="2:8">
      <c r="B1811" s="217" t="str">
        <f t="shared" si="142"/>
        <v>4Q</v>
      </c>
      <c r="C1811" s="217">
        <f t="shared" si="146"/>
        <v>12</v>
      </c>
      <c r="D1811" s="217" t="str">
        <f t="shared" si="143"/>
        <v>20</v>
      </c>
      <c r="E1811">
        <f t="shared" si="144"/>
        <v>2020</v>
      </c>
      <c r="F1811" s="217" t="str">
        <f t="shared" si="145"/>
        <v>4Q20</v>
      </c>
      <c r="G1811" s="218">
        <v>44172</v>
      </c>
      <c r="H1811" s="217">
        <v>5.0994999999999999</v>
      </c>
    </row>
    <row r="1812" spans="2:8">
      <c r="B1812" s="217" t="str">
        <f t="shared" si="142"/>
        <v>4Q</v>
      </c>
      <c r="C1812" s="217">
        <f t="shared" si="146"/>
        <v>12</v>
      </c>
      <c r="D1812" s="217" t="str">
        <f t="shared" si="143"/>
        <v>20</v>
      </c>
      <c r="E1812">
        <f t="shared" si="144"/>
        <v>2020</v>
      </c>
      <c r="F1812" s="217" t="str">
        <f t="shared" si="145"/>
        <v>4Q20</v>
      </c>
      <c r="G1812" s="218">
        <v>44173</v>
      </c>
      <c r="H1812" s="217">
        <v>5.1205999999999996</v>
      </c>
    </row>
    <row r="1813" spans="2:8">
      <c r="B1813" s="217" t="str">
        <f t="shared" si="142"/>
        <v>4Q</v>
      </c>
      <c r="C1813" s="217">
        <f t="shared" si="146"/>
        <v>12</v>
      </c>
      <c r="D1813" s="217" t="str">
        <f t="shared" si="143"/>
        <v>20</v>
      </c>
      <c r="E1813">
        <f t="shared" si="144"/>
        <v>2020</v>
      </c>
      <c r="F1813" s="217" t="str">
        <f t="shared" si="145"/>
        <v>4Q20</v>
      </c>
      <c r="G1813" s="218">
        <v>44174</v>
      </c>
      <c r="H1813" s="217">
        <v>5.1710000000000003</v>
      </c>
    </row>
    <row r="1814" spans="2:8">
      <c r="B1814" s="217" t="str">
        <f t="shared" si="142"/>
        <v>4Q</v>
      </c>
      <c r="C1814" s="217">
        <f t="shared" si="146"/>
        <v>12</v>
      </c>
      <c r="D1814" s="217" t="str">
        <f t="shared" si="143"/>
        <v>20</v>
      </c>
      <c r="E1814">
        <f t="shared" si="144"/>
        <v>2020</v>
      </c>
      <c r="F1814" s="217" t="str">
        <f t="shared" si="145"/>
        <v>4Q20</v>
      </c>
      <c r="G1814" s="218">
        <v>44175</v>
      </c>
      <c r="H1814" s="217">
        <v>5.0259</v>
      </c>
    </row>
    <row r="1815" spans="2:8">
      <c r="B1815" s="217" t="str">
        <f t="shared" si="142"/>
        <v>4Q</v>
      </c>
      <c r="C1815" s="217">
        <f t="shared" si="146"/>
        <v>12</v>
      </c>
      <c r="D1815" s="217" t="str">
        <f t="shared" si="143"/>
        <v>20</v>
      </c>
      <c r="E1815">
        <f t="shared" si="144"/>
        <v>2020</v>
      </c>
      <c r="F1815" s="217" t="str">
        <f t="shared" si="145"/>
        <v>4Q20</v>
      </c>
      <c r="G1815" s="218">
        <v>44176</v>
      </c>
      <c r="H1815" s="217">
        <v>5.0660999999999996</v>
      </c>
    </row>
    <row r="1816" spans="2:8">
      <c r="B1816" s="217" t="str">
        <f t="shared" si="142"/>
        <v>4Q</v>
      </c>
      <c r="C1816" s="217">
        <f t="shared" si="146"/>
        <v>12</v>
      </c>
      <c r="D1816" s="217" t="str">
        <f t="shared" si="143"/>
        <v>20</v>
      </c>
      <c r="E1816">
        <f t="shared" si="144"/>
        <v>2020</v>
      </c>
      <c r="F1816" s="217" t="str">
        <f t="shared" si="145"/>
        <v>4Q20</v>
      </c>
      <c r="G1816" s="218">
        <v>44179</v>
      </c>
      <c r="H1816" s="217">
        <v>5.1191000000000004</v>
      </c>
    </row>
    <row r="1817" spans="2:8">
      <c r="B1817" s="217" t="str">
        <f t="shared" si="142"/>
        <v>4Q</v>
      </c>
      <c r="C1817" s="217">
        <f t="shared" si="146"/>
        <v>12</v>
      </c>
      <c r="D1817" s="217" t="str">
        <f t="shared" si="143"/>
        <v>20</v>
      </c>
      <c r="E1817">
        <f t="shared" si="144"/>
        <v>2020</v>
      </c>
      <c r="F1817" s="217" t="str">
        <f t="shared" si="145"/>
        <v>4Q20</v>
      </c>
      <c r="G1817" s="218">
        <v>44180</v>
      </c>
      <c r="H1817" s="217">
        <v>5.0846</v>
      </c>
    </row>
    <row r="1818" spans="2:8">
      <c r="B1818" s="217" t="str">
        <f t="shared" si="142"/>
        <v>4Q</v>
      </c>
      <c r="C1818" s="217">
        <f t="shared" si="146"/>
        <v>12</v>
      </c>
      <c r="D1818" s="217" t="str">
        <f t="shared" si="143"/>
        <v>20</v>
      </c>
      <c r="E1818">
        <f t="shared" si="144"/>
        <v>2020</v>
      </c>
      <c r="F1818" s="217" t="str">
        <f t="shared" si="145"/>
        <v>4Q20</v>
      </c>
      <c r="G1818" s="218">
        <v>44181</v>
      </c>
      <c r="H1818" s="217">
        <v>5.0842000000000001</v>
      </c>
    </row>
    <row r="1819" spans="2:8">
      <c r="B1819" s="217" t="str">
        <f t="shared" si="142"/>
        <v>4Q</v>
      </c>
      <c r="C1819" s="217">
        <f t="shared" si="146"/>
        <v>12</v>
      </c>
      <c r="D1819" s="217" t="str">
        <f t="shared" si="143"/>
        <v>20</v>
      </c>
      <c r="E1819">
        <f t="shared" si="144"/>
        <v>2020</v>
      </c>
      <c r="F1819" s="217" t="str">
        <f t="shared" si="145"/>
        <v>4Q20</v>
      </c>
      <c r="G1819" s="218">
        <v>44182</v>
      </c>
      <c r="H1819" s="217">
        <v>5.0585000000000004</v>
      </c>
    </row>
    <row r="1820" spans="2:8">
      <c r="B1820" s="217" t="str">
        <f t="shared" si="142"/>
        <v>4Q</v>
      </c>
      <c r="C1820" s="217">
        <f t="shared" si="146"/>
        <v>12</v>
      </c>
      <c r="D1820" s="217" t="str">
        <f t="shared" si="143"/>
        <v>20</v>
      </c>
      <c r="E1820">
        <f t="shared" si="144"/>
        <v>2020</v>
      </c>
      <c r="F1820" s="217" t="str">
        <f t="shared" si="145"/>
        <v>4Q20</v>
      </c>
      <c r="G1820" s="218">
        <v>44183</v>
      </c>
      <c r="H1820" s="217">
        <v>5.1026999999999996</v>
      </c>
    </row>
    <row r="1821" spans="2:8">
      <c r="B1821" s="217" t="str">
        <f t="shared" si="142"/>
        <v>4Q</v>
      </c>
      <c r="C1821" s="217">
        <f t="shared" si="146"/>
        <v>12</v>
      </c>
      <c r="D1821" s="217" t="str">
        <f t="shared" si="143"/>
        <v>20</v>
      </c>
      <c r="E1821">
        <f t="shared" si="144"/>
        <v>2020</v>
      </c>
      <c r="F1821" s="217" t="str">
        <f t="shared" si="145"/>
        <v>4Q20</v>
      </c>
      <c r="G1821" s="218">
        <v>44186</v>
      </c>
      <c r="H1821" s="217">
        <v>5.1227</v>
      </c>
    </row>
    <row r="1822" spans="2:8">
      <c r="B1822" s="217" t="str">
        <f t="shared" si="142"/>
        <v>4Q</v>
      </c>
      <c r="C1822" s="217">
        <f t="shared" si="146"/>
        <v>12</v>
      </c>
      <c r="D1822" s="217" t="str">
        <f t="shared" si="143"/>
        <v>20</v>
      </c>
      <c r="E1822">
        <f t="shared" si="144"/>
        <v>2020</v>
      </c>
      <c r="F1822" s="217" t="str">
        <f t="shared" si="145"/>
        <v>4Q20</v>
      </c>
      <c r="G1822" s="218">
        <v>44187</v>
      </c>
      <c r="H1822" s="217">
        <v>5.1600999999999999</v>
      </c>
    </row>
    <row r="1823" spans="2:8">
      <c r="B1823" s="217" t="str">
        <f t="shared" si="142"/>
        <v>4Q</v>
      </c>
      <c r="C1823" s="217">
        <f t="shared" si="146"/>
        <v>12</v>
      </c>
      <c r="D1823" s="217" t="str">
        <f t="shared" si="143"/>
        <v>20</v>
      </c>
      <c r="E1823">
        <f t="shared" si="144"/>
        <v>2020</v>
      </c>
      <c r="F1823" s="217" t="str">
        <f t="shared" si="145"/>
        <v>4Q20</v>
      </c>
      <c r="G1823" s="218">
        <v>44188</v>
      </c>
      <c r="H1823" s="217">
        <v>5.2168000000000001</v>
      </c>
    </row>
    <row r="1824" spans="2:8">
      <c r="B1824" s="217" t="str">
        <f t="shared" si="142"/>
        <v>4Q</v>
      </c>
      <c r="C1824" s="217">
        <f t="shared" si="146"/>
        <v>12</v>
      </c>
      <c r="D1824" s="217" t="str">
        <f t="shared" si="143"/>
        <v>20</v>
      </c>
      <c r="E1824">
        <f t="shared" si="144"/>
        <v>2020</v>
      </c>
      <c r="F1824" s="217" t="str">
        <f t="shared" si="145"/>
        <v>4Q20</v>
      </c>
      <c r="G1824" s="218">
        <v>44189</v>
      </c>
      <c r="H1824" s="217">
        <v>5.2167000000000003</v>
      </c>
    </row>
    <row r="1825" spans="2:8">
      <c r="B1825" s="217" t="str">
        <f t="shared" si="142"/>
        <v>4Q</v>
      </c>
      <c r="C1825" s="217">
        <f t="shared" si="146"/>
        <v>12</v>
      </c>
      <c r="D1825" s="217" t="str">
        <f t="shared" si="143"/>
        <v>20</v>
      </c>
      <c r="E1825">
        <f t="shared" si="144"/>
        <v>2020</v>
      </c>
      <c r="F1825" s="217" t="str">
        <f t="shared" si="145"/>
        <v>4Q20</v>
      </c>
      <c r="G1825" s="218">
        <v>44190</v>
      </c>
      <c r="H1825" s="217">
        <v>5.2167000000000003</v>
      </c>
    </row>
    <row r="1826" spans="2:8">
      <c r="B1826" s="217" t="str">
        <f t="shared" si="142"/>
        <v>4Q</v>
      </c>
      <c r="C1826" s="217">
        <f t="shared" si="146"/>
        <v>12</v>
      </c>
      <c r="D1826" s="217" t="str">
        <f t="shared" si="143"/>
        <v>20</v>
      </c>
      <c r="E1826">
        <f t="shared" si="144"/>
        <v>2020</v>
      </c>
      <c r="F1826" s="217" t="str">
        <f t="shared" si="145"/>
        <v>4Q20</v>
      </c>
      <c r="G1826" s="218">
        <v>44193</v>
      </c>
      <c r="H1826" s="217">
        <v>5.2470999999999997</v>
      </c>
    </row>
    <row r="1827" spans="2:8">
      <c r="B1827" s="217" t="str">
        <f t="shared" si="142"/>
        <v>4Q</v>
      </c>
      <c r="C1827" s="217">
        <f t="shared" si="146"/>
        <v>12</v>
      </c>
      <c r="D1827" s="217" t="str">
        <f t="shared" si="143"/>
        <v>20</v>
      </c>
      <c r="E1827">
        <f t="shared" si="144"/>
        <v>2020</v>
      </c>
      <c r="F1827" s="217" t="str">
        <f t="shared" si="145"/>
        <v>4Q20</v>
      </c>
      <c r="G1827" s="218">
        <v>44194</v>
      </c>
      <c r="H1827" s="217">
        <v>5.2103000000000002</v>
      </c>
    </row>
    <row r="1828" spans="2:8">
      <c r="B1828" s="217" t="str">
        <f t="shared" si="142"/>
        <v>4Q</v>
      </c>
      <c r="C1828" s="217">
        <f t="shared" si="146"/>
        <v>12</v>
      </c>
      <c r="D1828" s="217" t="str">
        <f t="shared" si="143"/>
        <v>20</v>
      </c>
      <c r="E1828">
        <f t="shared" si="144"/>
        <v>2020</v>
      </c>
      <c r="F1828" s="217" t="str">
        <f t="shared" si="145"/>
        <v>4Q20</v>
      </c>
      <c r="G1828" s="218">
        <v>44195</v>
      </c>
      <c r="H1828" s="217">
        <v>5.194</v>
      </c>
    </row>
    <row r="1829" spans="2:8">
      <c r="B1829" s="217" t="str">
        <f t="shared" si="142"/>
        <v>4Q</v>
      </c>
      <c r="C1829" s="217">
        <f t="shared" si="146"/>
        <v>12</v>
      </c>
      <c r="D1829" s="217" t="str">
        <f t="shared" si="143"/>
        <v>20</v>
      </c>
      <c r="E1829">
        <f t="shared" si="144"/>
        <v>2020</v>
      </c>
      <c r="F1829" s="217" t="str">
        <f t="shared" si="145"/>
        <v>4Q20</v>
      </c>
      <c r="G1829" s="218">
        <v>44196</v>
      </c>
      <c r="H1829" s="217">
        <v>5.194</v>
      </c>
    </row>
    <row r="1830" spans="2:8">
      <c r="B1830" s="217" t="str">
        <f t="shared" si="142"/>
        <v>1Q</v>
      </c>
      <c r="C1830" s="217">
        <f t="shared" si="146"/>
        <v>1</v>
      </c>
      <c r="D1830" s="217" t="str">
        <f t="shared" si="143"/>
        <v>21</v>
      </c>
      <c r="E1830">
        <f t="shared" si="144"/>
        <v>2021</v>
      </c>
      <c r="F1830" s="217" t="str">
        <f t="shared" si="145"/>
        <v>1Q21</v>
      </c>
      <c r="G1830" s="218">
        <v>44197</v>
      </c>
      <c r="H1830" s="217">
        <v>5.194</v>
      </c>
    </row>
    <row r="1831" spans="2:8">
      <c r="B1831" s="217" t="str">
        <f t="shared" si="142"/>
        <v>1Q</v>
      </c>
      <c r="C1831" s="217">
        <f t="shared" si="146"/>
        <v>1</v>
      </c>
      <c r="D1831" s="217" t="str">
        <f t="shared" si="143"/>
        <v>21</v>
      </c>
      <c r="E1831">
        <f t="shared" si="144"/>
        <v>2021</v>
      </c>
      <c r="F1831" s="217" t="str">
        <f t="shared" si="145"/>
        <v>1Q21</v>
      </c>
      <c r="G1831" s="218">
        <v>44200</v>
      </c>
      <c r="H1831" s="217">
        <v>5.2972000000000001</v>
      </c>
    </row>
    <row r="1832" spans="2:8">
      <c r="B1832" s="217" t="str">
        <f t="shared" si="142"/>
        <v>1Q</v>
      </c>
      <c r="C1832" s="217">
        <f t="shared" si="146"/>
        <v>1</v>
      </c>
      <c r="D1832" s="217" t="str">
        <f t="shared" si="143"/>
        <v>21</v>
      </c>
      <c r="E1832">
        <f t="shared" si="144"/>
        <v>2021</v>
      </c>
      <c r="F1832" s="217" t="str">
        <f t="shared" si="145"/>
        <v>1Q21</v>
      </c>
      <c r="G1832" s="218">
        <v>44201</v>
      </c>
      <c r="H1832" s="217">
        <v>5.2857000000000003</v>
      </c>
    </row>
    <row r="1833" spans="2:8">
      <c r="B1833" s="217" t="str">
        <f t="shared" si="142"/>
        <v>1Q</v>
      </c>
      <c r="C1833" s="217">
        <f t="shared" si="146"/>
        <v>1</v>
      </c>
      <c r="D1833" s="217" t="str">
        <f t="shared" si="143"/>
        <v>21</v>
      </c>
      <c r="E1833">
        <f t="shared" si="144"/>
        <v>2021</v>
      </c>
      <c r="F1833" s="217" t="str">
        <f t="shared" si="145"/>
        <v>1Q21</v>
      </c>
      <c r="G1833" s="218">
        <v>44202</v>
      </c>
      <c r="H1833" s="217">
        <v>5.3144</v>
      </c>
    </row>
    <row r="1834" spans="2:8">
      <c r="B1834" s="217" t="str">
        <f t="shared" si="142"/>
        <v>1Q</v>
      </c>
      <c r="C1834" s="217">
        <f t="shared" si="146"/>
        <v>1</v>
      </c>
      <c r="D1834" s="217" t="str">
        <f t="shared" si="143"/>
        <v>21</v>
      </c>
      <c r="E1834">
        <f t="shared" si="144"/>
        <v>2021</v>
      </c>
      <c r="F1834" s="217" t="str">
        <f t="shared" si="145"/>
        <v>1Q21</v>
      </c>
      <c r="G1834" s="218">
        <v>44203</v>
      </c>
      <c r="H1834" s="217">
        <v>5.4103000000000003</v>
      </c>
    </row>
    <row r="1835" spans="2:8">
      <c r="B1835" s="217" t="str">
        <f t="shared" si="142"/>
        <v>1Q</v>
      </c>
      <c r="C1835" s="217">
        <f t="shared" si="146"/>
        <v>1</v>
      </c>
      <c r="D1835" s="217" t="str">
        <f t="shared" si="143"/>
        <v>21</v>
      </c>
      <c r="E1835">
        <f t="shared" si="144"/>
        <v>2021</v>
      </c>
      <c r="F1835" s="217" t="str">
        <f t="shared" si="145"/>
        <v>1Q21</v>
      </c>
      <c r="G1835" s="218">
        <v>44204</v>
      </c>
      <c r="H1835" s="217">
        <v>5.4180999999999999</v>
      </c>
    </row>
    <row r="1836" spans="2:8">
      <c r="B1836" s="217" t="str">
        <f t="shared" si="142"/>
        <v>1Q</v>
      </c>
      <c r="C1836" s="217">
        <f t="shared" si="146"/>
        <v>1</v>
      </c>
      <c r="D1836" s="217" t="str">
        <f t="shared" si="143"/>
        <v>21</v>
      </c>
      <c r="E1836">
        <f t="shared" si="144"/>
        <v>2021</v>
      </c>
      <c r="F1836" s="217" t="str">
        <f t="shared" si="145"/>
        <v>1Q21</v>
      </c>
      <c r="G1836" s="218">
        <v>44207</v>
      </c>
      <c r="H1836" s="217">
        <v>5.4893000000000001</v>
      </c>
    </row>
    <row r="1837" spans="2:8">
      <c r="B1837" s="217" t="str">
        <f t="shared" si="142"/>
        <v>1Q</v>
      </c>
      <c r="C1837" s="217">
        <f t="shared" si="146"/>
        <v>1</v>
      </c>
      <c r="D1837" s="217" t="str">
        <f t="shared" si="143"/>
        <v>21</v>
      </c>
      <c r="E1837">
        <f t="shared" si="144"/>
        <v>2021</v>
      </c>
      <c r="F1837" s="217" t="str">
        <f t="shared" si="145"/>
        <v>1Q21</v>
      </c>
      <c r="G1837" s="218">
        <v>44208</v>
      </c>
      <c r="H1837" s="217">
        <v>5.3228999999999997</v>
      </c>
    </row>
    <row r="1838" spans="2:8">
      <c r="B1838" s="217" t="str">
        <f t="shared" si="142"/>
        <v>1Q</v>
      </c>
      <c r="C1838" s="217">
        <f t="shared" si="146"/>
        <v>1</v>
      </c>
      <c r="D1838" s="217" t="str">
        <f t="shared" si="143"/>
        <v>21</v>
      </c>
      <c r="E1838">
        <f t="shared" si="144"/>
        <v>2021</v>
      </c>
      <c r="F1838" s="217" t="str">
        <f t="shared" si="145"/>
        <v>1Q21</v>
      </c>
      <c r="G1838" s="218">
        <v>44209</v>
      </c>
      <c r="H1838" s="217">
        <v>5.2992999999999997</v>
      </c>
    </row>
    <row r="1839" spans="2:8">
      <c r="B1839" s="217" t="str">
        <f t="shared" si="142"/>
        <v>1Q</v>
      </c>
      <c r="C1839" s="217">
        <f t="shared" si="146"/>
        <v>1</v>
      </c>
      <c r="D1839" s="217" t="str">
        <f t="shared" si="143"/>
        <v>21</v>
      </c>
      <c r="E1839">
        <f t="shared" si="144"/>
        <v>2021</v>
      </c>
      <c r="F1839" s="217" t="str">
        <f t="shared" si="145"/>
        <v>1Q21</v>
      </c>
      <c r="G1839" s="218">
        <v>44210</v>
      </c>
      <c r="H1839" s="217">
        <v>5.1970999999999998</v>
      </c>
    </row>
    <row r="1840" spans="2:8">
      <c r="B1840" s="217" t="str">
        <f t="shared" si="142"/>
        <v>1Q</v>
      </c>
      <c r="C1840" s="217">
        <f t="shared" si="146"/>
        <v>1</v>
      </c>
      <c r="D1840" s="217" t="str">
        <f t="shared" si="143"/>
        <v>21</v>
      </c>
      <c r="E1840">
        <f t="shared" si="144"/>
        <v>2021</v>
      </c>
      <c r="F1840" s="217" t="str">
        <f t="shared" si="145"/>
        <v>1Q21</v>
      </c>
      <c r="G1840" s="218">
        <v>44211</v>
      </c>
      <c r="H1840" s="217">
        <v>5.2930000000000001</v>
      </c>
    </row>
    <row r="1841" spans="2:8">
      <c r="B1841" s="217" t="str">
        <f t="shared" si="142"/>
        <v>1Q</v>
      </c>
      <c r="C1841" s="217">
        <f t="shared" si="146"/>
        <v>1</v>
      </c>
      <c r="D1841" s="217" t="str">
        <f t="shared" si="143"/>
        <v>21</v>
      </c>
      <c r="E1841">
        <f t="shared" si="144"/>
        <v>2021</v>
      </c>
      <c r="F1841" s="217" t="str">
        <f t="shared" si="145"/>
        <v>1Q21</v>
      </c>
      <c r="G1841" s="218">
        <v>44214</v>
      </c>
      <c r="H1841" s="217">
        <v>5.2961999999999998</v>
      </c>
    </row>
    <row r="1842" spans="2:8">
      <c r="B1842" s="217" t="str">
        <f t="shared" si="142"/>
        <v>1Q</v>
      </c>
      <c r="C1842" s="217">
        <f t="shared" si="146"/>
        <v>1</v>
      </c>
      <c r="D1842" s="217" t="str">
        <f t="shared" si="143"/>
        <v>21</v>
      </c>
      <c r="E1842">
        <f t="shared" si="144"/>
        <v>2021</v>
      </c>
      <c r="F1842" s="217" t="str">
        <f t="shared" si="145"/>
        <v>1Q21</v>
      </c>
      <c r="G1842" s="218">
        <v>44215</v>
      </c>
      <c r="H1842" s="217">
        <v>5.3581000000000003</v>
      </c>
    </row>
    <row r="1843" spans="2:8">
      <c r="B1843" s="217" t="str">
        <f t="shared" si="142"/>
        <v>1Q</v>
      </c>
      <c r="C1843" s="217">
        <f t="shared" si="146"/>
        <v>1</v>
      </c>
      <c r="D1843" s="217" t="str">
        <f t="shared" si="143"/>
        <v>21</v>
      </c>
      <c r="E1843">
        <f t="shared" si="144"/>
        <v>2021</v>
      </c>
      <c r="F1843" s="217" t="str">
        <f t="shared" si="145"/>
        <v>1Q21</v>
      </c>
      <c r="G1843" s="218">
        <v>44216</v>
      </c>
      <c r="H1843" s="217">
        <v>5.2919999999999998</v>
      </c>
    </row>
    <row r="1844" spans="2:8">
      <c r="B1844" s="217" t="str">
        <f t="shared" si="142"/>
        <v>1Q</v>
      </c>
      <c r="C1844" s="217">
        <f t="shared" si="146"/>
        <v>1</v>
      </c>
      <c r="D1844" s="217" t="str">
        <f t="shared" si="143"/>
        <v>21</v>
      </c>
      <c r="E1844">
        <f t="shared" si="144"/>
        <v>2021</v>
      </c>
      <c r="F1844" s="217" t="str">
        <f t="shared" si="145"/>
        <v>1Q21</v>
      </c>
      <c r="G1844" s="218">
        <v>44217</v>
      </c>
      <c r="H1844" s="217">
        <v>5.3510999999999997</v>
      </c>
    </row>
    <row r="1845" spans="2:8">
      <c r="B1845" s="217" t="str">
        <f t="shared" si="142"/>
        <v>1Q</v>
      </c>
      <c r="C1845" s="217">
        <f t="shared" si="146"/>
        <v>1</v>
      </c>
      <c r="D1845" s="217" t="str">
        <f t="shared" si="143"/>
        <v>21</v>
      </c>
      <c r="E1845">
        <f t="shared" si="144"/>
        <v>2021</v>
      </c>
      <c r="F1845" s="217" t="str">
        <f t="shared" si="145"/>
        <v>1Q21</v>
      </c>
      <c r="G1845" s="218">
        <v>44218</v>
      </c>
      <c r="H1845" s="217">
        <v>5.4668999999999999</v>
      </c>
    </row>
    <row r="1846" spans="2:8">
      <c r="B1846" s="217" t="str">
        <f t="shared" si="142"/>
        <v>1Q</v>
      </c>
      <c r="C1846" s="217">
        <f t="shared" si="146"/>
        <v>1</v>
      </c>
      <c r="D1846" s="217" t="str">
        <f t="shared" si="143"/>
        <v>21</v>
      </c>
      <c r="E1846">
        <f t="shared" si="144"/>
        <v>2021</v>
      </c>
      <c r="F1846" s="217" t="str">
        <f t="shared" si="145"/>
        <v>1Q21</v>
      </c>
      <c r="G1846" s="218">
        <v>44221</v>
      </c>
      <c r="H1846" s="217">
        <v>5.4669999999999996</v>
      </c>
    </row>
    <row r="1847" spans="2:8">
      <c r="B1847" s="217" t="str">
        <f t="shared" si="142"/>
        <v>1Q</v>
      </c>
      <c r="C1847" s="217">
        <f t="shared" si="146"/>
        <v>1</v>
      </c>
      <c r="D1847" s="217" t="str">
        <f t="shared" si="143"/>
        <v>21</v>
      </c>
      <c r="E1847">
        <f t="shared" si="144"/>
        <v>2021</v>
      </c>
      <c r="F1847" s="217" t="str">
        <f t="shared" si="145"/>
        <v>1Q21</v>
      </c>
      <c r="G1847" s="218">
        <v>44222</v>
      </c>
      <c r="H1847" s="217">
        <v>5.3555999999999999</v>
      </c>
    </row>
    <row r="1848" spans="2:8">
      <c r="B1848" s="217" t="str">
        <f t="shared" si="142"/>
        <v>1Q</v>
      </c>
      <c r="C1848" s="217">
        <f t="shared" si="146"/>
        <v>1</v>
      </c>
      <c r="D1848" s="217" t="str">
        <f t="shared" si="143"/>
        <v>21</v>
      </c>
      <c r="E1848">
        <f t="shared" si="144"/>
        <v>2021</v>
      </c>
      <c r="F1848" s="217" t="str">
        <f t="shared" si="145"/>
        <v>1Q21</v>
      </c>
      <c r="G1848" s="218">
        <v>44223</v>
      </c>
      <c r="H1848" s="217">
        <v>5.4139999999999997</v>
      </c>
    </row>
    <row r="1849" spans="2:8">
      <c r="B1849" s="217" t="str">
        <f t="shared" si="142"/>
        <v>1Q</v>
      </c>
      <c r="C1849" s="217">
        <f t="shared" si="146"/>
        <v>1</v>
      </c>
      <c r="D1849" s="217" t="str">
        <f t="shared" si="143"/>
        <v>21</v>
      </c>
      <c r="E1849">
        <f t="shared" si="144"/>
        <v>2021</v>
      </c>
      <c r="F1849" s="217" t="str">
        <f t="shared" si="145"/>
        <v>1Q21</v>
      </c>
      <c r="G1849" s="218">
        <v>44224</v>
      </c>
      <c r="H1849" s="217">
        <v>5.4413</v>
      </c>
    </row>
    <row r="1850" spans="2:8">
      <c r="B1850" s="217" t="str">
        <f t="shared" si="142"/>
        <v>1Q</v>
      </c>
      <c r="C1850" s="217">
        <f t="shared" si="146"/>
        <v>1</v>
      </c>
      <c r="D1850" s="217" t="str">
        <f t="shared" si="143"/>
        <v>21</v>
      </c>
      <c r="E1850">
        <f t="shared" si="144"/>
        <v>2021</v>
      </c>
      <c r="F1850" s="217" t="str">
        <f t="shared" si="145"/>
        <v>1Q21</v>
      </c>
      <c r="G1850" s="218">
        <v>44225</v>
      </c>
      <c r="H1850" s="217">
        <v>5.4630000000000001</v>
      </c>
    </row>
    <row r="1851" spans="2:8">
      <c r="B1851" s="217" t="str">
        <f t="shared" si="142"/>
        <v>1Q</v>
      </c>
      <c r="C1851" s="217">
        <f t="shared" si="146"/>
        <v>2</v>
      </c>
      <c r="D1851" s="217" t="str">
        <f t="shared" si="143"/>
        <v>21</v>
      </c>
      <c r="E1851">
        <f t="shared" si="144"/>
        <v>2021</v>
      </c>
      <c r="F1851" s="217" t="str">
        <f t="shared" si="145"/>
        <v>1Q21</v>
      </c>
      <c r="G1851" s="218">
        <v>44228</v>
      </c>
      <c r="H1851" s="217">
        <v>5.4325999999999999</v>
      </c>
    </row>
    <row r="1852" spans="2:8">
      <c r="B1852" s="217" t="str">
        <f t="shared" si="142"/>
        <v>1Q</v>
      </c>
      <c r="C1852" s="217">
        <f t="shared" si="146"/>
        <v>2</v>
      </c>
      <c r="D1852" s="217" t="str">
        <f t="shared" si="143"/>
        <v>21</v>
      </c>
      <c r="E1852">
        <f t="shared" si="144"/>
        <v>2021</v>
      </c>
      <c r="F1852" s="217" t="str">
        <f t="shared" si="145"/>
        <v>1Q21</v>
      </c>
      <c r="G1852" s="218">
        <v>44229</v>
      </c>
      <c r="H1852" s="217">
        <v>5.3685</v>
      </c>
    </row>
    <row r="1853" spans="2:8">
      <c r="B1853" s="217" t="str">
        <f t="shared" si="142"/>
        <v>1Q</v>
      </c>
      <c r="C1853" s="217">
        <f t="shared" si="146"/>
        <v>2</v>
      </c>
      <c r="D1853" s="217" t="str">
        <f t="shared" si="143"/>
        <v>21</v>
      </c>
      <c r="E1853">
        <f t="shared" si="144"/>
        <v>2021</v>
      </c>
      <c r="F1853" s="217" t="str">
        <f t="shared" si="145"/>
        <v>1Q21</v>
      </c>
      <c r="G1853" s="218">
        <v>44230</v>
      </c>
      <c r="H1853" s="217">
        <v>5.3536999999999999</v>
      </c>
    </row>
    <row r="1854" spans="2:8">
      <c r="B1854" s="217" t="str">
        <f t="shared" si="142"/>
        <v>1Q</v>
      </c>
      <c r="C1854" s="217">
        <f t="shared" si="146"/>
        <v>2</v>
      </c>
      <c r="D1854" s="217" t="str">
        <f t="shared" si="143"/>
        <v>21</v>
      </c>
      <c r="E1854">
        <f t="shared" si="144"/>
        <v>2021</v>
      </c>
      <c r="F1854" s="217" t="str">
        <f t="shared" si="145"/>
        <v>1Q21</v>
      </c>
      <c r="G1854" s="218">
        <v>44231</v>
      </c>
      <c r="H1854" s="217">
        <v>5.4269999999999996</v>
      </c>
    </row>
    <row r="1855" spans="2:8">
      <c r="B1855" s="217" t="str">
        <f t="shared" si="142"/>
        <v>1Q</v>
      </c>
      <c r="C1855" s="217">
        <f t="shared" si="146"/>
        <v>2</v>
      </c>
      <c r="D1855" s="217" t="str">
        <f t="shared" si="143"/>
        <v>21</v>
      </c>
      <c r="E1855">
        <f t="shared" si="144"/>
        <v>2021</v>
      </c>
      <c r="F1855" s="217" t="str">
        <f t="shared" si="145"/>
        <v>1Q21</v>
      </c>
      <c r="G1855" s="218">
        <v>44232</v>
      </c>
      <c r="H1855" s="217">
        <v>5.3705999999999996</v>
      </c>
    </row>
    <row r="1856" spans="2:8">
      <c r="B1856" s="217" t="str">
        <f t="shared" si="142"/>
        <v>1Q</v>
      </c>
      <c r="C1856" s="217">
        <f t="shared" si="146"/>
        <v>2</v>
      </c>
      <c r="D1856" s="217" t="str">
        <f t="shared" si="143"/>
        <v>21</v>
      </c>
      <c r="E1856">
        <f t="shared" si="144"/>
        <v>2021</v>
      </c>
      <c r="F1856" s="217" t="str">
        <f t="shared" si="145"/>
        <v>1Q21</v>
      </c>
      <c r="G1856" s="218">
        <v>44235</v>
      </c>
      <c r="H1856" s="217">
        <v>5.3659999999999997</v>
      </c>
    </row>
    <row r="1857" spans="2:8">
      <c r="B1857" s="217" t="str">
        <f t="shared" si="142"/>
        <v>1Q</v>
      </c>
      <c r="C1857" s="217">
        <f t="shared" si="146"/>
        <v>2</v>
      </c>
      <c r="D1857" s="217" t="str">
        <f t="shared" si="143"/>
        <v>21</v>
      </c>
      <c r="E1857">
        <f t="shared" si="144"/>
        <v>2021</v>
      </c>
      <c r="F1857" s="217" t="str">
        <f t="shared" si="145"/>
        <v>1Q21</v>
      </c>
      <c r="G1857" s="218">
        <v>44236</v>
      </c>
      <c r="H1857" s="217">
        <v>5.3784000000000001</v>
      </c>
    </row>
    <row r="1858" spans="2:8">
      <c r="B1858" s="217" t="str">
        <f t="shared" si="142"/>
        <v>1Q</v>
      </c>
      <c r="C1858" s="217">
        <f t="shared" si="146"/>
        <v>2</v>
      </c>
      <c r="D1858" s="217" t="str">
        <f t="shared" si="143"/>
        <v>21</v>
      </c>
      <c r="E1858">
        <f t="shared" si="144"/>
        <v>2021</v>
      </c>
      <c r="F1858" s="217" t="str">
        <f t="shared" si="145"/>
        <v>1Q21</v>
      </c>
      <c r="G1858" s="218">
        <v>44237</v>
      </c>
      <c r="H1858" s="217">
        <v>5.3863000000000003</v>
      </c>
    </row>
    <row r="1859" spans="2:8">
      <c r="B1859" s="217" t="str">
        <f t="shared" ref="B1859:B1922" si="147">VLOOKUP(C1859,$N$3:$O$14,2,0)</f>
        <v>1Q</v>
      </c>
      <c r="C1859" s="217">
        <f t="shared" si="146"/>
        <v>2</v>
      </c>
      <c r="D1859" s="217" t="str">
        <f t="shared" ref="D1859:D1922" si="148">RIGHT(E1859,2)</f>
        <v>21</v>
      </c>
      <c r="E1859">
        <f t="shared" ref="E1859:E1922" si="149">YEAR(G1859)</f>
        <v>2021</v>
      </c>
      <c r="F1859" s="217" t="str">
        <f t="shared" ref="F1859:F1922" si="150">+B1859&amp;D1859</f>
        <v>1Q21</v>
      </c>
      <c r="G1859" s="218">
        <v>44238</v>
      </c>
      <c r="H1859" s="217">
        <v>5.3666999999999998</v>
      </c>
    </row>
    <row r="1860" spans="2:8">
      <c r="B1860" s="217" t="str">
        <f t="shared" si="147"/>
        <v>1Q</v>
      </c>
      <c r="C1860" s="217">
        <f t="shared" ref="C1860:C1923" si="151">MONTH(G1860)</f>
        <v>2</v>
      </c>
      <c r="D1860" s="217" t="str">
        <f t="shared" si="148"/>
        <v>21</v>
      </c>
      <c r="E1860">
        <f t="shared" si="149"/>
        <v>2021</v>
      </c>
      <c r="F1860" s="217" t="str">
        <f t="shared" si="150"/>
        <v>1Q21</v>
      </c>
      <c r="G1860" s="218">
        <v>44239</v>
      </c>
      <c r="H1860" s="217">
        <v>5.3700999999999999</v>
      </c>
    </row>
    <row r="1861" spans="2:8">
      <c r="B1861" s="217" t="str">
        <f t="shared" si="147"/>
        <v>1Q</v>
      </c>
      <c r="C1861" s="217">
        <f t="shared" si="151"/>
        <v>2</v>
      </c>
      <c r="D1861" s="217" t="str">
        <f t="shared" si="148"/>
        <v>21</v>
      </c>
      <c r="E1861">
        <f t="shared" si="149"/>
        <v>2021</v>
      </c>
      <c r="F1861" s="217" t="str">
        <f t="shared" si="150"/>
        <v>1Q21</v>
      </c>
      <c r="G1861" s="218">
        <v>44242</v>
      </c>
      <c r="H1861" s="217">
        <v>5.3700999999999999</v>
      </c>
    </row>
    <row r="1862" spans="2:8">
      <c r="B1862" s="217" t="str">
        <f t="shared" si="147"/>
        <v>1Q</v>
      </c>
      <c r="C1862" s="217">
        <f t="shared" si="151"/>
        <v>2</v>
      </c>
      <c r="D1862" s="217" t="str">
        <f t="shared" si="148"/>
        <v>21</v>
      </c>
      <c r="E1862">
        <f t="shared" si="149"/>
        <v>2021</v>
      </c>
      <c r="F1862" s="217" t="str">
        <f t="shared" si="150"/>
        <v>1Q21</v>
      </c>
      <c r="G1862" s="218">
        <v>44243</v>
      </c>
      <c r="H1862" s="217">
        <v>5.3708</v>
      </c>
    </row>
    <row r="1863" spans="2:8">
      <c r="B1863" s="217" t="str">
        <f t="shared" si="147"/>
        <v>1Q</v>
      </c>
      <c r="C1863" s="217">
        <f t="shared" si="151"/>
        <v>2</v>
      </c>
      <c r="D1863" s="217" t="str">
        <f t="shared" si="148"/>
        <v>21</v>
      </c>
      <c r="E1863">
        <f t="shared" si="149"/>
        <v>2021</v>
      </c>
      <c r="F1863" s="217" t="str">
        <f t="shared" si="150"/>
        <v>1Q21</v>
      </c>
      <c r="G1863" s="218">
        <v>44244</v>
      </c>
      <c r="H1863" s="217">
        <v>5.4108000000000001</v>
      </c>
    </row>
    <row r="1864" spans="2:8">
      <c r="B1864" s="217" t="str">
        <f t="shared" si="147"/>
        <v>1Q</v>
      </c>
      <c r="C1864" s="217">
        <f t="shared" si="151"/>
        <v>2</v>
      </c>
      <c r="D1864" s="217" t="str">
        <f t="shared" si="148"/>
        <v>21</v>
      </c>
      <c r="E1864">
        <f t="shared" si="149"/>
        <v>2021</v>
      </c>
      <c r="F1864" s="217" t="str">
        <f t="shared" si="150"/>
        <v>1Q21</v>
      </c>
      <c r="G1864" s="218">
        <v>44245</v>
      </c>
      <c r="H1864" s="217">
        <v>5.4272</v>
      </c>
    </row>
    <row r="1865" spans="2:8">
      <c r="B1865" s="217" t="str">
        <f t="shared" si="147"/>
        <v>1Q</v>
      </c>
      <c r="C1865" s="217">
        <f t="shared" si="151"/>
        <v>2</v>
      </c>
      <c r="D1865" s="217" t="str">
        <f t="shared" si="148"/>
        <v>21</v>
      </c>
      <c r="E1865">
        <f t="shared" si="149"/>
        <v>2021</v>
      </c>
      <c r="F1865" s="217" t="str">
        <f t="shared" si="150"/>
        <v>1Q21</v>
      </c>
      <c r="G1865" s="218">
        <v>44246</v>
      </c>
      <c r="H1865" s="217">
        <v>5.3826000000000001</v>
      </c>
    </row>
    <row r="1866" spans="2:8">
      <c r="B1866" s="217" t="str">
        <f t="shared" si="147"/>
        <v>1Q</v>
      </c>
      <c r="C1866" s="217">
        <f t="shared" si="151"/>
        <v>2</v>
      </c>
      <c r="D1866" s="217" t="str">
        <f t="shared" si="148"/>
        <v>21</v>
      </c>
      <c r="E1866">
        <f t="shared" si="149"/>
        <v>2021</v>
      </c>
      <c r="F1866" s="217" t="str">
        <f t="shared" si="150"/>
        <v>1Q21</v>
      </c>
      <c r="G1866" s="218">
        <v>44249</v>
      </c>
      <c r="H1866" s="217">
        <v>5.4664000000000001</v>
      </c>
    </row>
    <row r="1867" spans="2:8">
      <c r="B1867" s="217" t="str">
        <f t="shared" si="147"/>
        <v>1Q</v>
      </c>
      <c r="C1867" s="217">
        <f t="shared" si="151"/>
        <v>2</v>
      </c>
      <c r="D1867" s="217" t="str">
        <f t="shared" si="148"/>
        <v>21</v>
      </c>
      <c r="E1867">
        <f t="shared" si="149"/>
        <v>2021</v>
      </c>
      <c r="F1867" s="217" t="str">
        <f t="shared" si="150"/>
        <v>1Q21</v>
      </c>
      <c r="G1867" s="218">
        <v>44250</v>
      </c>
      <c r="H1867" s="217">
        <v>5.4412000000000003</v>
      </c>
    </row>
    <row r="1868" spans="2:8">
      <c r="B1868" s="217" t="str">
        <f t="shared" si="147"/>
        <v>1Q</v>
      </c>
      <c r="C1868" s="217">
        <f t="shared" si="151"/>
        <v>2</v>
      </c>
      <c r="D1868" s="217" t="str">
        <f t="shared" si="148"/>
        <v>21</v>
      </c>
      <c r="E1868">
        <f t="shared" si="149"/>
        <v>2021</v>
      </c>
      <c r="F1868" s="217" t="str">
        <f t="shared" si="150"/>
        <v>1Q21</v>
      </c>
      <c r="G1868" s="218">
        <v>44251</v>
      </c>
      <c r="H1868" s="217">
        <v>5.4063999999999997</v>
      </c>
    </row>
    <row r="1869" spans="2:8">
      <c r="B1869" s="217" t="str">
        <f t="shared" si="147"/>
        <v>1Q</v>
      </c>
      <c r="C1869" s="217">
        <f t="shared" si="151"/>
        <v>2</v>
      </c>
      <c r="D1869" s="217" t="str">
        <f t="shared" si="148"/>
        <v>21</v>
      </c>
      <c r="E1869">
        <f t="shared" si="149"/>
        <v>2021</v>
      </c>
      <c r="F1869" s="217" t="str">
        <f t="shared" si="150"/>
        <v>1Q21</v>
      </c>
      <c r="G1869" s="218">
        <v>44252</v>
      </c>
      <c r="H1869" s="217">
        <v>5.5311000000000003</v>
      </c>
    </row>
    <row r="1870" spans="2:8">
      <c r="B1870" s="217" t="str">
        <f t="shared" si="147"/>
        <v>1Q</v>
      </c>
      <c r="C1870" s="217">
        <f t="shared" si="151"/>
        <v>2</v>
      </c>
      <c r="D1870" s="217" t="str">
        <f t="shared" si="148"/>
        <v>21</v>
      </c>
      <c r="E1870">
        <f t="shared" si="149"/>
        <v>2021</v>
      </c>
      <c r="F1870" s="217" t="str">
        <f t="shared" si="150"/>
        <v>1Q21</v>
      </c>
      <c r="G1870" s="218">
        <v>44253</v>
      </c>
      <c r="H1870" s="217">
        <v>5.5989000000000004</v>
      </c>
    </row>
    <row r="1871" spans="2:8">
      <c r="B1871" s="217" t="str">
        <f t="shared" si="147"/>
        <v>1Q</v>
      </c>
      <c r="C1871" s="217">
        <f t="shared" si="151"/>
        <v>3</v>
      </c>
      <c r="D1871" s="217" t="str">
        <f t="shared" si="148"/>
        <v>21</v>
      </c>
      <c r="E1871">
        <f t="shared" si="149"/>
        <v>2021</v>
      </c>
      <c r="F1871" s="217" t="str">
        <f t="shared" si="150"/>
        <v>1Q21</v>
      </c>
      <c r="G1871" s="218">
        <v>44256</v>
      </c>
      <c r="H1871" s="217">
        <v>5.6421000000000001</v>
      </c>
    </row>
    <row r="1872" spans="2:8">
      <c r="B1872" s="217" t="str">
        <f t="shared" si="147"/>
        <v>1Q</v>
      </c>
      <c r="C1872" s="217">
        <f t="shared" si="151"/>
        <v>3</v>
      </c>
      <c r="D1872" s="217" t="str">
        <f t="shared" si="148"/>
        <v>21</v>
      </c>
      <c r="E1872">
        <f t="shared" si="149"/>
        <v>2021</v>
      </c>
      <c r="F1872" s="217" t="str">
        <f t="shared" si="150"/>
        <v>1Q21</v>
      </c>
      <c r="G1872" s="218">
        <v>44257</v>
      </c>
      <c r="H1872" s="217">
        <v>5.6763000000000003</v>
      </c>
    </row>
    <row r="1873" spans="2:8">
      <c r="B1873" s="217" t="str">
        <f t="shared" si="147"/>
        <v>1Q</v>
      </c>
      <c r="C1873" s="217">
        <f t="shared" si="151"/>
        <v>3</v>
      </c>
      <c r="D1873" s="217" t="str">
        <f t="shared" si="148"/>
        <v>21</v>
      </c>
      <c r="E1873">
        <f t="shared" si="149"/>
        <v>2021</v>
      </c>
      <c r="F1873" s="217" t="str">
        <f t="shared" si="150"/>
        <v>1Q21</v>
      </c>
      <c r="G1873" s="218">
        <v>44258</v>
      </c>
      <c r="H1873" s="217">
        <v>5.6196999999999999</v>
      </c>
    </row>
    <row r="1874" spans="2:8">
      <c r="B1874" s="217" t="str">
        <f t="shared" si="147"/>
        <v>1Q</v>
      </c>
      <c r="C1874" s="217">
        <f t="shared" si="151"/>
        <v>3</v>
      </c>
      <c r="D1874" s="217" t="str">
        <f t="shared" si="148"/>
        <v>21</v>
      </c>
      <c r="E1874">
        <f t="shared" si="149"/>
        <v>2021</v>
      </c>
      <c r="F1874" s="217" t="str">
        <f t="shared" si="150"/>
        <v>1Q21</v>
      </c>
      <c r="G1874" s="218">
        <v>44259</v>
      </c>
      <c r="H1874" s="217">
        <v>5.6696999999999997</v>
      </c>
    </row>
    <row r="1875" spans="2:8">
      <c r="B1875" s="217" t="str">
        <f t="shared" si="147"/>
        <v>1Q</v>
      </c>
      <c r="C1875" s="217">
        <f t="shared" si="151"/>
        <v>3</v>
      </c>
      <c r="D1875" s="217" t="str">
        <f t="shared" si="148"/>
        <v>21</v>
      </c>
      <c r="E1875">
        <f t="shared" si="149"/>
        <v>2021</v>
      </c>
      <c r="F1875" s="217" t="str">
        <f t="shared" si="150"/>
        <v>1Q21</v>
      </c>
      <c r="G1875" s="218">
        <v>44260</v>
      </c>
      <c r="H1875" s="217">
        <v>5.6910999999999996</v>
      </c>
    </row>
    <row r="1876" spans="2:8">
      <c r="B1876" s="217" t="str">
        <f t="shared" si="147"/>
        <v>1Q</v>
      </c>
      <c r="C1876" s="217">
        <f t="shared" si="151"/>
        <v>3</v>
      </c>
      <c r="D1876" s="217" t="str">
        <f t="shared" si="148"/>
        <v>21</v>
      </c>
      <c r="E1876">
        <f t="shared" si="149"/>
        <v>2021</v>
      </c>
      <c r="F1876" s="217" t="str">
        <f t="shared" si="150"/>
        <v>1Q21</v>
      </c>
      <c r="G1876" s="218">
        <v>44263</v>
      </c>
      <c r="H1876" s="217">
        <v>5.8757999999999999</v>
      </c>
    </row>
    <row r="1877" spans="2:8">
      <c r="B1877" s="217" t="str">
        <f t="shared" si="147"/>
        <v>1Q</v>
      </c>
      <c r="C1877" s="217">
        <f t="shared" si="151"/>
        <v>3</v>
      </c>
      <c r="D1877" s="217" t="str">
        <f t="shared" si="148"/>
        <v>21</v>
      </c>
      <c r="E1877">
        <f t="shared" si="149"/>
        <v>2021</v>
      </c>
      <c r="F1877" s="217" t="str">
        <f t="shared" si="150"/>
        <v>1Q21</v>
      </c>
      <c r="G1877" s="218">
        <v>44264</v>
      </c>
      <c r="H1877" s="217">
        <v>5.8029000000000002</v>
      </c>
    </row>
    <row r="1878" spans="2:8">
      <c r="B1878" s="217" t="str">
        <f t="shared" si="147"/>
        <v>1Q</v>
      </c>
      <c r="C1878" s="217">
        <f t="shared" si="151"/>
        <v>3</v>
      </c>
      <c r="D1878" s="217" t="str">
        <f t="shared" si="148"/>
        <v>21</v>
      </c>
      <c r="E1878">
        <f t="shared" si="149"/>
        <v>2021</v>
      </c>
      <c r="F1878" s="217" t="str">
        <f t="shared" si="150"/>
        <v>1Q21</v>
      </c>
      <c r="G1878" s="218">
        <v>44265</v>
      </c>
      <c r="H1878" s="217">
        <v>5.6722999999999999</v>
      </c>
    </row>
    <row r="1879" spans="2:8">
      <c r="B1879" s="217" t="str">
        <f t="shared" si="147"/>
        <v>1Q</v>
      </c>
      <c r="C1879" s="217">
        <f t="shared" si="151"/>
        <v>3</v>
      </c>
      <c r="D1879" s="217" t="str">
        <f t="shared" si="148"/>
        <v>21</v>
      </c>
      <c r="E1879">
        <f t="shared" si="149"/>
        <v>2021</v>
      </c>
      <c r="F1879" s="217" t="str">
        <f t="shared" si="150"/>
        <v>1Q21</v>
      </c>
      <c r="G1879" s="218">
        <v>44266</v>
      </c>
      <c r="H1879" s="217">
        <v>5.5362</v>
      </c>
    </row>
    <row r="1880" spans="2:8">
      <c r="B1880" s="217" t="str">
        <f t="shared" si="147"/>
        <v>1Q</v>
      </c>
      <c r="C1880" s="217">
        <f t="shared" si="151"/>
        <v>3</v>
      </c>
      <c r="D1880" s="217" t="str">
        <f t="shared" si="148"/>
        <v>21</v>
      </c>
      <c r="E1880">
        <f t="shared" si="149"/>
        <v>2021</v>
      </c>
      <c r="F1880" s="217" t="str">
        <f t="shared" si="150"/>
        <v>1Q21</v>
      </c>
      <c r="G1880" s="218">
        <v>44267</v>
      </c>
      <c r="H1880" s="217">
        <v>5.5519999999999996</v>
      </c>
    </row>
    <row r="1881" spans="2:8">
      <c r="B1881" s="217" t="str">
        <f t="shared" si="147"/>
        <v>1Q</v>
      </c>
      <c r="C1881" s="217">
        <f t="shared" si="151"/>
        <v>3</v>
      </c>
      <c r="D1881" s="217" t="str">
        <f t="shared" si="148"/>
        <v>21</v>
      </c>
      <c r="E1881">
        <f t="shared" si="149"/>
        <v>2021</v>
      </c>
      <c r="F1881" s="217" t="str">
        <f t="shared" si="150"/>
        <v>1Q21</v>
      </c>
      <c r="G1881" s="218">
        <v>44270</v>
      </c>
      <c r="H1881" s="217">
        <v>5.6162000000000001</v>
      </c>
    </row>
    <row r="1882" spans="2:8">
      <c r="B1882" s="217" t="str">
        <f t="shared" si="147"/>
        <v>1Q</v>
      </c>
      <c r="C1882" s="217">
        <f t="shared" si="151"/>
        <v>3</v>
      </c>
      <c r="D1882" s="217" t="str">
        <f t="shared" si="148"/>
        <v>21</v>
      </c>
      <c r="E1882">
        <f t="shared" si="149"/>
        <v>2021</v>
      </c>
      <c r="F1882" s="217" t="str">
        <f t="shared" si="150"/>
        <v>1Q21</v>
      </c>
      <c r="G1882" s="218">
        <v>44271</v>
      </c>
      <c r="H1882" s="217">
        <v>5.6250999999999998</v>
      </c>
    </row>
    <row r="1883" spans="2:8">
      <c r="B1883" s="217" t="str">
        <f t="shared" si="147"/>
        <v>1Q</v>
      </c>
      <c r="C1883" s="217">
        <f t="shared" si="151"/>
        <v>3</v>
      </c>
      <c r="D1883" s="217" t="str">
        <f t="shared" si="148"/>
        <v>21</v>
      </c>
      <c r="E1883">
        <f t="shared" si="149"/>
        <v>2021</v>
      </c>
      <c r="F1883" s="217" t="str">
        <f t="shared" si="150"/>
        <v>1Q21</v>
      </c>
      <c r="G1883" s="218">
        <v>44272</v>
      </c>
      <c r="H1883" s="217">
        <v>5.5846999999999998</v>
      </c>
    </row>
    <row r="1884" spans="2:8">
      <c r="B1884" s="217" t="str">
        <f t="shared" si="147"/>
        <v>1Q</v>
      </c>
      <c r="C1884" s="217">
        <f t="shared" si="151"/>
        <v>3</v>
      </c>
      <c r="D1884" s="217" t="str">
        <f t="shared" si="148"/>
        <v>21</v>
      </c>
      <c r="E1884">
        <f t="shared" si="149"/>
        <v>2021</v>
      </c>
      <c r="F1884" s="217" t="str">
        <f t="shared" si="150"/>
        <v>1Q21</v>
      </c>
      <c r="G1884" s="218">
        <v>44273</v>
      </c>
      <c r="H1884" s="217">
        <v>5.5616000000000003</v>
      </c>
    </row>
    <row r="1885" spans="2:8">
      <c r="B1885" s="217" t="str">
        <f t="shared" si="147"/>
        <v>1Q</v>
      </c>
      <c r="C1885" s="217">
        <f t="shared" si="151"/>
        <v>3</v>
      </c>
      <c r="D1885" s="217" t="str">
        <f t="shared" si="148"/>
        <v>21</v>
      </c>
      <c r="E1885">
        <f t="shared" si="149"/>
        <v>2021</v>
      </c>
      <c r="F1885" s="217" t="str">
        <f t="shared" si="150"/>
        <v>1Q21</v>
      </c>
      <c r="G1885" s="218">
        <v>44274</v>
      </c>
      <c r="H1885" s="217">
        <v>5.4927999999999999</v>
      </c>
    </row>
    <row r="1886" spans="2:8">
      <c r="B1886" s="217" t="str">
        <f t="shared" si="147"/>
        <v>1Q</v>
      </c>
      <c r="C1886" s="217">
        <f t="shared" si="151"/>
        <v>3</v>
      </c>
      <c r="D1886" s="217" t="str">
        <f t="shared" si="148"/>
        <v>21</v>
      </c>
      <c r="E1886">
        <f t="shared" si="149"/>
        <v>2021</v>
      </c>
      <c r="F1886" s="217" t="str">
        <f t="shared" si="150"/>
        <v>1Q21</v>
      </c>
      <c r="G1886" s="218">
        <v>44277</v>
      </c>
      <c r="H1886" s="217">
        <v>5.5061999999999998</v>
      </c>
    </row>
    <row r="1887" spans="2:8">
      <c r="B1887" s="217" t="str">
        <f t="shared" si="147"/>
        <v>1Q</v>
      </c>
      <c r="C1887" s="217">
        <f t="shared" si="151"/>
        <v>3</v>
      </c>
      <c r="D1887" s="217" t="str">
        <f t="shared" si="148"/>
        <v>21</v>
      </c>
      <c r="E1887">
        <f t="shared" si="149"/>
        <v>2021</v>
      </c>
      <c r="F1887" s="217" t="str">
        <f t="shared" si="150"/>
        <v>1Q21</v>
      </c>
      <c r="G1887" s="218">
        <v>44278</v>
      </c>
      <c r="H1887" s="217">
        <v>5.5228999999999999</v>
      </c>
    </row>
    <row r="1888" spans="2:8">
      <c r="B1888" s="217" t="str">
        <f t="shared" si="147"/>
        <v>1Q</v>
      </c>
      <c r="C1888" s="217">
        <f t="shared" si="151"/>
        <v>3</v>
      </c>
      <c r="D1888" s="217" t="str">
        <f t="shared" si="148"/>
        <v>21</v>
      </c>
      <c r="E1888">
        <f t="shared" si="149"/>
        <v>2021</v>
      </c>
      <c r="F1888" s="217" t="str">
        <f t="shared" si="150"/>
        <v>1Q21</v>
      </c>
      <c r="G1888" s="218">
        <v>44279</v>
      </c>
      <c r="H1888" s="217">
        <v>5.6212</v>
      </c>
    </row>
    <row r="1889" spans="2:8">
      <c r="B1889" s="217" t="str">
        <f t="shared" si="147"/>
        <v>1Q</v>
      </c>
      <c r="C1889" s="217">
        <f t="shared" si="151"/>
        <v>3</v>
      </c>
      <c r="D1889" s="217" t="str">
        <f t="shared" si="148"/>
        <v>21</v>
      </c>
      <c r="E1889">
        <f t="shared" si="149"/>
        <v>2021</v>
      </c>
      <c r="F1889" s="217" t="str">
        <f t="shared" si="150"/>
        <v>1Q21</v>
      </c>
      <c r="G1889" s="218">
        <v>44280</v>
      </c>
      <c r="H1889" s="217">
        <v>5.6478000000000002</v>
      </c>
    </row>
    <row r="1890" spans="2:8">
      <c r="B1890" s="217" t="str">
        <f t="shared" si="147"/>
        <v>1Q</v>
      </c>
      <c r="C1890" s="217">
        <f t="shared" si="151"/>
        <v>3</v>
      </c>
      <c r="D1890" s="217" t="str">
        <f t="shared" si="148"/>
        <v>21</v>
      </c>
      <c r="E1890">
        <f t="shared" si="149"/>
        <v>2021</v>
      </c>
      <c r="F1890" s="217" t="str">
        <f t="shared" si="150"/>
        <v>1Q21</v>
      </c>
      <c r="G1890" s="218">
        <v>44281</v>
      </c>
      <c r="H1890" s="217">
        <v>5.7568999999999999</v>
      </c>
    </row>
    <row r="1891" spans="2:8">
      <c r="B1891" s="217" t="str">
        <f t="shared" si="147"/>
        <v>1Q</v>
      </c>
      <c r="C1891" s="217">
        <f t="shared" si="151"/>
        <v>3</v>
      </c>
      <c r="D1891" s="217" t="str">
        <f t="shared" si="148"/>
        <v>21</v>
      </c>
      <c r="E1891">
        <f t="shared" si="149"/>
        <v>2021</v>
      </c>
      <c r="F1891" s="217" t="str">
        <f t="shared" si="150"/>
        <v>1Q21</v>
      </c>
      <c r="G1891" s="218">
        <v>44284</v>
      </c>
      <c r="H1891" s="217">
        <v>5.7813999999999997</v>
      </c>
    </row>
    <row r="1892" spans="2:8">
      <c r="B1892" s="217" t="str">
        <f t="shared" si="147"/>
        <v>1Q</v>
      </c>
      <c r="C1892" s="217">
        <f t="shared" si="151"/>
        <v>3</v>
      </c>
      <c r="D1892" s="217" t="str">
        <f t="shared" si="148"/>
        <v>21</v>
      </c>
      <c r="E1892">
        <f t="shared" si="149"/>
        <v>2021</v>
      </c>
      <c r="F1892" s="217" t="str">
        <f t="shared" si="150"/>
        <v>1Q21</v>
      </c>
      <c r="G1892" s="218">
        <v>44285</v>
      </c>
      <c r="H1892" s="217">
        <v>5.7755000000000001</v>
      </c>
    </row>
    <row r="1893" spans="2:8">
      <c r="B1893" s="217" t="str">
        <f t="shared" si="147"/>
        <v>1Q</v>
      </c>
      <c r="C1893" s="217">
        <f t="shared" si="151"/>
        <v>3</v>
      </c>
      <c r="D1893" s="217" t="str">
        <f t="shared" si="148"/>
        <v>21</v>
      </c>
      <c r="E1893">
        <f t="shared" si="149"/>
        <v>2021</v>
      </c>
      <c r="F1893" s="217" t="str">
        <f t="shared" si="150"/>
        <v>1Q21</v>
      </c>
      <c r="G1893" s="218">
        <v>44286</v>
      </c>
      <c r="H1893" s="217">
        <v>5.6333000000000002</v>
      </c>
    </row>
    <row r="1894" spans="2:8">
      <c r="B1894" s="217" t="str">
        <f t="shared" si="147"/>
        <v>2Q</v>
      </c>
      <c r="C1894" s="217">
        <f t="shared" si="151"/>
        <v>4</v>
      </c>
      <c r="D1894" s="217" t="str">
        <f t="shared" si="148"/>
        <v>21</v>
      </c>
      <c r="E1894">
        <f t="shared" si="149"/>
        <v>2021</v>
      </c>
      <c r="F1894" s="217" t="str">
        <f t="shared" si="150"/>
        <v>2Q21</v>
      </c>
      <c r="G1894" s="218">
        <v>44287</v>
      </c>
      <c r="H1894" s="217">
        <v>5.7088000000000001</v>
      </c>
    </row>
    <row r="1895" spans="2:8">
      <c r="B1895" s="217" t="str">
        <f t="shared" si="147"/>
        <v>2Q</v>
      </c>
      <c r="C1895" s="217">
        <f t="shared" si="151"/>
        <v>4</v>
      </c>
      <c r="D1895" s="217" t="str">
        <f t="shared" si="148"/>
        <v>21</v>
      </c>
      <c r="E1895">
        <f t="shared" si="149"/>
        <v>2021</v>
      </c>
      <c r="F1895" s="217" t="str">
        <f t="shared" si="150"/>
        <v>2Q21</v>
      </c>
      <c r="G1895" s="218">
        <v>44288</v>
      </c>
      <c r="H1895" s="217">
        <v>5.7080000000000002</v>
      </c>
    </row>
    <row r="1896" spans="2:8">
      <c r="B1896" s="217" t="str">
        <f t="shared" si="147"/>
        <v>2Q</v>
      </c>
      <c r="C1896" s="217">
        <f t="shared" si="151"/>
        <v>4</v>
      </c>
      <c r="D1896" s="217" t="str">
        <f t="shared" si="148"/>
        <v>21</v>
      </c>
      <c r="E1896">
        <f t="shared" si="149"/>
        <v>2021</v>
      </c>
      <c r="F1896" s="217" t="str">
        <f t="shared" si="150"/>
        <v>2Q21</v>
      </c>
      <c r="G1896" s="218">
        <v>44291</v>
      </c>
      <c r="H1896" s="217">
        <v>5.6638999999999999</v>
      </c>
    </row>
    <row r="1897" spans="2:8">
      <c r="B1897" s="217" t="str">
        <f t="shared" si="147"/>
        <v>2Q</v>
      </c>
      <c r="C1897" s="217">
        <f t="shared" si="151"/>
        <v>4</v>
      </c>
      <c r="D1897" s="217" t="str">
        <f t="shared" si="148"/>
        <v>21</v>
      </c>
      <c r="E1897">
        <f t="shared" si="149"/>
        <v>2021</v>
      </c>
      <c r="F1897" s="217" t="str">
        <f t="shared" si="150"/>
        <v>2Q21</v>
      </c>
      <c r="G1897" s="218">
        <v>44292</v>
      </c>
      <c r="H1897" s="217">
        <v>5.5914000000000001</v>
      </c>
    </row>
    <row r="1898" spans="2:8">
      <c r="B1898" s="217" t="str">
        <f t="shared" si="147"/>
        <v>2Q</v>
      </c>
      <c r="C1898" s="217">
        <f t="shared" si="151"/>
        <v>4</v>
      </c>
      <c r="D1898" s="217" t="str">
        <f t="shared" si="148"/>
        <v>21</v>
      </c>
      <c r="E1898">
        <f t="shared" si="149"/>
        <v>2021</v>
      </c>
      <c r="F1898" s="217" t="str">
        <f t="shared" si="150"/>
        <v>2Q21</v>
      </c>
      <c r="G1898" s="218">
        <v>44293</v>
      </c>
      <c r="H1898" s="217">
        <v>5.6144999999999996</v>
      </c>
    </row>
    <row r="1899" spans="2:8">
      <c r="B1899" s="217" t="str">
        <f t="shared" si="147"/>
        <v>2Q</v>
      </c>
      <c r="C1899" s="217">
        <f t="shared" si="151"/>
        <v>4</v>
      </c>
      <c r="D1899" s="217" t="str">
        <f t="shared" si="148"/>
        <v>21</v>
      </c>
      <c r="E1899">
        <f t="shared" si="149"/>
        <v>2021</v>
      </c>
      <c r="F1899" s="217" t="str">
        <f t="shared" si="150"/>
        <v>2Q21</v>
      </c>
      <c r="G1899" s="218">
        <v>44294</v>
      </c>
      <c r="H1899" s="217">
        <v>5.5735000000000001</v>
      </c>
    </row>
    <row r="1900" spans="2:8">
      <c r="B1900" s="217" t="str">
        <f t="shared" si="147"/>
        <v>2Q</v>
      </c>
      <c r="C1900" s="217">
        <f t="shared" si="151"/>
        <v>4</v>
      </c>
      <c r="D1900" s="217" t="str">
        <f t="shared" si="148"/>
        <v>21</v>
      </c>
      <c r="E1900">
        <f t="shared" si="149"/>
        <v>2021</v>
      </c>
      <c r="F1900" s="217" t="str">
        <f t="shared" si="150"/>
        <v>2Q21</v>
      </c>
      <c r="G1900" s="218">
        <v>44295</v>
      </c>
      <c r="H1900" s="217">
        <v>5.6829000000000001</v>
      </c>
    </row>
    <row r="1901" spans="2:8">
      <c r="B1901" s="217" t="str">
        <f t="shared" si="147"/>
        <v>2Q</v>
      </c>
      <c r="C1901" s="217">
        <f t="shared" si="151"/>
        <v>4</v>
      </c>
      <c r="D1901" s="217" t="str">
        <f t="shared" si="148"/>
        <v>21</v>
      </c>
      <c r="E1901">
        <f t="shared" si="149"/>
        <v>2021</v>
      </c>
      <c r="F1901" s="217" t="str">
        <f t="shared" si="150"/>
        <v>2Q21</v>
      </c>
      <c r="G1901" s="218">
        <v>44298</v>
      </c>
      <c r="H1901" s="217">
        <v>5.7335000000000003</v>
      </c>
    </row>
    <row r="1902" spans="2:8">
      <c r="B1902" s="217" t="str">
        <f t="shared" si="147"/>
        <v>2Q</v>
      </c>
      <c r="C1902" s="217">
        <f t="shared" si="151"/>
        <v>4</v>
      </c>
      <c r="D1902" s="217" t="str">
        <f t="shared" si="148"/>
        <v>21</v>
      </c>
      <c r="E1902">
        <f t="shared" si="149"/>
        <v>2021</v>
      </c>
      <c r="F1902" s="217" t="str">
        <f t="shared" si="150"/>
        <v>2Q21</v>
      </c>
      <c r="G1902" s="218">
        <v>44299</v>
      </c>
      <c r="H1902" s="217">
        <v>5.7175000000000002</v>
      </c>
    </row>
    <row r="1903" spans="2:8">
      <c r="B1903" s="217" t="str">
        <f t="shared" si="147"/>
        <v>2Q</v>
      </c>
      <c r="C1903" s="217">
        <f t="shared" si="151"/>
        <v>4</v>
      </c>
      <c r="D1903" s="217" t="str">
        <f t="shared" si="148"/>
        <v>21</v>
      </c>
      <c r="E1903">
        <f t="shared" si="149"/>
        <v>2021</v>
      </c>
      <c r="F1903" s="217" t="str">
        <f t="shared" si="150"/>
        <v>2Q21</v>
      </c>
      <c r="G1903" s="218">
        <v>44300</v>
      </c>
      <c r="H1903" s="217">
        <v>5.6543000000000001</v>
      </c>
    </row>
    <row r="1904" spans="2:8">
      <c r="B1904" s="217" t="str">
        <f t="shared" si="147"/>
        <v>2Q</v>
      </c>
      <c r="C1904" s="217">
        <f t="shared" si="151"/>
        <v>4</v>
      </c>
      <c r="D1904" s="217" t="str">
        <f t="shared" si="148"/>
        <v>21</v>
      </c>
      <c r="E1904">
        <f t="shared" si="149"/>
        <v>2021</v>
      </c>
      <c r="F1904" s="217" t="str">
        <f t="shared" si="150"/>
        <v>2Q21</v>
      </c>
      <c r="G1904" s="218">
        <v>44301</v>
      </c>
      <c r="H1904" s="217">
        <v>5.6165000000000003</v>
      </c>
    </row>
    <row r="1905" spans="2:8">
      <c r="B1905" s="217" t="str">
        <f t="shared" si="147"/>
        <v>2Q</v>
      </c>
      <c r="C1905" s="217">
        <f t="shared" si="151"/>
        <v>4</v>
      </c>
      <c r="D1905" s="217" t="str">
        <f t="shared" si="148"/>
        <v>21</v>
      </c>
      <c r="E1905">
        <f t="shared" si="149"/>
        <v>2021</v>
      </c>
      <c r="F1905" s="217" t="str">
        <f t="shared" si="150"/>
        <v>2Q21</v>
      </c>
      <c r="G1905" s="218">
        <v>44302</v>
      </c>
      <c r="H1905" s="217">
        <v>5.5888</v>
      </c>
    </row>
    <row r="1906" spans="2:8">
      <c r="B1906" s="217" t="str">
        <f t="shared" si="147"/>
        <v>2Q</v>
      </c>
      <c r="C1906" s="217">
        <f t="shared" si="151"/>
        <v>4</v>
      </c>
      <c r="D1906" s="217" t="str">
        <f t="shared" si="148"/>
        <v>21</v>
      </c>
      <c r="E1906">
        <f t="shared" si="149"/>
        <v>2021</v>
      </c>
      <c r="F1906" s="217" t="str">
        <f t="shared" si="150"/>
        <v>2Q21</v>
      </c>
      <c r="G1906" s="218">
        <v>44305</v>
      </c>
      <c r="H1906" s="217">
        <v>5.5469999999999997</v>
      </c>
    </row>
    <row r="1907" spans="2:8">
      <c r="B1907" s="217" t="str">
        <f t="shared" si="147"/>
        <v>2Q</v>
      </c>
      <c r="C1907" s="217">
        <f t="shared" si="151"/>
        <v>4</v>
      </c>
      <c r="D1907" s="217" t="str">
        <f t="shared" si="148"/>
        <v>21</v>
      </c>
      <c r="E1907">
        <f t="shared" si="149"/>
        <v>2021</v>
      </c>
      <c r="F1907" s="217" t="str">
        <f t="shared" si="150"/>
        <v>2Q21</v>
      </c>
      <c r="G1907" s="218">
        <v>44306</v>
      </c>
      <c r="H1907" s="217">
        <v>5.5697000000000001</v>
      </c>
    </row>
    <row r="1908" spans="2:8">
      <c r="B1908" s="217" t="str">
        <f t="shared" si="147"/>
        <v>2Q</v>
      </c>
      <c r="C1908" s="217">
        <f t="shared" si="151"/>
        <v>4</v>
      </c>
      <c r="D1908" s="217" t="str">
        <f t="shared" si="148"/>
        <v>21</v>
      </c>
      <c r="E1908">
        <f t="shared" si="149"/>
        <v>2021</v>
      </c>
      <c r="F1908" s="217" t="str">
        <f t="shared" si="150"/>
        <v>2Q21</v>
      </c>
      <c r="G1908" s="218">
        <v>44307</v>
      </c>
      <c r="H1908" s="217">
        <v>5.5694999999999997</v>
      </c>
    </row>
    <row r="1909" spans="2:8">
      <c r="B1909" s="217" t="str">
        <f t="shared" si="147"/>
        <v>2Q</v>
      </c>
      <c r="C1909" s="217">
        <f t="shared" si="151"/>
        <v>4</v>
      </c>
      <c r="D1909" s="217" t="str">
        <f t="shared" si="148"/>
        <v>21</v>
      </c>
      <c r="E1909">
        <f t="shared" si="149"/>
        <v>2021</v>
      </c>
      <c r="F1909" s="217" t="str">
        <f t="shared" si="150"/>
        <v>2Q21</v>
      </c>
      <c r="G1909" s="218">
        <v>44308</v>
      </c>
      <c r="H1909" s="217">
        <v>5.4451000000000001</v>
      </c>
    </row>
    <row r="1910" spans="2:8">
      <c r="B1910" s="217" t="str">
        <f t="shared" si="147"/>
        <v>2Q</v>
      </c>
      <c r="C1910" s="217">
        <f t="shared" si="151"/>
        <v>4</v>
      </c>
      <c r="D1910" s="217" t="str">
        <f t="shared" si="148"/>
        <v>21</v>
      </c>
      <c r="E1910">
        <f t="shared" si="149"/>
        <v>2021</v>
      </c>
      <c r="F1910" s="217" t="str">
        <f t="shared" si="150"/>
        <v>2Q21</v>
      </c>
      <c r="G1910" s="218">
        <v>44309</v>
      </c>
      <c r="H1910" s="217">
        <v>5.4763999999999999</v>
      </c>
    </row>
    <row r="1911" spans="2:8">
      <c r="B1911" s="217" t="str">
        <f t="shared" si="147"/>
        <v>2Q</v>
      </c>
      <c r="C1911" s="217">
        <f t="shared" si="151"/>
        <v>4</v>
      </c>
      <c r="D1911" s="217" t="str">
        <f t="shared" si="148"/>
        <v>21</v>
      </c>
      <c r="E1911">
        <f t="shared" si="149"/>
        <v>2021</v>
      </c>
      <c r="F1911" s="217" t="str">
        <f t="shared" si="150"/>
        <v>2Q21</v>
      </c>
      <c r="G1911" s="218">
        <v>44312</v>
      </c>
      <c r="H1911" s="217">
        <v>5.4367000000000001</v>
      </c>
    </row>
    <row r="1912" spans="2:8">
      <c r="B1912" s="217" t="str">
        <f t="shared" si="147"/>
        <v>2Q</v>
      </c>
      <c r="C1912" s="217">
        <f t="shared" si="151"/>
        <v>4</v>
      </c>
      <c r="D1912" s="217" t="str">
        <f t="shared" si="148"/>
        <v>21</v>
      </c>
      <c r="E1912">
        <f t="shared" si="149"/>
        <v>2021</v>
      </c>
      <c r="F1912" s="217" t="str">
        <f t="shared" si="150"/>
        <v>2Q21</v>
      </c>
      <c r="G1912" s="218">
        <v>44313</v>
      </c>
      <c r="H1912" s="217">
        <v>5.4497</v>
      </c>
    </row>
    <row r="1913" spans="2:8">
      <c r="B1913" s="217" t="str">
        <f t="shared" si="147"/>
        <v>2Q</v>
      </c>
      <c r="C1913" s="217">
        <f t="shared" si="151"/>
        <v>4</v>
      </c>
      <c r="D1913" s="217" t="str">
        <f t="shared" si="148"/>
        <v>21</v>
      </c>
      <c r="E1913">
        <f t="shared" si="149"/>
        <v>2021</v>
      </c>
      <c r="F1913" s="217" t="str">
        <f t="shared" si="150"/>
        <v>2Q21</v>
      </c>
      <c r="G1913" s="218">
        <v>44314</v>
      </c>
      <c r="H1913" s="217">
        <v>5.3432000000000004</v>
      </c>
    </row>
    <row r="1914" spans="2:8">
      <c r="B1914" s="217" t="str">
        <f t="shared" si="147"/>
        <v>2Q</v>
      </c>
      <c r="C1914" s="217">
        <f t="shared" si="151"/>
        <v>4</v>
      </c>
      <c r="D1914" s="217" t="str">
        <f t="shared" si="148"/>
        <v>21</v>
      </c>
      <c r="E1914">
        <f t="shared" si="149"/>
        <v>2021</v>
      </c>
      <c r="F1914" s="217" t="str">
        <f t="shared" si="150"/>
        <v>2Q21</v>
      </c>
      <c r="G1914" s="218">
        <v>44315</v>
      </c>
      <c r="H1914" s="217">
        <v>5.3377999999999997</v>
      </c>
    </row>
    <row r="1915" spans="2:8">
      <c r="B1915" s="217" t="str">
        <f t="shared" si="147"/>
        <v>2Q</v>
      </c>
      <c r="C1915" s="217">
        <f t="shared" si="151"/>
        <v>4</v>
      </c>
      <c r="D1915" s="217" t="str">
        <f t="shared" si="148"/>
        <v>21</v>
      </c>
      <c r="E1915">
        <f t="shared" si="149"/>
        <v>2021</v>
      </c>
      <c r="F1915" s="217" t="str">
        <f t="shared" si="150"/>
        <v>2Q21</v>
      </c>
      <c r="G1915" s="218">
        <v>44316</v>
      </c>
      <c r="H1915" s="217">
        <v>5.4367999999999999</v>
      </c>
    </row>
    <row r="1916" spans="2:8">
      <c r="B1916" s="217" t="str">
        <f t="shared" si="147"/>
        <v>2Q</v>
      </c>
      <c r="C1916" s="217">
        <f t="shared" si="151"/>
        <v>5</v>
      </c>
      <c r="D1916" s="217" t="str">
        <f t="shared" si="148"/>
        <v>21</v>
      </c>
      <c r="E1916">
        <f t="shared" si="149"/>
        <v>2021</v>
      </c>
      <c r="F1916" s="217" t="str">
        <f t="shared" si="150"/>
        <v>2Q21</v>
      </c>
      <c r="G1916" s="218">
        <v>44319</v>
      </c>
      <c r="H1916" s="217">
        <v>5.4436</v>
      </c>
    </row>
    <row r="1917" spans="2:8">
      <c r="B1917" s="217" t="str">
        <f t="shared" si="147"/>
        <v>2Q</v>
      </c>
      <c r="C1917" s="217">
        <f t="shared" si="151"/>
        <v>5</v>
      </c>
      <c r="D1917" s="217" t="str">
        <f t="shared" si="148"/>
        <v>21</v>
      </c>
      <c r="E1917">
        <f t="shared" si="149"/>
        <v>2021</v>
      </c>
      <c r="F1917" s="217" t="str">
        <f t="shared" si="150"/>
        <v>2Q21</v>
      </c>
      <c r="G1917" s="218">
        <v>44320</v>
      </c>
      <c r="H1917" s="217">
        <v>5.4444999999999997</v>
      </c>
    </row>
    <row r="1918" spans="2:8">
      <c r="B1918" s="217" t="str">
        <f t="shared" si="147"/>
        <v>2Q</v>
      </c>
      <c r="C1918" s="217">
        <f t="shared" si="151"/>
        <v>5</v>
      </c>
      <c r="D1918" s="217" t="str">
        <f t="shared" si="148"/>
        <v>21</v>
      </c>
      <c r="E1918">
        <f t="shared" si="149"/>
        <v>2021</v>
      </c>
      <c r="F1918" s="217" t="str">
        <f t="shared" si="150"/>
        <v>2Q21</v>
      </c>
      <c r="G1918" s="218">
        <v>44321</v>
      </c>
      <c r="H1918" s="217">
        <v>5.3548999999999998</v>
      </c>
    </row>
    <row r="1919" spans="2:8">
      <c r="B1919" s="217" t="str">
        <f t="shared" si="147"/>
        <v>2Q</v>
      </c>
      <c r="C1919" s="217">
        <f t="shared" si="151"/>
        <v>5</v>
      </c>
      <c r="D1919" s="217" t="str">
        <f t="shared" si="148"/>
        <v>21</v>
      </c>
      <c r="E1919">
        <f t="shared" si="149"/>
        <v>2021</v>
      </c>
      <c r="F1919" s="217" t="str">
        <f t="shared" si="150"/>
        <v>2Q21</v>
      </c>
      <c r="G1919" s="218">
        <v>44322</v>
      </c>
      <c r="H1919" s="217">
        <v>5.2763</v>
      </c>
    </row>
    <row r="1920" spans="2:8">
      <c r="B1920" s="217" t="str">
        <f t="shared" si="147"/>
        <v>2Q</v>
      </c>
      <c r="C1920" s="217">
        <f t="shared" si="151"/>
        <v>5</v>
      </c>
      <c r="D1920" s="217" t="str">
        <f t="shared" si="148"/>
        <v>21</v>
      </c>
      <c r="E1920">
        <f t="shared" si="149"/>
        <v>2021</v>
      </c>
      <c r="F1920" s="217" t="str">
        <f t="shared" si="150"/>
        <v>2Q21</v>
      </c>
      <c r="G1920" s="218">
        <v>44323</v>
      </c>
      <c r="H1920" s="217">
        <v>5.2382999999999997</v>
      </c>
    </row>
    <row r="1921" spans="2:8">
      <c r="B1921" s="217" t="str">
        <f t="shared" si="147"/>
        <v>2Q</v>
      </c>
      <c r="C1921" s="217">
        <f t="shared" si="151"/>
        <v>5</v>
      </c>
      <c r="D1921" s="217" t="str">
        <f t="shared" si="148"/>
        <v>21</v>
      </c>
      <c r="E1921">
        <f t="shared" si="149"/>
        <v>2021</v>
      </c>
      <c r="F1921" s="217" t="str">
        <f t="shared" si="150"/>
        <v>2Q21</v>
      </c>
      <c r="G1921" s="218">
        <v>44326</v>
      </c>
      <c r="H1921" s="217">
        <v>5.2282999999999999</v>
      </c>
    </row>
    <row r="1922" spans="2:8">
      <c r="B1922" s="217" t="str">
        <f t="shared" si="147"/>
        <v>2Q</v>
      </c>
      <c r="C1922" s="217">
        <f t="shared" si="151"/>
        <v>5</v>
      </c>
      <c r="D1922" s="217" t="str">
        <f t="shared" si="148"/>
        <v>21</v>
      </c>
      <c r="E1922">
        <f t="shared" si="149"/>
        <v>2021</v>
      </c>
      <c r="F1922" s="217" t="str">
        <f t="shared" si="150"/>
        <v>2Q21</v>
      </c>
      <c r="G1922" s="218">
        <v>44327</v>
      </c>
      <c r="H1922" s="217">
        <v>5.2217000000000002</v>
      </c>
    </row>
    <row r="1923" spans="2:8">
      <c r="B1923" s="217" t="str">
        <f t="shared" ref="B1923:B1986" si="152">VLOOKUP(C1923,$N$3:$O$14,2,0)</f>
        <v>2Q</v>
      </c>
      <c r="C1923" s="217">
        <f t="shared" si="151"/>
        <v>5</v>
      </c>
      <c r="D1923" s="217" t="str">
        <f t="shared" ref="D1923:D1986" si="153">RIGHT(E1923,2)</f>
        <v>21</v>
      </c>
      <c r="E1923">
        <f t="shared" ref="E1923:E1986" si="154">YEAR(G1923)</f>
        <v>2021</v>
      </c>
      <c r="F1923" s="217" t="str">
        <f t="shared" ref="F1923:F1986" si="155">+B1923&amp;D1923</f>
        <v>2Q21</v>
      </c>
      <c r="G1923" s="218">
        <v>44328</v>
      </c>
      <c r="H1923" s="217">
        <v>5.3070000000000004</v>
      </c>
    </row>
    <row r="1924" spans="2:8">
      <c r="B1924" s="217" t="str">
        <f t="shared" si="152"/>
        <v>2Q</v>
      </c>
      <c r="C1924" s="217">
        <f t="shared" ref="C1924:C1987" si="156">MONTH(G1924)</f>
        <v>5</v>
      </c>
      <c r="D1924" s="217" t="str">
        <f t="shared" si="153"/>
        <v>21</v>
      </c>
      <c r="E1924">
        <f t="shared" si="154"/>
        <v>2021</v>
      </c>
      <c r="F1924" s="217" t="str">
        <f t="shared" si="155"/>
        <v>2Q21</v>
      </c>
      <c r="G1924" s="218">
        <v>44329</v>
      </c>
      <c r="H1924" s="217">
        <v>5.31</v>
      </c>
    </row>
    <row r="1925" spans="2:8">
      <c r="B1925" s="217" t="str">
        <f t="shared" si="152"/>
        <v>2Q</v>
      </c>
      <c r="C1925" s="217">
        <f t="shared" si="156"/>
        <v>5</v>
      </c>
      <c r="D1925" s="217" t="str">
        <f t="shared" si="153"/>
        <v>21</v>
      </c>
      <c r="E1925">
        <f t="shared" si="154"/>
        <v>2021</v>
      </c>
      <c r="F1925" s="217" t="str">
        <f t="shared" si="155"/>
        <v>2Q21</v>
      </c>
      <c r="G1925" s="218">
        <v>44330</v>
      </c>
      <c r="H1925" s="217">
        <v>5.2732000000000001</v>
      </c>
    </row>
    <row r="1926" spans="2:8">
      <c r="B1926" s="217" t="str">
        <f t="shared" si="152"/>
        <v>2Q</v>
      </c>
      <c r="C1926" s="217">
        <f t="shared" si="156"/>
        <v>5</v>
      </c>
      <c r="D1926" s="217" t="str">
        <f t="shared" si="153"/>
        <v>21</v>
      </c>
      <c r="E1926">
        <f t="shared" si="154"/>
        <v>2021</v>
      </c>
      <c r="F1926" s="217" t="str">
        <f t="shared" si="155"/>
        <v>2Q21</v>
      </c>
      <c r="G1926" s="218">
        <v>44333</v>
      </c>
      <c r="H1926" s="217">
        <v>5.2731000000000003</v>
      </c>
    </row>
    <row r="1927" spans="2:8">
      <c r="B1927" s="217" t="str">
        <f t="shared" si="152"/>
        <v>2Q</v>
      </c>
      <c r="C1927" s="217">
        <f t="shared" si="156"/>
        <v>5</v>
      </c>
      <c r="D1927" s="217" t="str">
        <f t="shared" si="153"/>
        <v>21</v>
      </c>
      <c r="E1927">
        <f t="shared" si="154"/>
        <v>2021</v>
      </c>
      <c r="F1927" s="217" t="str">
        <f t="shared" si="155"/>
        <v>2Q21</v>
      </c>
      <c r="G1927" s="218">
        <v>44334</v>
      </c>
      <c r="H1927" s="217">
        <v>5.2607999999999997</v>
      </c>
    </row>
    <row r="1928" spans="2:8">
      <c r="B1928" s="217" t="str">
        <f t="shared" si="152"/>
        <v>2Q</v>
      </c>
      <c r="C1928" s="217">
        <f t="shared" si="156"/>
        <v>5</v>
      </c>
      <c r="D1928" s="217" t="str">
        <f t="shared" si="153"/>
        <v>21</v>
      </c>
      <c r="E1928">
        <f t="shared" si="154"/>
        <v>2021</v>
      </c>
      <c r="F1928" s="217" t="str">
        <f t="shared" si="155"/>
        <v>2Q21</v>
      </c>
      <c r="G1928" s="218">
        <v>44335</v>
      </c>
      <c r="H1928" s="217">
        <v>5.3103999999999996</v>
      </c>
    </row>
    <row r="1929" spans="2:8">
      <c r="B1929" s="217" t="str">
        <f t="shared" si="152"/>
        <v>2Q</v>
      </c>
      <c r="C1929" s="217">
        <f t="shared" si="156"/>
        <v>5</v>
      </c>
      <c r="D1929" s="217" t="str">
        <f t="shared" si="153"/>
        <v>21</v>
      </c>
      <c r="E1929">
        <f t="shared" si="154"/>
        <v>2021</v>
      </c>
      <c r="F1929" s="217" t="str">
        <f t="shared" si="155"/>
        <v>2Q21</v>
      </c>
      <c r="G1929" s="218">
        <v>44336</v>
      </c>
      <c r="H1929" s="217">
        <v>5.2838000000000003</v>
      </c>
    </row>
    <row r="1930" spans="2:8">
      <c r="B1930" s="217" t="str">
        <f t="shared" si="152"/>
        <v>2Q</v>
      </c>
      <c r="C1930" s="217">
        <f t="shared" si="156"/>
        <v>5</v>
      </c>
      <c r="D1930" s="217" t="str">
        <f t="shared" si="153"/>
        <v>21</v>
      </c>
      <c r="E1930">
        <f t="shared" si="154"/>
        <v>2021</v>
      </c>
      <c r="F1930" s="217" t="str">
        <f t="shared" si="155"/>
        <v>2Q21</v>
      </c>
      <c r="G1930" s="218">
        <v>44337</v>
      </c>
      <c r="H1930" s="217">
        <v>5.3632999999999997</v>
      </c>
    </row>
    <row r="1931" spans="2:8">
      <c r="B1931" s="217" t="str">
        <f t="shared" si="152"/>
        <v>2Q</v>
      </c>
      <c r="C1931" s="217">
        <f t="shared" si="156"/>
        <v>5</v>
      </c>
      <c r="D1931" s="217" t="str">
        <f t="shared" si="153"/>
        <v>21</v>
      </c>
      <c r="E1931">
        <f t="shared" si="154"/>
        <v>2021</v>
      </c>
      <c r="F1931" s="217" t="str">
        <f t="shared" si="155"/>
        <v>2Q21</v>
      </c>
      <c r="G1931" s="218">
        <v>44340</v>
      </c>
      <c r="H1931" s="217">
        <v>5.3183999999999996</v>
      </c>
    </row>
    <row r="1932" spans="2:8">
      <c r="B1932" s="217" t="str">
        <f t="shared" si="152"/>
        <v>2Q</v>
      </c>
      <c r="C1932" s="217">
        <f t="shared" si="156"/>
        <v>5</v>
      </c>
      <c r="D1932" s="217" t="str">
        <f t="shared" si="153"/>
        <v>21</v>
      </c>
      <c r="E1932">
        <f t="shared" si="154"/>
        <v>2021</v>
      </c>
      <c r="F1932" s="217" t="str">
        <f t="shared" si="155"/>
        <v>2Q21</v>
      </c>
      <c r="G1932" s="218">
        <v>44341</v>
      </c>
      <c r="H1932" s="217">
        <v>5.3320999999999996</v>
      </c>
    </row>
    <row r="1933" spans="2:8">
      <c r="B1933" s="217" t="str">
        <f t="shared" si="152"/>
        <v>2Q</v>
      </c>
      <c r="C1933" s="217">
        <f t="shared" si="156"/>
        <v>5</v>
      </c>
      <c r="D1933" s="217" t="str">
        <f t="shared" si="153"/>
        <v>21</v>
      </c>
      <c r="E1933">
        <f t="shared" si="154"/>
        <v>2021</v>
      </c>
      <c r="F1933" s="217" t="str">
        <f t="shared" si="155"/>
        <v>2Q21</v>
      </c>
      <c r="G1933" s="218">
        <v>44342</v>
      </c>
      <c r="H1933" s="217">
        <v>5.3124000000000002</v>
      </c>
    </row>
    <row r="1934" spans="2:8">
      <c r="B1934" s="217" t="str">
        <f t="shared" si="152"/>
        <v>2Q</v>
      </c>
      <c r="C1934" s="217">
        <f t="shared" si="156"/>
        <v>5</v>
      </c>
      <c r="D1934" s="217" t="str">
        <f t="shared" si="153"/>
        <v>21</v>
      </c>
      <c r="E1934">
        <f t="shared" si="154"/>
        <v>2021</v>
      </c>
      <c r="F1934" s="217" t="str">
        <f t="shared" si="155"/>
        <v>2Q21</v>
      </c>
      <c r="G1934" s="218">
        <v>44343</v>
      </c>
      <c r="H1934" s="217">
        <v>5.2397999999999998</v>
      </c>
    </row>
    <row r="1935" spans="2:8">
      <c r="B1935" s="217" t="str">
        <f t="shared" si="152"/>
        <v>2Q</v>
      </c>
      <c r="C1935" s="217">
        <f t="shared" si="156"/>
        <v>5</v>
      </c>
      <c r="D1935" s="217" t="str">
        <f t="shared" si="153"/>
        <v>21</v>
      </c>
      <c r="E1935">
        <f t="shared" si="154"/>
        <v>2021</v>
      </c>
      <c r="F1935" s="217" t="str">
        <f t="shared" si="155"/>
        <v>2Q21</v>
      </c>
      <c r="G1935" s="218">
        <v>44344</v>
      </c>
      <c r="H1935" s="217">
        <v>5.2252000000000001</v>
      </c>
    </row>
    <row r="1936" spans="2:8">
      <c r="B1936" s="217" t="str">
        <f t="shared" si="152"/>
        <v>2Q</v>
      </c>
      <c r="C1936" s="217">
        <f t="shared" si="156"/>
        <v>5</v>
      </c>
      <c r="D1936" s="217" t="str">
        <f t="shared" si="153"/>
        <v>21</v>
      </c>
      <c r="E1936">
        <f t="shared" si="154"/>
        <v>2021</v>
      </c>
      <c r="F1936" s="217" t="str">
        <f t="shared" si="155"/>
        <v>2Q21</v>
      </c>
      <c r="G1936" s="218">
        <v>44347</v>
      </c>
      <c r="H1936" s="217">
        <v>5.2183000000000002</v>
      </c>
    </row>
    <row r="1937" spans="2:8">
      <c r="B1937" s="217" t="str">
        <f t="shared" si="152"/>
        <v>2Q</v>
      </c>
      <c r="C1937" s="217">
        <f t="shared" si="156"/>
        <v>6</v>
      </c>
      <c r="D1937" s="217" t="str">
        <f t="shared" si="153"/>
        <v>21</v>
      </c>
      <c r="E1937">
        <f t="shared" si="154"/>
        <v>2021</v>
      </c>
      <c r="F1937" s="217" t="str">
        <f t="shared" si="155"/>
        <v>2Q21</v>
      </c>
      <c r="G1937" s="218">
        <v>44348</v>
      </c>
      <c r="H1937" s="217">
        <v>5.1515000000000004</v>
      </c>
    </row>
    <row r="1938" spans="2:8">
      <c r="B1938" s="217" t="str">
        <f t="shared" si="152"/>
        <v>2Q</v>
      </c>
      <c r="C1938" s="217">
        <f t="shared" si="156"/>
        <v>6</v>
      </c>
      <c r="D1938" s="217" t="str">
        <f t="shared" si="153"/>
        <v>21</v>
      </c>
      <c r="E1938">
        <f t="shared" si="154"/>
        <v>2021</v>
      </c>
      <c r="F1938" s="217" t="str">
        <f t="shared" si="155"/>
        <v>2Q21</v>
      </c>
      <c r="G1938" s="218">
        <v>44349</v>
      </c>
      <c r="H1938" s="217">
        <v>5.0759999999999996</v>
      </c>
    </row>
    <row r="1939" spans="2:8">
      <c r="B1939" s="217" t="str">
        <f t="shared" si="152"/>
        <v>2Q</v>
      </c>
      <c r="C1939" s="217">
        <f t="shared" si="156"/>
        <v>6</v>
      </c>
      <c r="D1939" s="217" t="str">
        <f t="shared" si="153"/>
        <v>21</v>
      </c>
      <c r="E1939">
        <f t="shared" si="154"/>
        <v>2021</v>
      </c>
      <c r="F1939" s="217" t="str">
        <f t="shared" si="155"/>
        <v>2Q21</v>
      </c>
      <c r="G1939" s="218">
        <v>44350</v>
      </c>
      <c r="H1939" s="217">
        <v>5.0780000000000003</v>
      </c>
    </row>
    <row r="1940" spans="2:8">
      <c r="B1940" s="217" t="str">
        <f t="shared" si="152"/>
        <v>2Q</v>
      </c>
      <c r="C1940" s="217">
        <f t="shared" si="156"/>
        <v>6</v>
      </c>
      <c r="D1940" s="217" t="str">
        <f t="shared" si="153"/>
        <v>21</v>
      </c>
      <c r="E1940">
        <f t="shared" si="154"/>
        <v>2021</v>
      </c>
      <c r="F1940" s="217" t="str">
        <f t="shared" si="155"/>
        <v>2Q21</v>
      </c>
      <c r="G1940" s="218">
        <v>44351</v>
      </c>
      <c r="H1940" s="217">
        <v>5.0503</v>
      </c>
    </row>
    <row r="1941" spans="2:8">
      <c r="B1941" s="217" t="str">
        <f t="shared" si="152"/>
        <v>2Q</v>
      </c>
      <c r="C1941" s="217">
        <f t="shared" si="156"/>
        <v>6</v>
      </c>
      <c r="D1941" s="217" t="str">
        <f t="shared" si="153"/>
        <v>21</v>
      </c>
      <c r="E1941">
        <f t="shared" si="154"/>
        <v>2021</v>
      </c>
      <c r="F1941" s="217" t="str">
        <f t="shared" si="155"/>
        <v>2Q21</v>
      </c>
      <c r="G1941" s="218">
        <v>44354</v>
      </c>
      <c r="H1941" s="217">
        <v>5.0461</v>
      </c>
    </row>
    <row r="1942" spans="2:8">
      <c r="B1942" s="217" t="str">
        <f t="shared" si="152"/>
        <v>2Q</v>
      </c>
      <c r="C1942" s="217">
        <f t="shared" si="156"/>
        <v>6</v>
      </c>
      <c r="D1942" s="217" t="str">
        <f t="shared" si="153"/>
        <v>21</v>
      </c>
      <c r="E1942">
        <f t="shared" si="154"/>
        <v>2021</v>
      </c>
      <c r="F1942" s="217" t="str">
        <f t="shared" si="155"/>
        <v>2Q21</v>
      </c>
      <c r="G1942" s="218">
        <v>44355</v>
      </c>
      <c r="H1942" s="217">
        <v>5.0343</v>
      </c>
    </row>
    <row r="1943" spans="2:8">
      <c r="B1943" s="217" t="str">
        <f t="shared" si="152"/>
        <v>2Q</v>
      </c>
      <c r="C1943" s="217">
        <f t="shared" si="156"/>
        <v>6</v>
      </c>
      <c r="D1943" s="217" t="str">
        <f t="shared" si="153"/>
        <v>21</v>
      </c>
      <c r="E1943">
        <f t="shared" si="154"/>
        <v>2021</v>
      </c>
      <c r="F1943" s="217" t="str">
        <f t="shared" si="155"/>
        <v>2Q21</v>
      </c>
      <c r="G1943" s="218">
        <v>44356</v>
      </c>
      <c r="H1943" s="217">
        <v>5.0632999999999999</v>
      </c>
    </row>
    <row r="1944" spans="2:8">
      <c r="B1944" s="217" t="str">
        <f t="shared" si="152"/>
        <v>2Q</v>
      </c>
      <c r="C1944" s="217">
        <f t="shared" si="156"/>
        <v>6</v>
      </c>
      <c r="D1944" s="217" t="str">
        <f t="shared" si="153"/>
        <v>21</v>
      </c>
      <c r="E1944">
        <f t="shared" si="154"/>
        <v>2021</v>
      </c>
      <c r="F1944" s="217" t="str">
        <f t="shared" si="155"/>
        <v>2Q21</v>
      </c>
      <c r="G1944" s="218">
        <v>44357</v>
      </c>
      <c r="H1944" s="217">
        <v>5.056</v>
      </c>
    </row>
    <row r="1945" spans="2:8">
      <c r="B1945" s="217" t="str">
        <f t="shared" si="152"/>
        <v>2Q</v>
      </c>
      <c r="C1945" s="217">
        <f t="shared" si="156"/>
        <v>6</v>
      </c>
      <c r="D1945" s="217" t="str">
        <f t="shared" si="153"/>
        <v>21</v>
      </c>
      <c r="E1945">
        <f t="shared" si="154"/>
        <v>2021</v>
      </c>
      <c r="F1945" s="217" t="str">
        <f t="shared" si="155"/>
        <v>2Q21</v>
      </c>
      <c r="G1945" s="218">
        <v>44358</v>
      </c>
      <c r="H1945" s="217">
        <v>5.1181999999999999</v>
      </c>
    </row>
    <row r="1946" spans="2:8">
      <c r="B1946" s="217" t="str">
        <f t="shared" si="152"/>
        <v>2Q</v>
      </c>
      <c r="C1946" s="217">
        <f t="shared" si="156"/>
        <v>6</v>
      </c>
      <c r="D1946" s="217" t="str">
        <f t="shared" si="153"/>
        <v>21</v>
      </c>
      <c r="E1946">
        <f t="shared" si="154"/>
        <v>2021</v>
      </c>
      <c r="F1946" s="217" t="str">
        <f t="shared" si="155"/>
        <v>2Q21</v>
      </c>
      <c r="G1946" s="218">
        <v>44361</v>
      </c>
      <c r="H1946" s="217">
        <v>5.0617000000000001</v>
      </c>
    </row>
    <row r="1947" spans="2:8">
      <c r="B1947" s="217" t="str">
        <f t="shared" si="152"/>
        <v>2Q</v>
      </c>
      <c r="C1947" s="217">
        <f t="shared" si="156"/>
        <v>6</v>
      </c>
      <c r="D1947" s="217" t="str">
        <f t="shared" si="153"/>
        <v>21</v>
      </c>
      <c r="E1947">
        <f t="shared" si="154"/>
        <v>2021</v>
      </c>
      <c r="F1947" s="217" t="str">
        <f t="shared" si="155"/>
        <v>2Q21</v>
      </c>
      <c r="G1947" s="218">
        <v>44362</v>
      </c>
      <c r="H1947" s="217">
        <v>5.0453000000000001</v>
      </c>
    </row>
    <row r="1948" spans="2:8">
      <c r="B1948" s="217" t="str">
        <f t="shared" si="152"/>
        <v>2Q</v>
      </c>
      <c r="C1948" s="217">
        <f t="shared" si="156"/>
        <v>6</v>
      </c>
      <c r="D1948" s="217" t="str">
        <f t="shared" si="153"/>
        <v>21</v>
      </c>
      <c r="E1948">
        <f t="shared" si="154"/>
        <v>2021</v>
      </c>
      <c r="F1948" s="217" t="str">
        <f t="shared" si="155"/>
        <v>2Q21</v>
      </c>
      <c r="G1948" s="218">
        <v>44363</v>
      </c>
      <c r="H1948" s="217">
        <v>5.0556000000000001</v>
      </c>
    </row>
    <row r="1949" spans="2:8">
      <c r="B1949" s="217" t="str">
        <f t="shared" si="152"/>
        <v>2Q</v>
      </c>
      <c r="C1949" s="217">
        <f t="shared" si="156"/>
        <v>6</v>
      </c>
      <c r="D1949" s="217" t="str">
        <f t="shared" si="153"/>
        <v>21</v>
      </c>
      <c r="E1949">
        <f t="shared" si="154"/>
        <v>2021</v>
      </c>
      <c r="F1949" s="217" t="str">
        <f t="shared" si="155"/>
        <v>2Q21</v>
      </c>
      <c r="G1949" s="218">
        <v>44364</v>
      </c>
      <c r="H1949" s="217">
        <v>5.0068000000000001</v>
      </c>
    </row>
    <row r="1950" spans="2:8">
      <c r="B1950" s="217" t="str">
        <f t="shared" si="152"/>
        <v>2Q</v>
      </c>
      <c r="C1950" s="217">
        <f t="shared" si="156"/>
        <v>6</v>
      </c>
      <c r="D1950" s="217" t="str">
        <f t="shared" si="153"/>
        <v>21</v>
      </c>
      <c r="E1950">
        <f t="shared" si="154"/>
        <v>2021</v>
      </c>
      <c r="F1950" s="217" t="str">
        <f t="shared" si="155"/>
        <v>2Q21</v>
      </c>
      <c r="G1950" s="218">
        <v>44365</v>
      </c>
      <c r="H1950" s="217">
        <v>5.0907</v>
      </c>
    </row>
    <row r="1951" spans="2:8">
      <c r="B1951" s="217" t="str">
        <f t="shared" si="152"/>
        <v>2Q</v>
      </c>
      <c r="C1951" s="217">
        <f t="shared" si="156"/>
        <v>6</v>
      </c>
      <c r="D1951" s="217" t="str">
        <f t="shared" si="153"/>
        <v>21</v>
      </c>
      <c r="E1951">
        <f t="shared" si="154"/>
        <v>2021</v>
      </c>
      <c r="F1951" s="217" t="str">
        <f t="shared" si="155"/>
        <v>2Q21</v>
      </c>
      <c r="G1951" s="218">
        <v>44368</v>
      </c>
      <c r="H1951" s="217">
        <v>5.0145</v>
      </c>
    </row>
    <row r="1952" spans="2:8">
      <c r="B1952" s="217" t="str">
        <f t="shared" si="152"/>
        <v>2Q</v>
      </c>
      <c r="C1952" s="217">
        <f t="shared" si="156"/>
        <v>6</v>
      </c>
      <c r="D1952" s="217" t="str">
        <f t="shared" si="153"/>
        <v>21</v>
      </c>
      <c r="E1952">
        <f t="shared" si="154"/>
        <v>2021</v>
      </c>
      <c r="F1952" s="217" t="str">
        <f t="shared" si="155"/>
        <v>2Q21</v>
      </c>
      <c r="G1952" s="218">
        <v>44369</v>
      </c>
      <c r="H1952" s="217">
        <v>4.9588999999999999</v>
      </c>
    </row>
    <row r="1953" spans="2:8">
      <c r="B1953" s="217" t="str">
        <f t="shared" si="152"/>
        <v>2Q</v>
      </c>
      <c r="C1953" s="217">
        <f t="shared" si="156"/>
        <v>6</v>
      </c>
      <c r="D1953" s="217" t="str">
        <f t="shared" si="153"/>
        <v>21</v>
      </c>
      <c r="E1953">
        <f t="shared" si="154"/>
        <v>2021</v>
      </c>
      <c r="F1953" s="217" t="str">
        <f t="shared" si="155"/>
        <v>2Q21</v>
      </c>
      <c r="G1953" s="218">
        <v>44370</v>
      </c>
      <c r="H1953" s="217">
        <v>4.9675000000000002</v>
      </c>
    </row>
    <row r="1954" spans="2:8">
      <c r="B1954" s="217" t="str">
        <f t="shared" si="152"/>
        <v>2Q</v>
      </c>
      <c r="C1954" s="217">
        <f t="shared" si="156"/>
        <v>6</v>
      </c>
      <c r="D1954" s="217" t="str">
        <f t="shared" si="153"/>
        <v>21</v>
      </c>
      <c r="E1954">
        <f t="shared" si="154"/>
        <v>2021</v>
      </c>
      <c r="F1954" s="217" t="str">
        <f t="shared" si="155"/>
        <v>2Q21</v>
      </c>
      <c r="G1954" s="218">
        <v>44371</v>
      </c>
      <c r="H1954" s="217">
        <v>4.9146999999999998</v>
      </c>
    </row>
    <row r="1955" spans="2:8">
      <c r="B1955" s="217" t="str">
        <f t="shared" si="152"/>
        <v>2Q</v>
      </c>
      <c r="C1955" s="217">
        <f t="shared" si="156"/>
        <v>6</v>
      </c>
      <c r="D1955" s="217" t="str">
        <f t="shared" si="153"/>
        <v>21</v>
      </c>
      <c r="E1955">
        <f t="shared" si="154"/>
        <v>2021</v>
      </c>
      <c r="F1955" s="217" t="str">
        <f t="shared" si="155"/>
        <v>2Q21</v>
      </c>
      <c r="G1955" s="218">
        <v>44372</v>
      </c>
      <c r="H1955" s="217">
        <v>4.9348999999999998</v>
      </c>
    </row>
    <row r="1956" spans="2:8">
      <c r="B1956" s="217" t="str">
        <f t="shared" si="152"/>
        <v>2Q</v>
      </c>
      <c r="C1956" s="217">
        <f t="shared" si="156"/>
        <v>6</v>
      </c>
      <c r="D1956" s="217" t="str">
        <f t="shared" si="153"/>
        <v>21</v>
      </c>
      <c r="E1956">
        <f t="shared" si="154"/>
        <v>2021</v>
      </c>
      <c r="F1956" s="217" t="str">
        <f t="shared" si="155"/>
        <v>2Q21</v>
      </c>
      <c r="G1956" s="218">
        <v>44375</v>
      </c>
      <c r="H1956" s="217">
        <v>4.9260999999999999</v>
      </c>
    </row>
    <row r="1957" spans="2:8">
      <c r="B1957" s="217" t="str">
        <f t="shared" si="152"/>
        <v>2Q</v>
      </c>
      <c r="C1957" s="217">
        <f t="shared" si="156"/>
        <v>6</v>
      </c>
      <c r="D1957" s="217" t="str">
        <f t="shared" si="153"/>
        <v>21</v>
      </c>
      <c r="E1957">
        <f t="shared" si="154"/>
        <v>2021</v>
      </c>
      <c r="F1957" s="217" t="str">
        <f t="shared" si="155"/>
        <v>2Q21</v>
      </c>
      <c r="G1957" s="218">
        <v>44376</v>
      </c>
      <c r="H1957" s="217">
        <v>4.9566999999999997</v>
      </c>
    </row>
    <row r="1958" spans="2:8">
      <c r="B1958" s="217" t="str">
        <f t="shared" si="152"/>
        <v>2Q</v>
      </c>
      <c r="C1958" s="217">
        <f t="shared" si="156"/>
        <v>6</v>
      </c>
      <c r="D1958" s="217" t="str">
        <f t="shared" si="153"/>
        <v>21</v>
      </c>
      <c r="E1958">
        <f t="shared" si="154"/>
        <v>2021</v>
      </c>
      <c r="F1958" s="217" t="str">
        <f t="shared" si="155"/>
        <v>2Q21</v>
      </c>
      <c r="G1958" s="218">
        <v>44377</v>
      </c>
      <c r="H1958" s="217">
        <v>4.9695999999999998</v>
      </c>
    </row>
    <row r="1959" spans="2:8">
      <c r="B1959" s="217" t="str">
        <f t="shared" si="152"/>
        <v>3Q</v>
      </c>
      <c r="C1959" s="217">
        <f t="shared" si="156"/>
        <v>7</v>
      </c>
      <c r="D1959" s="217" t="str">
        <f t="shared" si="153"/>
        <v>21</v>
      </c>
      <c r="E1959">
        <f t="shared" si="154"/>
        <v>2021</v>
      </c>
      <c r="F1959" s="217" t="str">
        <f t="shared" si="155"/>
        <v>3Q21</v>
      </c>
      <c r="G1959" s="218">
        <v>44378</v>
      </c>
      <c r="H1959" s="217">
        <v>5.0484</v>
      </c>
    </row>
    <row r="1960" spans="2:8">
      <c r="B1960" s="217" t="str">
        <f t="shared" si="152"/>
        <v>3Q</v>
      </c>
      <c r="C1960" s="217">
        <f t="shared" si="156"/>
        <v>7</v>
      </c>
      <c r="D1960" s="217" t="str">
        <f t="shared" si="153"/>
        <v>21</v>
      </c>
      <c r="E1960">
        <f t="shared" si="154"/>
        <v>2021</v>
      </c>
      <c r="F1960" s="217" t="str">
        <f t="shared" si="155"/>
        <v>3Q21</v>
      </c>
      <c r="G1960" s="218">
        <v>44379</v>
      </c>
      <c r="H1960" s="217">
        <v>5.0589000000000004</v>
      </c>
    </row>
    <row r="1961" spans="2:8">
      <c r="B1961" s="217" t="str">
        <f t="shared" si="152"/>
        <v>3Q</v>
      </c>
      <c r="C1961" s="217">
        <f t="shared" si="156"/>
        <v>7</v>
      </c>
      <c r="D1961" s="217" t="str">
        <f t="shared" si="153"/>
        <v>21</v>
      </c>
      <c r="E1961">
        <f t="shared" si="154"/>
        <v>2021</v>
      </c>
      <c r="F1961" s="217" t="str">
        <f t="shared" si="155"/>
        <v>3Q21</v>
      </c>
      <c r="G1961" s="218">
        <v>44382</v>
      </c>
      <c r="H1961" s="217">
        <v>5.0914000000000001</v>
      </c>
    </row>
    <row r="1962" spans="2:8">
      <c r="B1962" s="217" t="str">
        <f t="shared" si="152"/>
        <v>3Q</v>
      </c>
      <c r="C1962" s="217">
        <f t="shared" si="156"/>
        <v>7</v>
      </c>
      <c r="D1962" s="217" t="str">
        <f t="shared" si="153"/>
        <v>21</v>
      </c>
      <c r="E1962">
        <f t="shared" si="154"/>
        <v>2021</v>
      </c>
      <c r="F1962" s="217" t="str">
        <f t="shared" si="155"/>
        <v>3Q21</v>
      </c>
      <c r="G1962" s="218">
        <v>44383</v>
      </c>
      <c r="H1962" s="217">
        <v>5.1973000000000003</v>
      </c>
    </row>
    <row r="1963" spans="2:8">
      <c r="B1963" s="217" t="str">
        <f t="shared" si="152"/>
        <v>3Q</v>
      </c>
      <c r="C1963" s="217">
        <f t="shared" si="156"/>
        <v>7</v>
      </c>
      <c r="D1963" s="217" t="str">
        <f t="shared" si="153"/>
        <v>21</v>
      </c>
      <c r="E1963">
        <f t="shared" si="154"/>
        <v>2021</v>
      </c>
      <c r="F1963" s="217" t="str">
        <f t="shared" si="155"/>
        <v>3Q21</v>
      </c>
      <c r="G1963" s="218">
        <v>44384</v>
      </c>
      <c r="H1963" s="217">
        <v>5.2324999999999999</v>
      </c>
    </row>
    <row r="1964" spans="2:8">
      <c r="B1964" s="217" t="str">
        <f t="shared" si="152"/>
        <v>3Q</v>
      </c>
      <c r="C1964" s="217">
        <f t="shared" si="156"/>
        <v>7</v>
      </c>
      <c r="D1964" s="217" t="str">
        <f t="shared" si="153"/>
        <v>21</v>
      </c>
      <c r="E1964">
        <f t="shared" si="154"/>
        <v>2021</v>
      </c>
      <c r="F1964" s="217" t="str">
        <f t="shared" si="155"/>
        <v>3Q21</v>
      </c>
      <c r="G1964" s="218">
        <v>44385</v>
      </c>
      <c r="H1964" s="217">
        <v>5.2596999999999996</v>
      </c>
    </row>
    <row r="1965" spans="2:8">
      <c r="B1965" s="217" t="str">
        <f t="shared" si="152"/>
        <v>3Q</v>
      </c>
      <c r="C1965" s="217">
        <f t="shared" si="156"/>
        <v>7</v>
      </c>
      <c r="D1965" s="217" t="str">
        <f t="shared" si="153"/>
        <v>21</v>
      </c>
      <c r="E1965">
        <f t="shared" si="154"/>
        <v>2021</v>
      </c>
      <c r="F1965" s="217" t="str">
        <f t="shared" si="155"/>
        <v>3Q21</v>
      </c>
      <c r="G1965" s="218">
        <v>44386</v>
      </c>
      <c r="H1965" s="217">
        <v>5.2596999999999996</v>
      </c>
    </row>
    <row r="1966" spans="2:8">
      <c r="B1966" s="217" t="str">
        <f t="shared" si="152"/>
        <v>3Q</v>
      </c>
      <c r="C1966" s="217">
        <f t="shared" si="156"/>
        <v>7</v>
      </c>
      <c r="D1966" s="217" t="str">
        <f t="shared" si="153"/>
        <v>21</v>
      </c>
      <c r="E1966">
        <f t="shared" si="154"/>
        <v>2021</v>
      </c>
      <c r="F1966" s="217" t="str">
        <f t="shared" si="155"/>
        <v>3Q21</v>
      </c>
      <c r="G1966" s="218">
        <v>44389</v>
      </c>
      <c r="H1966" s="217">
        <v>5.1738999999999997</v>
      </c>
    </row>
    <row r="1967" spans="2:8">
      <c r="B1967" s="217" t="str">
        <f t="shared" si="152"/>
        <v>3Q</v>
      </c>
      <c r="C1967" s="217">
        <f t="shared" si="156"/>
        <v>7</v>
      </c>
      <c r="D1967" s="217" t="str">
        <f t="shared" si="153"/>
        <v>21</v>
      </c>
      <c r="E1967">
        <f t="shared" si="154"/>
        <v>2021</v>
      </c>
      <c r="F1967" s="217" t="str">
        <f t="shared" si="155"/>
        <v>3Q21</v>
      </c>
      <c r="G1967" s="218">
        <v>44390</v>
      </c>
      <c r="H1967" s="217">
        <v>5.1630000000000003</v>
      </c>
    </row>
    <row r="1968" spans="2:8">
      <c r="B1968" s="217" t="str">
        <f t="shared" si="152"/>
        <v>3Q</v>
      </c>
      <c r="C1968" s="217">
        <f t="shared" si="156"/>
        <v>7</v>
      </c>
      <c r="D1968" s="217" t="str">
        <f t="shared" si="153"/>
        <v>21</v>
      </c>
      <c r="E1968">
        <f t="shared" si="154"/>
        <v>2021</v>
      </c>
      <c r="F1968" s="217" t="str">
        <f t="shared" si="155"/>
        <v>3Q21</v>
      </c>
      <c r="G1968" s="218">
        <v>44391</v>
      </c>
      <c r="H1968" s="217">
        <v>5.0716000000000001</v>
      </c>
    </row>
    <row r="1969" spans="2:8">
      <c r="B1969" s="217" t="str">
        <f t="shared" si="152"/>
        <v>3Q</v>
      </c>
      <c r="C1969" s="217">
        <f t="shared" si="156"/>
        <v>7</v>
      </c>
      <c r="D1969" s="217" t="str">
        <f t="shared" si="153"/>
        <v>21</v>
      </c>
      <c r="E1969">
        <f t="shared" si="154"/>
        <v>2021</v>
      </c>
      <c r="F1969" s="217" t="str">
        <f t="shared" si="155"/>
        <v>3Q21</v>
      </c>
      <c r="G1969" s="218">
        <v>44392</v>
      </c>
      <c r="H1969" s="217">
        <v>5.1117999999999997</v>
      </c>
    </row>
    <row r="1970" spans="2:8">
      <c r="B1970" s="217" t="str">
        <f t="shared" si="152"/>
        <v>3Q</v>
      </c>
      <c r="C1970" s="217">
        <f t="shared" si="156"/>
        <v>7</v>
      </c>
      <c r="D1970" s="217" t="str">
        <f t="shared" si="153"/>
        <v>21</v>
      </c>
      <c r="E1970">
        <f t="shared" si="154"/>
        <v>2021</v>
      </c>
      <c r="F1970" s="217" t="str">
        <f t="shared" si="155"/>
        <v>3Q21</v>
      </c>
      <c r="G1970" s="218">
        <v>44393</v>
      </c>
      <c r="H1970" s="217">
        <v>5.1154999999999999</v>
      </c>
    </row>
    <row r="1971" spans="2:8">
      <c r="B1971" s="217" t="str">
        <f t="shared" si="152"/>
        <v>3Q</v>
      </c>
      <c r="C1971" s="217">
        <f t="shared" si="156"/>
        <v>7</v>
      </c>
      <c r="D1971" s="217" t="str">
        <f t="shared" si="153"/>
        <v>21</v>
      </c>
      <c r="E1971">
        <f t="shared" si="154"/>
        <v>2021</v>
      </c>
      <c r="F1971" s="217" t="str">
        <f t="shared" si="155"/>
        <v>3Q21</v>
      </c>
      <c r="G1971" s="218">
        <v>44396</v>
      </c>
      <c r="H1971" s="217">
        <v>5.2526000000000002</v>
      </c>
    </row>
    <row r="1972" spans="2:8">
      <c r="B1972" s="217" t="str">
        <f t="shared" si="152"/>
        <v>3Q</v>
      </c>
      <c r="C1972" s="217">
        <f t="shared" si="156"/>
        <v>7</v>
      </c>
      <c r="D1972" s="217" t="str">
        <f t="shared" si="153"/>
        <v>21</v>
      </c>
      <c r="E1972">
        <f t="shared" si="154"/>
        <v>2021</v>
      </c>
      <c r="F1972" s="217" t="str">
        <f t="shared" si="155"/>
        <v>3Q21</v>
      </c>
      <c r="G1972" s="218">
        <v>44397</v>
      </c>
      <c r="H1972" s="217">
        <v>5.2214999999999998</v>
      </c>
    </row>
    <row r="1973" spans="2:8">
      <c r="B1973" s="217" t="str">
        <f t="shared" si="152"/>
        <v>3Q</v>
      </c>
      <c r="C1973" s="217">
        <f t="shared" si="156"/>
        <v>7</v>
      </c>
      <c r="D1973" s="217" t="str">
        <f t="shared" si="153"/>
        <v>21</v>
      </c>
      <c r="E1973">
        <f t="shared" si="154"/>
        <v>2021</v>
      </c>
      <c r="F1973" s="217" t="str">
        <f t="shared" si="155"/>
        <v>3Q21</v>
      </c>
      <c r="G1973" s="218">
        <v>44398</v>
      </c>
      <c r="H1973" s="217">
        <v>5.1883999999999997</v>
      </c>
    </row>
    <row r="1974" spans="2:8">
      <c r="B1974" s="217" t="str">
        <f t="shared" si="152"/>
        <v>3Q</v>
      </c>
      <c r="C1974" s="217">
        <f t="shared" si="156"/>
        <v>7</v>
      </c>
      <c r="D1974" s="217" t="str">
        <f t="shared" si="153"/>
        <v>21</v>
      </c>
      <c r="E1974">
        <f t="shared" si="154"/>
        <v>2021</v>
      </c>
      <c r="F1974" s="217" t="str">
        <f t="shared" si="155"/>
        <v>3Q21</v>
      </c>
      <c r="G1974" s="218">
        <v>44399</v>
      </c>
      <c r="H1974" s="217">
        <v>5.2012999999999998</v>
      </c>
    </row>
    <row r="1975" spans="2:8">
      <c r="B1975" s="217" t="str">
        <f t="shared" si="152"/>
        <v>3Q</v>
      </c>
      <c r="C1975" s="217">
        <f t="shared" si="156"/>
        <v>7</v>
      </c>
      <c r="D1975" s="217" t="str">
        <f t="shared" si="153"/>
        <v>21</v>
      </c>
      <c r="E1975">
        <f t="shared" si="154"/>
        <v>2021</v>
      </c>
      <c r="F1975" s="217" t="str">
        <f t="shared" si="155"/>
        <v>3Q21</v>
      </c>
      <c r="G1975" s="218">
        <v>44400</v>
      </c>
      <c r="H1975" s="217">
        <v>5.2016</v>
      </c>
    </row>
    <row r="1976" spans="2:8">
      <c r="B1976" s="217" t="str">
        <f t="shared" si="152"/>
        <v>3Q</v>
      </c>
      <c r="C1976" s="217">
        <f t="shared" si="156"/>
        <v>7</v>
      </c>
      <c r="D1976" s="217" t="str">
        <f t="shared" si="153"/>
        <v>21</v>
      </c>
      <c r="E1976">
        <f t="shared" si="154"/>
        <v>2021</v>
      </c>
      <c r="F1976" s="217" t="str">
        <f t="shared" si="155"/>
        <v>3Q21</v>
      </c>
      <c r="G1976" s="218">
        <v>44403</v>
      </c>
      <c r="H1976" s="217">
        <v>5.1764000000000001</v>
      </c>
    </row>
    <row r="1977" spans="2:8">
      <c r="B1977" s="217" t="str">
        <f t="shared" si="152"/>
        <v>3Q</v>
      </c>
      <c r="C1977" s="217">
        <f t="shared" si="156"/>
        <v>7</v>
      </c>
      <c r="D1977" s="217" t="str">
        <f t="shared" si="153"/>
        <v>21</v>
      </c>
      <c r="E1977">
        <f t="shared" si="154"/>
        <v>2021</v>
      </c>
      <c r="F1977" s="217" t="str">
        <f t="shared" si="155"/>
        <v>3Q21</v>
      </c>
      <c r="G1977" s="218">
        <v>44404</v>
      </c>
      <c r="H1977" s="217">
        <v>5.1696999999999997</v>
      </c>
    </row>
    <row r="1978" spans="2:8">
      <c r="B1978" s="217" t="str">
        <f t="shared" si="152"/>
        <v>3Q</v>
      </c>
      <c r="C1978" s="217">
        <f t="shared" si="156"/>
        <v>7</v>
      </c>
      <c r="D1978" s="217" t="str">
        <f t="shared" si="153"/>
        <v>21</v>
      </c>
      <c r="E1978">
        <f t="shared" si="154"/>
        <v>2021</v>
      </c>
      <c r="F1978" s="217" t="str">
        <f t="shared" si="155"/>
        <v>3Q21</v>
      </c>
      <c r="G1978" s="218">
        <v>44405</v>
      </c>
      <c r="H1978" s="217">
        <v>5.1170999999999998</v>
      </c>
    </row>
    <row r="1979" spans="2:8">
      <c r="B1979" s="217" t="str">
        <f t="shared" si="152"/>
        <v>3Q</v>
      </c>
      <c r="C1979" s="217">
        <f t="shared" si="156"/>
        <v>7</v>
      </c>
      <c r="D1979" s="217" t="str">
        <f t="shared" si="153"/>
        <v>21</v>
      </c>
      <c r="E1979">
        <f t="shared" si="154"/>
        <v>2021</v>
      </c>
      <c r="F1979" s="217" t="str">
        <f t="shared" si="155"/>
        <v>3Q21</v>
      </c>
      <c r="G1979" s="218">
        <v>44406</v>
      </c>
      <c r="H1979" s="217">
        <v>5.0819000000000001</v>
      </c>
    </row>
    <row r="1980" spans="2:8">
      <c r="B1980" s="217" t="str">
        <f t="shared" si="152"/>
        <v>3Q</v>
      </c>
      <c r="C1980" s="217">
        <f t="shared" si="156"/>
        <v>7</v>
      </c>
      <c r="D1980" s="217" t="str">
        <f t="shared" si="153"/>
        <v>21</v>
      </c>
      <c r="E1980">
        <f t="shared" si="154"/>
        <v>2021</v>
      </c>
      <c r="F1980" s="217" t="str">
        <f t="shared" si="155"/>
        <v>3Q21</v>
      </c>
      <c r="G1980" s="218">
        <v>44407</v>
      </c>
      <c r="H1980" s="217">
        <v>5.2134</v>
      </c>
    </row>
    <row r="1981" spans="2:8">
      <c r="B1981" s="217" t="str">
        <f t="shared" si="152"/>
        <v>3Q</v>
      </c>
      <c r="C1981" s="217">
        <f t="shared" si="156"/>
        <v>8</v>
      </c>
      <c r="D1981" s="217" t="str">
        <f t="shared" si="153"/>
        <v>21</v>
      </c>
      <c r="E1981">
        <f t="shared" si="154"/>
        <v>2021</v>
      </c>
      <c r="F1981" s="217" t="str">
        <f t="shared" si="155"/>
        <v>3Q21</v>
      </c>
      <c r="G1981" s="218">
        <v>44410</v>
      </c>
      <c r="H1981" s="217">
        <v>5.1760999999999999</v>
      </c>
    </row>
    <row r="1982" spans="2:8">
      <c r="B1982" s="217" t="str">
        <f t="shared" si="152"/>
        <v>3Q</v>
      </c>
      <c r="C1982" s="217">
        <f t="shared" si="156"/>
        <v>8</v>
      </c>
      <c r="D1982" s="217" t="str">
        <f t="shared" si="153"/>
        <v>21</v>
      </c>
      <c r="E1982">
        <f t="shared" si="154"/>
        <v>2021</v>
      </c>
      <c r="F1982" s="217" t="str">
        <f t="shared" si="155"/>
        <v>3Q21</v>
      </c>
      <c r="G1982" s="218">
        <v>44411</v>
      </c>
      <c r="H1982" s="217">
        <v>5.1981999999999999</v>
      </c>
    </row>
    <row r="1983" spans="2:8">
      <c r="B1983" s="217" t="str">
        <f t="shared" si="152"/>
        <v>3Q</v>
      </c>
      <c r="C1983" s="217">
        <f t="shared" si="156"/>
        <v>8</v>
      </c>
      <c r="D1983" s="217" t="str">
        <f t="shared" si="153"/>
        <v>21</v>
      </c>
      <c r="E1983">
        <f t="shared" si="154"/>
        <v>2021</v>
      </c>
      <c r="F1983" s="217" t="str">
        <f t="shared" si="155"/>
        <v>3Q21</v>
      </c>
      <c r="G1983" s="218">
        <v>44412</v>
      </c>
      <c r="H1983" s="217">
        <v>5.17</v>
      </c>
    </row>
    <row r="1984" spans="2:8">
      <c r="B1984" s="217" t="str">
        <f t="shared" si="152"/>
        <v>3Q</v>
      </c>
      <c r="C1984" s="217">
        <f t="shared" si="156"/>
        <v>8</v>
      </c>
      <c r="D1984" s="217" t="str">
        <f t="shared" si="153"/>
        <v>21</v>
      </c>
      <c r="E1984">
        <f t="shared" si="154"/>
        <v>2021</v>
      </c>
      <c r="F1984" s="217" t="str">
        <f t="shared" si="155"/>
        <v>3Q21</v>
      </c>
      <c r="G1984" s="218">
        <v>44413</v>
      </c>
      <c r="H1984" s="217">
        <v>5.2492000000000001</v>
      </c>
    </row>
    <row r="1985" spans="2:8">
      <c r="B1985" s="217" t="str">
        <f t="shared" si="152"/>
        <v>3Q</v>
      </c>
      <c r="C1985" s="217">
        <f t="shared" si="156"/>
        <v>8</v>
      </c>
      <c r="D1985" s="217" t="str">
        <f t="shared" si="153"/>
        <v>21</v>
      </c>
      <c r="E1985">
        <f t="shared" si="154"/>
        <v>2021</v>
      </c>
      <c r="F1985" s="217" t="str">
        <f t="shared" si="155"/>
        <v>3Q21</v>
      </c>
      <c r="G1985" s="218">
        <v>44414</v>
      </c>
      <c r="H1985" s="217">
        <v>5.2316000000000003</v>
      </c>
    </row>
    <row r="1986" spans="2:8">
      <c r="B1986" s="217" t="str">
        <f t="shared" si="152"/>
        <v>3Q</v>
      </c>
      <c r="C1986" s="217">
        <f t="shared" si="156"/>
        <v>8</v>
      </c>
      <c r="D1986" s="217" t="str">
        <f t="shared" si="153"/>
        <v>21</v>
      </c>
      <c r="E1986">
        <f t="shared" si="154"/>
        <v>2021</v>
      </c>
      <c r="F1986" s="217" t="str">
        <f t="shared" si="155"/>
        <v>3Q21</v>
      </c>
      <c r="G1986" s="218">
        <v>44417</v>
      </c>
      <c r="H1986" s="217">
        <v>5.2348999999999997</v>
      </c>
    </row>
    <row r="1987" spans="2:8">
      <c r="B1987" s="217" t="str">
        <f t="shared" ref="B1987:B2050" si="157">VLOOKUP(C1987,$N$3:$O$14,2,0)</f>
        <v>3Q</v>
      </c>
      <c r="C1987" s="217">
        <f t="shared" si="156"/>
        <v>8</v>
      </c>
      <c r="D1987" s="217" t="str">
        <f t="shared" ref="D1987:D2050" si="158">RIGHT(E1987,2)</f>
        <v>21</v>
      </c>
      <c r="E1987">
        <f t="shared" ref="E1987:E2050" si="159">YEAR(G1987)</f>
        <v>2021</v>
      </c>
      <c r="F1987" s="217" t="str">
        <f t="shared" ref="F1987:F2050" si="160">+B1987&amp;D1987</f>
        <v>3Q21</v>
      </c>
      <c r="G1987" s="218">
        <v>44418</v>
      </c>
      <c r="H1987" s="217">
        <v>5.1898</v>
      </c>
    </row>
    <row r="1988" spans="2:8">
      <c r="B1988" s="217" t="str">
        <f t="shared" si="157"/>
        <v>3Q</v>
      </c>
      <c r="C1988" s="217">
        <f t="shared" ref="C1988:C2051" si="161">MONTH(G1988)</f>
        <v>8</v>
      </c>
      <c r="D1988" s="217" t="str">
        <f t="shared" si="158"/>
        <v>21</v>
      </c>
      <c r="E1988">
        <f t="shared" si="159"/>
        <v>2021</v>
      </c>
      <c r="F1988" s="217" t="str">
        <f t="shared" si="160"/>
        <v>3Q21</v>
      </c>
      <c r="G1988" s="218">
        <v>44419</v>
      </c>
      <c r="H1988" s="217">
        <v>5.2195999999999998</v>
      </c>
    </row>
    <row r="1989" spans="2:8">
      <c r="B1989" s="217" t="str">
        <f t="shared" si="157"/>
        <v>3Q</v>
      </c>
      <c r="C1989" s="217">
        <f t="shared" si="161"/>
        <v>8</v>
      </c>
      <c r="D1989" s="217" t="str">
        <f t="shared" si="158"/>
        <v>21</v>
      </c>
      <c r="E1989">
        <f t="shared" si="159"/>
        <v>2021</v>
      </c>
      <c r="F1989" s="217" t="str">
        <f t="shared" si="160"/>
        <v>3Q21</v>
      </c>
      <c r="G1989" s="218">
        <v>44420</v>
      </c>
      <c r="H1989" s="217">
        <v>5.2526999999999999</v>
      </c>
    </row>
    <row r="1990" spans="2:8">
      <c r="B1990" s="217" t="str">
        <f t="shared" si="157"/>
        <v>3Q</v>
      </c>
      <c r="C1990" s="217">
        <f t="shared" si="161"/>
        <v>8</v>
      </c>
      <c r="D1990" s="217" t="str">
        <f t="shared" si="158"/>
        <v>21</v>
      </c>
      <c r="E1990">
        <f t="shared" si="159"/>
        <v>2021</v>
      </c>
      <c r="F1990" s="217" t="str">
        <f t="shared" si="160"/>
        <v>3Q21</v>
      </c>
      <c r="G1990" s="218">
        <v>44421</v>
      </c>
      <c r="H1990" s="217">
        <v>5.2469000000000001</v>
      </c>
    </row>
    <row r="1991" spans="2:8">
      <c r="B1991" s="217" t="str">
        <f t="shared" si="157"/>
        <v>3Q</v>
      </c>
      <c r="C1991" s="217">
        <f t="shared" si="161"/>
        <v>8</v>
      </c>
      <c r="D1991" s="217" t="str">
        <f t="shared" si="158"/>
        <v>21</v>
      </c>
      <c r="E1991">
        <f t="shared" si="159"/>
        <v>2021</v>
      </c>
      <c r="F1991" s="217" t="str">
        <f t="shared" si="160"/>
        <v>3Q21</v>
      </c>
      <c r="G1991" s="218">
        <v>44424</v>
      </c>
      <c r="H1991" s="217">
        <v>5.2610999999999999</v>
      </c>
    </row>
    <row r="1992" spans="2:8">
      <c r="B1992" s="217" t="str">
        <f t="shared" si="157"/>
        <v>3Q</v>
      </c>
      <c r="C1992" s="217">
        <f t="shared" si="161"/>
        <v>8</v>
      </c>
      <c r="D1992" s="217" t="str">
        <f t="shared" si="158"/>
        <v>21</v>
      </c>
      <c r="E1992">
        <f t="shared" si="159"/>
        <v>2021</v>
      </c>
      <c r="F1992" s="217" t="str">
        <f t="shared" si="160"/>
        <v>3Q21</v>
      </c>
      <c r="G1992" s="218">
        <v>44425</v>
      </c>
      <c r="H1992" s="217">
        <v>5.2961</v>
      </c>
    </row>
    <row r="1993" spans="2:8">
      <c r="B1993" s="217" t="str">
        <f t="shared" si="157"/>
        <v>3Q</v>
      </c>
      <c r="C1993" s="217">
        <f t="shared" si="161"/>
        <v>8</v>
      </c>
      <c r="D1993" s="217" t="str">
        <f t="shared" si="158"/>
        <v>21</v>
      </c>
      <c r="E1993">
        <f t="shared" si="159"/>
        <v>2021</v>
      </c>
      <c r="F1993" s="217" t="str">
        <f t="shared" si="160"/>
        <v>3Q21</v>
      </c>
      <c r="G1993" s="218">
        <v>44426</v>
      </c>
      <c r="H1993" s="217">
        <v>5.3803999999999998</v>
      </c>
    </row>
    <row r="1994" spans="2:8">
      <c r="B1994" s="217" t="str">
        <f t="shared" si="157"/>
        <v>3Q</v>
      </c>
      <c r="C1994" s="217">
        <f t="shared" si="161"/>
        <v>8</v>
      </c>
      <c r="D1994" s="217" t="str">
        <f t="shared" si="158"/>
        <v>21</v>
      </c>
      <c r="E1994">
        <f t="shared" si="159"/>
        <v>2021</v>
      </c>
      <c r="F1994" s="217" t="str">
        <f t="shared" si="160"/>
        <v>3Q21</v>
      </c>
      <c r="G1994" s="218">
        <v>44427</v>
      </c>
      <c r="H1994" s="217">
        <v>5.4154999999999998</v>
      </c>
    </row>
    <row r="1995" spans="2:8">
      <c r="B1995" s="217" t="str">
        <f t="shared" si="157"/>
        <v>3Q</v>
      </c>
      <c r="C1995" s="217">
        <f t="shared" si="161"/>
        <v>8</v>
      </c>
      <c r="D1995" s="217" t="str">
        <f t="shared" si="158"/>
        <v>21</v>
      </c>
      <c r="E1995">
        <f t="shared" si="159"/>
        <v>2021</v>
      </c>
      <c r="F1995" s="217" t="str">
        <f t="shared" si="160"/>
        <v>3Q21</v>
      </c>
      <c r="G1995" s="218">
        <v>44428</v>
      </c>
      <c r="H1995" s="217">
        <v>5.3780000000000001</v>
      </c>
    </row>
    <row r="1996" spans="2:8">
      <c r="B1996" s="217" t="str">
        <f t="shared" si="157"/>
        <v>3Q</v>
      </c>
      <c r="C1996" s="217">
        <f t="shared" si="161"/>
        <v>8</v>
      </c>
      <c r="D1996" s="217" t="str">
        <f t="shared" si="158"/>
        <v>21</v>
      </c>
      <c r="E1996">
        <f t="shared" si="159"/>
        <v>2021</v>
      </c>
      <c r="F1996" s="217" t="str">
        <f t="shared" si="160"/>
        <v>3Q21</v>
      </c>
      <c r="G1996" s="218">
        <v>44431</v>
      </c>
      <c r="H1996" s="217">
        <v>5.3815</v>
      </c>
    </row>
    <row r="1997" spans="2:8">
      <c r="B1997" s="217" t="str">
        <f t="shared" si="157"/>
        <v>3Q</v>
      </c>
      <c r="C1997" s="217">
        <f t="shared" si="161"/>
        <v>8</v>
      </c>
      <c r="D1997" s="217" t="str">
        <f t="shared" si="158"/>
        <v>21</v>
      </c>
      <c r="E1997">
        <f t="shared" si="159"/>
        <v>2021</v>
      </c>
      <c r="F1997" s="217" t="str">
        <f t="shared" si="160"/>
        <v>3Q21</v>
      </c>
      <c r="G1997" s="218">
        <v>44432</v>
      </c>
      <c r="H1997" s="217">
        <v>5.2469000000000001</v>
      </c>
    </row>
    <row r="1998" spans="2:8">
      <c r="B1998" s="217" t="str">
        <f t="shared" si="157"/>
        <v>3Q</v>
      </c>
      <c r="C1998" s="217">
        <f t="shared" si="161"/>
        <v>8</v>
      </c>
      <c r="D1998" s="217" t="str">
        <f t="shared" si="158"/>
        <v>21</v>
      </c>
      <c r="E1998">
        <f t="shared" si="159"/>
        <v>2021</v>
      </c>
      <c r="F1998" s="217" t="str">
        <f t="shared" si="160"/>
        <v>3Q21</v>
      </c>
      <c r="G1998" s="218">
        <v>44433</v>
      </c>
      <c r="H1998" s="217">
        <v>5.2130000000000001</v>
      </c>
    </row>
    <row r="1999" spans="2:8">
      <c r="B1999" s="217" t="str">
        <f t="shared" si="157"/>
        <v>3Q</v>
      </c>
      <c r="C1999" s="217">
        <f t="shared" si="161"/>
        <v>8</v>
      </c>
      <c r="D1999" s="217" t="str">
        <f t="shared" si="158"/>
        <v>21</v>
      </c>
      <c r="E1999">
        <f t="shared" si="159"/>
        <v>2021</v>
      </c>
      <c r="F1999" s="217" t="str">
        <f t="shared" si="160"/>
        <v>3Q21</v>
      </c>
      <c r="G1999" s="218">
        <v>44434</v>
      </c>
      <c r="H1999" s="217">
        <v>5.2531999999999996</v>
      </c>
    </row>
    <row r="2000" spans="2:8">
      <c r="B2000" s="217" t="str">
        <f t="shared" si="157"/>
        <v>3Q</v>
      </c>
      <c r="C2000" s="217">
        <f t="shared" si="161"/>
        <v>8</v>
      </c>
      <c r="D2000" s="217" t="str">
        <f t="shared" si="158"/>
        <v>21</v>
      </c>
      <c r="E2000">
        <f t="shared" si="159"/>
        <v>2021</v>
      </c>
      <c r="F2000" s="217" t="str">
        <f t="shared" si="160"/>
        <v>3Q21</v>
      </c>
      <c r="G2000" s="218">
        <v>44435</v>
      </c>
      <c r="H2000" s="217">
        <v>5.2005999999999997</v>
      </c>
    </row>
    <row r="2001" spans="2:8">
      <c r="B2001" s="217" t="str">
        <f t="shared" si="157"/>
        <v>3Q</v>
      </c>
      <c r="C2001" s="217">
        <f t="shared" si="161"/>
        <v>8</v>
      </c>
      <c r="D2001" s="217" t="str">
        <f t="shared" si="158"/>
        <v>21</v>
      </c>
      <c r="E2001">
        <f t="shared" si="159"/>
        <v>2021</v>
      </c>
      <c r="F2001" s="217" t="str">
        <f t="shared" si="160"/>
        <v>3Q21</v>
      </c>
      <c r="G2001" s="218">
        <v>44438</v>
      </c>
      <c r="H2001" s="217">
        <v>5.1852999999999998</v>
      </c>
    </row>
    <row r="2002" spans="2:8">
      <c r="B2002" s="217" t="str">
        <f t="shared" si="157"/>
        <v>3Q</v>
      </c>
      <c r="C2002" s="217">
        <f t="shared" si="161"/>
        <v>8</v>
      </c>
      <c r="D2002" s="217" t="str">
        <f t="shared" si="158"/>
        <v>21</v>
      </c>
      <c r="E2002">
        <f t="shared" si="159"/>
        <v>2021</v>
      </c>
      <c r="F2002" s="217" t="str">
        <f t="shared" si="160"/>
        <v>3Q21</v>
      </c>
      <c r="G2002" s="218">
        <v>44439</v>
      </c>
      <c r="H2002" s="217">
        <v>5.1508000000000003</v>
      </c>
    </row>
    <row r="2003" spans="2:8">
      <c r="B2003" s="217" t="str">
        <f t="shared" si="157"/>
        <v>3Q</v>
      </c>
      <c r="C2003" s="217">
        <f t="shared" si="161"/>
        <v>9</v>
      </c>
      <c r="D2003" s="217" t="str">
        <f t="shared" si="158"/>
        <v>21</v>
      </c>
      <c r="E2003">
        <f t="shared" si="159"/>
        <v>2021</v>
      </c>
      <c r="F2003" s="217" t="str">
        <f t="shared" si="160"/>
        <v>3Q21</v>
      </c>
      <c r="G2003" s="218">
        <v>44440</v>
      </c>
      <c r="H2003" s="217">
        <v>5.1867000000000001</v>
      </c>
    </row>
    <row r="2004" spans="2:8">
      <c r="B2004" s="217" t="str">
        <f t="shared" si="157"/>
        <v>3Q</v>
      </c>
      <c r="C2004" s="217">
        <f t="shared" si="161"/>
        <v>9</v>
      </c>
      <c r="D2004" s="217" t="str">
        <f t="shared" si="158"/>
        <v>21</v>
      </c>
      <c r="E2004">
        <f t="shared" si="159"/>
        <v>2021</v>
      </c>
      <c r="F2004" s="217" t="str">
        <f t="shared" si="160"/>
        <v>3Q21</v>
      </c>
      <c r="G2004" s="218">
        <v>44441</v>
      </c>
      <c r="H2004" s="217">
        <v>5.1837</v>
      </c>
    </row>
    <row r="2005" spans="2:8">
      <c r="B2005" s="217" t="str">
        <f t="shared" si="157"/>
        <v>3Q</v>
      </c>
      <c r="C2005" s="217">
        <f t="shared" si="161"/>
        <v>9</v>
      </c>
      <c r="D2005" s="217" t="str">
        <f t="shared" si="158"/>
        <v>21</v>
      </c>
      <c r="E2005">
        <f t="shared" si="159"/>
        <v>2021</v>
      </c>
      <c r="F2005" s="217" t="str">
        <f t="shared" si="160"/>
        <v>3Q21</v>
      </c>
      <c r="G2005" s="218">
        <v>44442</v>
      </c>
      <c r="H2005" s="217">
        <v>5.1923000000000004</v>
      </c>
    </row>
    <row r="2006" spans="2:8">
      <c r="B2006" s="217" t="str">
        <f t="shared" si="157"/>
        <v>3Q</v>
      </c>
      <c r="C2006" s="217">
        <f t="shared" si="161"/>
        <v>9</v>
      </c>
      <c r="D2006" s="217" t="str">
        <f t="shared" si="158"/>
        <v>21</v>
      </c>
      <c r="E2006">
        <f t="shared" si="159"/>
        <v>2021</v>
      </c>
      <c r="F2006" s="217" t="str">
        <f t="shared" si="160"/>
        <v>3Q21</v>
      </c>
      <c r="G2006" s="218">
        <v>44445</v>
      </c>
      <c r="H2006" s="217">
        <v>5.1707999999999998</v>
      </c>
    </row>
    <row r="2007" spans="2:8">
      <c r="B2007" s="217" t="str">
        <f t="shared" si="157"/>
        <v>3Q</v>
      </c>
      <c r="C2007" s="217">
        <f t="shared" si="161"/>
        <v>9</v>
      </c>
      <c r="D2007" s="217" t="str">
        <f t="shared" si="158"/>
        <v>21</v>
      </c>
      <c r="E2007">
        <f t="shared" si="159"/>
        <v>2021</v>
      </c>
      <c r="F2007" s="217" t="str">
        <f t="shared" si="160"/>
        <v>3Q21</v>
      </c>
      <c r="G2007" s="218">
        <v>44446</v>
      </c>
      <c r="H2007" s="217">
        <v>5.1706000000000003</v>
      </c>
    </row>
    <row r="2008" spans="2:8">
      <c r="B2008" s="217" t="str">
        <f t="shared" si="157"/>
        <v>3Q</v>
      </c>
      <c r="C2008" s="217">
        <f t="shared" si="161"/>
        <v>9</v>
      </c>
      <c r="D2008" s="217" t="str">
        <f t="shared" si="158"/>
        <v>21</v>
      </c>
      <c r="E2008">
        <f t="shared" si="159"/>
        <v>2021</v>
      </c>
      <c r="F2008" s="217" t="str">
        <f t="shared" si="160"/>
        <v>3Q21</v>
      </c>
      <c r="G2008" s="218">
        <v>44447</v>
      </c>
      <c r="H2008" s="217">
        <v>5.3223000000000003</v>
      </c>
    </row>
    <row r="2009" spans="2:8">
      <c r="B2009" s="217" t="str">
        <f t="shared" si="157"/>
        <v>3Q</v>
      </c>
      <c r="C2009" s="217">
        <f t="shared" si="161"/>
        <v>9</v>
      </c>
      <c r="D2009" s="217" t="str">
        <f t="shared" si="158"/>
        <v>21</v>
      </c>
      <c r="E2009">
        <f t="shared" si="159"/>
        <v>2021</v>
      </c>
      <c r="F2009" s="217" t="str">
        <f t="shared" si="160"/>
        <v>3Q21</v>
      </c>
      <c r="G2009" s="218">
        <v>44448</v>
      </c>
      <c r="H2009" s="217">
        <v>5.1981999999999999</v>
      </c>
    </row>
    <row r="2010" spans="2:8">
      <c r="B2010" s="217" t="str">
        <f t="shared" si="157"/>
        <v>3Q</v>
      </c>
      <c r="C2010" s="217">
        <f t="shared" si="161"/>
        <v>9</v>
      </c>
      <c r="D2010" s="217" t="str">
        <f t="shared" si="158"/>
        <v>21</v>
      </c>
      <c r="E2010">
        <f t="shared" si="159"/>
        <v>2021</v>
      </c>
      <c r="F2010" s="217" t="str">
        <f t="shared" si="160"/>
        <v>3Q21</v>
      </c>
      <c r="G2010" s="218">
        <v>44449</v>
      </c>
      <c r="H2010" s="217">
        <v>5.2464000000000004</v>
      </c>
    </row>
    <row r="2011" spans="2:8">
      <c r="B2011" s="217" t="str">
        <f t="shared" si="157"/>
        <v>3Q</v>
      </c>
      <c r="C2011" s="217">
        <f t="shared" si="161"/>
        <v>9</v>
      </c>
      <c r="D2011" s="217" t="str">
        <f t="shared" si="158"/>
        <v>21</v>
      </c>
      <c r="E2011">
        <f t="shared" si="159"/>
        <v>2021</v>
      </c>
      <c r="F2011" s="217" t="str">
        <f t="shared" si="160"/>
        <v>3Q21</v>
      </c>
      <c r="G2011" s="218">
        <v>44452</v>
      </c>
      <c r="H2011" s="217">
        <v>5.2148000000000003</v>
      </c>
    </row>
    <row r="2012" spans="2:8">
      <c r="B2012" s="217" t="str">
        <f t="shared" si="157"/>
        <v>3Q</v>
      </c>
      <c r="C2012" s="217">
        <f t="shared" si="161"/>
        <v>9</v>
      </c>
      <c r="D2012" s="217" t="str">
        <f t="shared" si="158"/>
        <v>21</v>
      </c>
      <c r="E2012">
        <f t="shared" si="159"/>
        <v>2021</v>
      </c>
      <c r="F2012" s="217" t="str">
        <f t="shared" si="160"/>
        <v>3Q21</v>
      </c>
      <c r="G2012" s="218">
        <v>44453</v>
      </c>
      <c r="H2012" s="217">
        <v>5.2403000000000004</v>
      </c>
    </row>
    <row r="2013" spans="2:8">
      <c r="B2013" s="217" t="str">
        <f t="shared" si="157"/>
        <v>3Q</v>
      </c>
      <c r="C2013" s="217">
        <f t="shared" si="161"/>
        <v>9</v>
      </c>
      <c r="D2013" s="217" t="str">
        <f t="shared" si="158"/>
        <v>21</v>
      </c>
      <c r="E2013">
        <f t="shared" si="159"/>
        <v>2021</v>
      </c>
      <c r="F2013" s="217" t="str">
        <f t="shared" si="160"/>
        <v>3Q21</v>
      </c>
      <c r="G2013" s="218">
        <v>44454</v>
      </c>
      <c r="H2013" s="217">
        <v>5.2233999999999998</v>
      </c>
    </row>
    <row r="2014" spans="2:8">
      <c r="B2014" s="217" t="str">
        <f t="shared" si="157"/>
        <v>3Q</v>
      </c>
      <c r="C2014" s="217">
        <f t="shared" si="161"/>
        <v>9</v>
      </c>
      <c r="D2014" s="217" t="str">
        <f t="shared" si="158"/>
        <v>21</v>
      </c>
      <c r="E2014">
        <f t="shared" si="159"/>
        <v>2021</v>
      </c>
      <c r="F2014" s="217" t="str">
        <f t="shared" si="160"/>
        <v>3Q21</v>
      </c>
      <c r="G2014" s="218">
        <v>44455</v>
      </c>
      <c r="H2014" s="217">
        <v>5.2542</v>
      </c>
    </row>
    <row r="2015" spans="2:8">
      <c r="B2015" s="217" t="str">
        <f t="shared" si="157"/>
        <v>3Q</v>
      </c>
      <c r="C2015" s="217">
        <f t="shared" si="161"/>
        <v>9</v>
      </c>
      <c r="D2015" s="217" t="str">
        <f t="shared" si="158"/>
        <v>21</v>
      </c>
      <c r="E2015">
        <f t="shared" si="159"/>
        <v>2021</v>
      </c>
      <c r="F2015" s="217" t="str">
        <f t="shared" si="160"/>
        <v>3Q21</v>
      </c>
      <c r="G2015" s="218">
        <v>44456</v>
      </c>
      <c r="H2015" s="217">
        <v>5.2893999999999997</v>
      </c>
    </row>
    <row r="2016" spans="2:8">
      <c r="B2016" s="217" t="str">
        <f t="shared" si="157"/>
        <v>3Q</v>
      </c>
      <c r="C2016" s="217">
        <f t="shared" si="161"/>
        <v>9</v>
      </c>
      <c r="D2016" s="217" t="str">
        <f t="shared" si="158"/>
        <v>21</v>
      </c>
      <c r="E2016">
        <f t="shared" si="159"/>
        <v>2021</v>
      </c>
      <c r="F2016" s="217" t="str">
        <f t="shared" si="160"/>
        <v>3Q21</v>
      </c>
      <c r="G2016" s="218">
        <v>44459</v>
      </c>
      <c r="H2016" s="217">
        <v>5.3244999999999996</v>
      </c>
    </row>
    <row r="2017" spans="2:8">
      <c r="B2017" s="217" t="str">
        <f t="shared" si="157"/>
        <v>3Q</v>
      </c>
      <c r="C2017" s="217">
        <f t="shared" si="161"/>
        <v>9</v>
      </c>
      <c r="D2017" s="217" t="str">
        <f t="shared" si="158"/>
        <v>21</v>
      </c>
      <c r="E2017">
        <f t="shared" si="159"/>
        <v>2021</v>
      </c>
      <c r="F2017" s="217" t="str">
        <f t="shared" si="160"/>
        <v>3Q21</v>
      </c>
      <c r="G2017" s="218">
        <v>44460</v>
      </c>
      <c r="H2017" s="217">
        <v>5.2706999999999997</v>
      </c>
    </row>
    <row r="2018" spans="2:8">
      <c r="B2018" s="217" t="str">
        <f t="shared" si="157"/>
        <v>3Q</v>
      </c>
      <c r="C2018" s="217">
        <f t="shared" si="161"/>
        <v>9</v>
      </c>
      <c r="D2018" s="217" t="str">
        <f t="shared" si="158"/>
        <v>21</v>
      </c>
      <c r="E2018">
        <f t="shared" si="159"/>
        <v>2021</v>
      </c>
      <c r="F2018" s="217" t="str">
        <f t="shared" si="160"/>
        <v>3Q21</v>
      </c>
      <c r="G2018" s="218">
        <v>44461</v>
      </c>
      <c r="H2018" s="217">
        <v>5.2892999999999999</v>
      </c>
    </row>
    <row r="2019" spans="2:8">
      <c r="B2019" s="217" t="str">
        <f t="shared" si="157"/>
        <v>3Q</v>
      </c>
      <c r="C2019" s="217">
        <f t="shared" si="161"/>
        <v>9</v>
      </c>
      <c r="D2019" s="217" t="str">
        <f t="shared" si="158"/>
        <v>21</v>
      </c>
      <c r="E2019">
        <f t="shared" si="159"/>
        <v>2021</v>
      </c>
      <c r="F2019" s="217" t="str">
        <f t="shared" si="160"/>
        <v>3Q21</v>
      </c>
      <c r="G2019" s="218">
        <v>44462</v>
      </c>
      <c r="H2019" s="217">
        <v>5.3033999999999999</v>
      </c>
    </row>
    <row r="2020" spans="2:8">
      <c r="B2020" s="217" t="str">
        <f t="shared" si="157"/>
        <v>3Q</v>
      </c>
      <c r="C2020" s="217">
        <f t="shared" si="161"/>
        <v>9</v>
      </c>
      <c r="D2020" s="217" t="str">
        <f t="shared" si="158"/>
        <v>21</v>
      </c>
      <c r="E2020">
        <f t="shared" si="159"/>
        <v>2021</v>
      </c>
      <c r="F2020" s="217" t="str">
        <f t="shared" si="160"/>
        <v>3Q21</v>
      </c>
      <c r="G2020" s="218">
        <v>44463</v>
      </c>
      <c r="H2020" s="217">
        <v>5.3349000000000002</v>
      </c>
    </row>
    <row r="2021" spans="2:8">
      <c r="B2021" s="217" t="str">
        <f t="shared" si="157"/>
        <v>3Q</v>
      </c>
      <c r="C2021" s="217">
        <f t="shared" si="161"/>
        <v>9</v>
      </c>
      <c r="D2021" s="217" t="str">
        <f t="shared" si="158"/>
        <v>21</v>
      </c>
      <c r="E2021">
        <f t="shared" si="159"/>
        <v>2021</v>
      </c>
      <c r="F2021" s="217" t="str">
        <f t="shared" si="160"/>
        <v>3Q21</v>
      </c>
      <c r="G2021" s="218">
        <v>44466</v>
      </c>
      <c r="H2021" s="217">
        <v>5.3920000000000003</v>
      </c>
    </row>
    <row r="2022" spans="2:8">
      <c r="B2022" s="217" t="str">
        <f t="shared" si="157"/>
        <v>3Q</v>
      </c>
      <c r="C2022" s="217">
        <f t="shared" si="161"/>
        <v>9</v>
      </c>
      <c r="D2022" s="217" t="str">
        <f t="shared" si="158"/>
        <v>21</v>
      </c>
      <c r="E2022">
        <f t="shared" si="159"/>
        <v>2021</v>
      </c>
      <c r="F2022" s="217" t="str">
        <f t="shared" si="160"/>
        <v>3Q21</v>
      </c>
      <c r="G2022" s="218">
        <v>44467</v>
      </c>
      <c r="H2022" s="217">
        <v>5.4295999999999998</v>
      </c>
    </row>
    <row r="2023" spans="2:8">
      <c r="B2023" s="217" t="str">
        <f t="shared" si="157"/>
        <v>3Q</v>
      </c>
      <c r="C2023" s="217">
        <f t="shared" si="161"/>
        <v>9</v>
      </c>
      <c r="D2023" s="217" t="str">
        <f t="shared" si="158"/>
        <v>21</v>
      </c>
      <c r="E2023">
        <f t="shared" si="159"/>
        <v>2021</v>
      </c>
      <c r="F2023" s="217" t="str">
        <f t="shared" si="160"/>
        <v>3Q21</v>
      </c>
      <c r="G2023" s="218">
        <v>44468</v>
      </c>
      <c r="H2023" s="217">
        <v>5.4157000000000002</v>
      </c>
    </row>
    <row r="2024" spans="2:8">
      <c r="B2024" s="217" t="str">
        <f t="shared" si="157"/>
        <v>3Q</v>
      </c>
      <c r="C2024" s="217">
        <f t="shared" si="161"/>
        <v>9</v>
      </c>
      <c r="D2024" s="217" t="str">
        <f t="shared" si="158"/>
        <v>21</v>
      </c>
      <c r="E2024">
        <f t="shared" si="159"/>
        <v>2021</v>
      </c>
      <c r="F2024" s="217" t="str">
        <f t="shared" si="160"/>
        <v>3Q21</v>
      </c>
      <c r="G2024" s="218">
        <v>44469</v>
      </c>
      <c r="H2024" s="217">
        <v>5.4432999999999998</v>
      </c>
    </row>
    <row r="2025" spans="2:8">
      <c r="B2025" s="217" t="str">
        <f t="shared" si="157"/>
        <v>4Q</v>
      </c>
      <c r="C2025" s="217">
        <f t="shared" si="161"/>
        <v>10</v>
      </c>
      <c r="D2025" s="217" t="str">
        <f t="shared" si="158"/>
        <v>21</v>
      </c>
      <c r="E2025">
        <f t="shared" si="159"/>
        <v>2021</v>
      </c>
      <c r="F2025" s="217" t="str">
        <f t="shared" si="160"/>
        <v>4Q21</v>
      </c>
      <c r="G2025" s="218">
        <v>44470</v>
      </c>
      <c r="H2025" s="217">
        <v>5.3636999999999997</v>
      </c>
    </row>
    <row r="2026" spans="2:8">
      <c r="B2026" s="217" t="str">
        <f t="shared" si="157"/>
        <v>4Q</v>
      </c>
      <c r="C2026" s="217">
        <f t="shared" si="161"/>
        <v>10</v>
      </c>
      <c r="D2026" s="217" t="str">
        <f t="shared" si="158"/>
        <v>21</v>
      </c>
      <c r="E2026">
        <f t="shared" si="159"/>
        <v>2021</v>
      </c>
      <c r="F2026" s="217" t="str">
        <f t="shared" si="160"/>
        <v>4Q21</v>
      </c>
      <c r="G2026" s="218">
        <v>44473</v>
      </c>
      <c r="H2026" s="217">
        <v>5.4545000000000003</v>
      </c>
    </row>
    <row r="2027" spans="2:8">
      <c r="B2027" s="217" t="str">
        <f t="shared" si="157"/>
        <v>4Q</v>
      </c>
      <c r="C2027" s="217">
        <f t="shared" si="161"/>
        <v>10</v>
      </c>
      <c r="D2027" s="217" t="str">
        <f t="shared" si="158"/>
        <v>21</v>
      </c>
      <c r="E2027">
        <f t="shared" si="159"/>
        <v>2021</v>
      </c>
      <c r="F2027" s="217" t="str">
        <f t="shared" si="160"/>
        <v>4Q21</v>
      </c>
      <c r="G2027" s="218">
        <v>44474</v>
      </c>
      <c r="H2027" s="217">
        <v>5.4752000000000001</v>
      </c>
    </row>
    <row r="2028" spans="2:8">
      <c r="B2028" s="217" t="str">
        <f t="shared" si="157"/>
        <v>4Q</v>
      </c>
      <c r="C2028" s="217">
        <f t="shared" si="161"/>
        <v>10</v>
      </c>
      <c r="D2028" s="217" t="str">
        <f t="shared" si="158"/>
        <v>21</v>
      </c>
      <c r="E2028">
        <f t="shared" si="159"/>
        <v>2021</v>
      </c>
      <c r="F2028" s="217" t="str">
        <f t="shared" si="160"/>
        <v>4Q21</v>
      </c>
      <c r="G2028" s="218">
        <v>44475</v>
      </c>
      <c r="H2028" s="217">
        <v>5.4916999999999998</v>
      </c>
    </row>
    <row r="2029" spans="2:8">
      <c r="B2029" s="217" t="str">
        <f t="shared" si="157"/>
        <v>4Q</v>
      </c>
      <c r="C2029" s="217">
        <f t="shared" si="161"/>
        <v>10</v>
      </c>
      <c r="D2029" s="217" t="str">
        <f t="shared" si="158"/>
        <v>21</v>
      </c>
      <c r="E2029">
        <f t="shared" si="159"/>
        <v>2021</v>
      </c>
      <c r="F2029" s="217" t="str">
        <f t="shared" si="160"/>
        <v>4Q21</v>
      </c>
      <c r="G2029" s="218">
        <v>44476</v>
      </c>
      <c r="H2029" s="217">
        <v>5.5194000000000001</v>
      </c>
    </row>
    <row r="2030" spans="2:8">
      <c r="B2030" s="217" t="str">
        <f t="shared" si="157"/>
        <v>4Q</v>
      </c>
      <c r="C2030" s="217">
        <f t="shared" si="161"/>
        <v>10</v>
      </c>
      <c r="D2030" s="217" t="str">
        <f t="shared" si="158"/>
        <v>21</v>
      </c>
      <c r="E2030">
        <f t="shared" si="159"/>
        <v>2021</v>
      </c>
      <c r="F2030" s="217" t="str">
        <f t="shared" si="160"/>
        <v>4Q21</v>
      </c>
      <c r="G2030" s="218">
        <v>44477</v>
      </c>
      <c r="H2030" s="217">
        <v>5.5087000000000002</v>
      </c>
    </row>
    <row r="2031" spans="2:8">
      <c r="B2031" s="217" t="str">
        <f t="shared" si="157"/>
        <v>4Q</v>
      </c>
      <c r="C2031" s="217">
        <f t="shared" si="161"/>
        <v>10</v>
      </c>
      <c r="D2031" s="217" t="str">
        <f t="shared" si="158"/>
        <v>21</v>
      </c>
      <c r="E2031">
        <f t="shared" si="159"/>
        <v>2021</v>
      </c>
      <c r="F2031" s="217" t="str">
        <f t="shared" si="160"/>
        <v>4Q21</v>
      </c>
      <c r="G2031" s="218">
        <v>44480</v>
      </c>
      <c r="H2031" s="217">
        <v>5.5370999999999997</v>
      </c>
    </row>
    <row r="2032" spans="2:8">
      <c r="B2032" s="217" t="str">
        <f t="shared" si="157"/>
        <v>4Q</v>
      </c>
      <c r="C2032" s="217">
        <f t="shared" si="161"/>
        <v>10</v>
      </c>
      <c r="D2032" s="217" t="str">
        <f t="shared" si="158"/>
        <v>21</v>
      </c>
      <c r="E2032">
        <f t="shared" si="159"/>
        <v>2021</v>
      </c>
      <c r="F2032" s="217" t="str">
        <f t="shared" si="160"/>
        <v>4Q21</v>
      </c>
      <c r="G2032" s="218">
        <v>44481</v>
      </c>
      <c r="H2032" s="217">
        <v>5.5330000000000004</v>
      </c>
    </row>
    <row r="2033" spans="2:8">
      <c r="B2033" s="217" t="str">
        <f t="shared" si="157"/>
        <v>4Q</v>
      </c>
      <c r="C2033" s="217">
        <f t="shared" si="161"/>
        <v>10</v>
      </c>
      <c r="D2033" s="217" t="str">
        <f t="shared" si="158"/>
        <v>21</v>
      </c>
      <c r="E2033">
        <f t="shared" si="159"/>
        <v>2021</v>
      </c>
      <c r="F2033" s="217" t="str">
        <f t="shared" si="160"/>
        <v>4Q21</v>
      </c>
      <c r="G2033" s="218">
        <v>44482</v>
      </c>
      <c r="H2033" s="217">
        <v>5.5137</v>
      </c>
    </row>
    <row r="2034" spans="2:8">
      <c r="B2034" s="217" t="str">
        <f t="shared" si="157"/>
        <v>4Q</v>
      </c>
      <c r="C2034" s="217">
        <f t="shared" si="161"/>
        <v>10</v>
      </c>
      <c r="D2034" s="217" t="str">
        <f t="shared" si="158"/>
        <v>21</v>
      </c>
      <c r="E2034">
        <f t="shared" si="159"/>
        <v>2021</v>
      </c>
      <c r="F2034" s="217" t="str">
        <f t="shared" si="160"/>
        <v>4Q21</v>
      </c>
      <c r="G2034" s="218">
        <v>44483</v>
      </c>
      <c r="H2034" s="217">
        <v>5.5137</v>
      </c>
    </row>
    <row r="2035" spans="2:8">
      <c r="B2035" s="217" t="str">
        <f t="shared" si="157"/>
        <v>4Q</v>
      </c>
      <c r="C2035" s="217">
        <f t="shared" si="161"/>
        <v>10</v>
      </c>
      <c r="D2035" s="217" t="str">
        <f t="shared" si="158"/>
        <v>21</v>
      </c>
      <c r="E2035">
        <f t="shared" si="159"/>
        <v>2021</v>
      </c>
      <c r="F2035" s="217" t="str">
        <f t="shared" si="160"/>
        <v>4Q21</v>
      </c>
      <c r="G2035" s="218">
        <v>44484</v>
      </c>
      <c r="H2035" s="217">
        <v>5.4615999999999998</v>
      </c>
    </row>
    <row r="2036" spans="2:8">
      <c r="B2036" s="217" t="str">
        <f t="shared" si="157"/>
        <v>4Q</v>
      </c>
      <c r="C2036" s="217">
        <f t="shared" si="161"/>
        <v>10</v>
      </c>
      <c r="D2036" s="217" t="str">
        <f t="shared" si="158"/>
        <v>21</v>
      </c>
      <c r="E2036">
        <f t="shared" si="159"/>
        <v>2021</v>
      </c>
      <c r="F2036" s="217" t="str">
        <f t="shared" si="160"/>
        <v>4Q21</v>
      </c>
      <c r="G2036" s="218">
        <v>44487</v>
      </c>
      <c r="H2036" s="217">
        <v>5.5125999999999999</v>
      </c>
    </row>
    <row r="2037" spans="2:8">
      <c r="B2037" s="217" t="str">
        <f t="shared" si="157"/>
        <v>4Q</v>
      </c>
      <c r="C2037" s="217">
        <f t="shared" si="161"/>
        <v>10</v>
      </c>
      <c r="D2037" s="217" t="str">
        <f t="shared" si="158"/>
        <v>21</v>
      </c>
      <c r="E2037">
        <f t="shared" si="159"/>
        <v>2021</v>
      </c>
      <c r="F2037" s="217" t="str">
        <f t="shared" si="160"/>
        <v>4Q21</v>
      </c>
      <c r="G2037" s="218">
        <v>44488</v>
      </c>
      <c r="H2037" s="217">
        <v>5.5853000000000002</v>
      </c>
    </row>
    <row r="2038" spans="2:8">
      <c r="B2038" s="217" t="str">
        <f t="shared" si="157"/>
        <v>4Q</v>
      </c>
      <c r="C2038" s="217">
        <f t="shared" si="161"/>
        <v>10</v>
      </c>
      <c r="D2038" s="217" t="str">
        <f t="shared" si="158"/>
        <v>21</v>
      </c>
      <c r="E2038">
        <f t="shared" si="159"/>
        <v>2021</v>
      </c>
      <c r="F2038" s="217" t="str">
        <f t="shared" si="160"/>
        <v>4Q21</v>
      </c>
      <c r="G2038" s="218">
        <v>44489</v>
      </c>
      <c r="H2038" s="217">
        <v>5.5979000000000001</v>
      </c>
    </row>
    <row r="2039" spans="2:8">
      <c r="B2039" s="217" t="str">
        <f t="shared" si="157"/>
        <v>4Q</v>
      </c>
      <c r="C2039" s="217">
        <f t="shared" si="161"/>
        <v>10</v>
      </c>
      <c r="D2039" s="217" t="str">
        <f t="shared" si="158"/>
        <v>21</v>
      </c>
      <c r="E2039">
        <f t="shared" si="159"/>
        <v>2021</v>
      </c>
      <c r="F2039" s="217" t="str">
        <f t="shared" si="160"/>
        <v>4Q21</v>
      </c>
      <c r="G2039" s="218">
        <v>44490</v>
      </c>
      <c r="H2039" s="217">
        <v>5.6585999999999999</v>
      </c>
    </row>
    <row r="2040" spans="2:8">
      <c r="B2040" s="217" t="str">
        <f t="shared" si="157"/>
        <v>4Q</v>
      </c>
      <c r="C2040" s="217">
        <f t="shared" si="161"/>
        <v>10</v>
      </c>
      <c r="D2040" s="217" t="str">
        <f t="shared" si="158"/>
        <v>21</v>
      </c>
      <c r="E2040">
        <f t="shared" si="159"/>
        <v>2021</v>
      </c>
      <c r="F2040" s="217" t="str">
        <f t="shared" si="160"/>
        <v>4Q21</v>
      </c>
      <c r="G2040" s="218">
        <v>44491</v>
      </c>
      <c r="H2040" s="217">
        <v>5.6486000000000001</v>
      </c>
    </row>
    <row r="2041" spans="2:8">
      <c r="B2041" s="217" t="str">
        <f t="shared" si="157"/>
        <v>4Q</v>
      </c>
      <c r="C2041" s="217">
        <f t="shared" si="161"/>
        <v>10</v>
      </c>
      <c r="D2041" s="217" t="str">
        <f t="shared" si="158"/>
        <v>21</v>
      </c>
      <c r="E2041">
        <f t="shared" si="159"/>
        <v>2021</v>
      </c>
      <c r="F2041" s="217" t="str">
        <f t="shared" si="160"/>
        <v>4Q21</v>
      </c>
      <c r="G2041" s="218">
        <v>44494</v>
      </c>
      <c r="H2041" s="217">
        <v>5.5567000000000002</v>
      </c>
    </row>
    <row r="2042" spans="2:8">
      <c r="B2042" s="217" t="str">
        <f t="shared" si="157"/>
        <v>4Q</v>
      </c>
      <c r="C2042" s="217">
        <f t="shared" si="161"/>
        <v>10</v>
      </c>
      <c r="D2042" s="217" t="str">
        <f t="shared" si="158"/>
        <v>21</v>
      </c>
      <c r="E2042">
        <f t="shared" si="159"/>
        <v>2021</v>
      </c>
      <c r="F2042" s="217" t="str">
        <f t="shared" si="160"/>
        <v>4Q21</v>
      </c>
      <c r="G2042" s="218">
        <v>44495</v>
      </c>
      <c r="H2042" s="217">
        <v>5.5671999999999997</v>
      </c>
    </row>
    <row r="2043" spans="2:8">
      <c r="B2043" s="217" t="str">
        <f t="shared" si="157"/>
        <v>4Q</v>
      </c>
      <c r="C2043" s="217">
        <f t="shared" si="161"/>
        <v>10</v>
      </c>
      <c r="D2043" s="217" t="str">
        <f t="shared" si="158"/>
        <v>21</v>
      </c>
      <c r="E2043">
        <f t="shared" si="159"/>
        <v>2021</v>
      </c>
      <c r="F2043" s="217" t="str">
        <f t="shared" si="160"/>
        <v>4Q21</v>
      </c>
      <c r="G2043" s="218">
        <v>44496</v>
      </c>
      <c r="H2043" s="217">
        <v>5.5381999999999998</v>
      </c>
    </row>
    <row r="2044" spans="2:8">
      <c r="B2044" s="217" t="str">
        <f t="shared" si="157"/>
        <v>4Q</v>
      </c>
      <c r="C2044" s="217">
        <f t="shared" si="161"/>
        <v>10</v>
      </c>
      <c r="D2044" s="217" t="str">
        <f t="shared" si="158"/>
        <v>21</v>
      </c>
      <c r="E2044">
        <f t="shared" si="159"/>
        <v>2021</v>
      </c>
      <c r="F2044" s="217" t="str">
        <f t="shared" si="160"/>
        <v>4Q21</v>
      </c>
      <c r="G2044" s="218">
        <v>44497</v>
      </c>
      <c r="H2044" s="217">
        <v>5.6468999999999996</v>
      </c>
    </row>
    <row r="2045" spans="2:8">
      <c r="B2045" s="217" t="str">
        <f t="shared" si="157"/>
        <v>4Q</v>
      </c>
      <c r="C2045" s="217">
        <f t="shared" si="161"/>
        <v>10</v>
      </c>
      <c r="D2045" s="217" t="str">
        <f t="shared" si="158"/>
        <v>21</v>
      </c>
      <c r="E2045">
        <f t="shared" si="159"/>
        <v>2021</v>
      </c>
      <c r="F2045" s="217" t="str">
        <f t="shared" si="160"/>
        <v>4Q21</v>
      </c>
      <c r="G2045" s="218">
        <v>44498</v>
      </c>
      <c r="H2045" s="217">
        <v>5.6387999999999998</v>
      </c>
    </row>
    <row r="2046" spans="2:8">
      <c r="B2046" s="217" t="str">
        <f t="shared" si="157"/>
        <v>4Q</v>
      </c>
      <c r="C2046" s="217">
        <f t="shared" si="161"/>
        <v>11</v>
      </c>
      <c r="D2046" s="217" t="str">
        <f t="shared" si="158"/>
        <v>21</v>
      </c>
      <c r="E2046">
        <f t="shared" si="159"/>
        <v>2021</v>
      </c>
      <c r="F2046" s="217" t="str">
        <f t="shared" si="160"/>
        <v>4Q21</v>
      </c>
      <c r="G2046" s="218">
        <v>44501</v>
      </c>
      <c r="H2046" s="217">
        <v>5.6821000000000002</v>
      </c>
    </row>
    <row r="2047" spans="2:8">
      <c r="B2047" s="217" t="str">
        <f t="shared" si="157"/>
        <v>4Q</v>
      </c>
      <c r="C2047" s="217">
        <f t="shared" si="161"/>
        <v>11</v>
      </c>
      <c r="D2047" s="217" t="str">
        <f t="shared" si="158"/>
        <v>21</v>
      </c>
      <c r="E2047">
        <f t="shared" si="159"/>
        <v>2021</v>
      </c>
      <c r="F2047" s="217" t="str">
        <f t="shared" si="160"/>
        <v>4Q21</v>
      </c>
      <c r="G2047" s="218">
        <v>44502</v>
      </c>
      <c r="H2047" s="217">
        <v>5.68</v>
      </c>
    </row>
    <row r="2048" spans="2:8">
      <c r="B2048" s="217" t="str">
        <f t="shared" si="157"/>
        <v>4Q</v>
      </c>
      <c r="C2048" s="217">
        <f t="shared" si="161"/>
        <v>11</v>
      </c>
      <c r="D2048" s="217" t="str">
        <f t="shared" si="158"/>
        <v>21</v>
      </c>
      <c r="E2048">
        <f t="shared" si="159"/>
        <v>2021</v>
      </c>
      <c r="F2048" s="217" t="str">
        <f t="shared" si="160"/>
        <v>4Q21</v>
      </c>
      <c r="G2048" s="218">
        <v>44503</v>
      </c>
      <c r="H2048" s="217">
        <v>5.5534999999999997</v>
      </c>
    </row>
    <row r="2049" spans="2:8">
      <c r="B2049" s="217" t="str">
        <f t="shared" si="157"/>
        <v>4Q</v>
      </c>
      <c r="C2049" s="217">
        <f t="shared" si="161"/>
        <v>11</v>
      </c>
      <c r="D2049" s="217" t="str">
        <f t="shared" si="158"/>
        <v>21</v>
      </c>
      <c r="E2049">
        <f t="shared" si="159"/>
        <v>2021</v>
      </c>
      <c r="F2049" s="217" t="str">
        <f t="shared" si="160"/>
        <v>4Q21</v>
      </c>
      <c r="G2049" s="218">
        <v>44504</v>
      </c>
      <c r="H2049" s="217">
        <v>5.6032000000000002</v>
      </c>
    </row>
    <row r="2050" spans="2:8">
      <c r="B2050" s="217" t="str">
        <f t="shared" si="157"/>
        <v>4Q</v>
      </c>
      <c r="C2050" s="217">
        <f t="shared" si="161"/>
        <v>11</v>
      </c>
      <c r="D2050" s="217" t="str">
        <f t="shared" si="158"/>
        <v>21</v>
      </c>
      <c r="E2050">
        <f t="shared" si="159"/>
        <v>2021</v>
      </c>
      <c r="F2050" s="217" t="str">
        <f t="shared" si="160"/>
        <v>4Q21</v>
      </c>
      <c r="G2050" s="218">
        <v>44505</v>
      </c>
      <c r="H2050" s="217">
        <v>5.5433000000000003</v>
      </c>
    </row>
    <row r="2051" spans="2:8">
      <c r="B2051" s="217" t="str">
        <f t="shared" ref="B2051:B2114" si="162">VLOOKUP(C2051,$N$3:$O$14,2,0)</f>
        <v>4Q</v>
      </c>
      <c r="C2051" s="217">
        <f t="shared" si="161"/>
        <v>11</v>
      </c>
      <c r="D2051" s="217" t="str">
        <f t="shared" ref="D2051:D2114" si="163">RIGHT(E2051,2)</f>
        <v>21</v>
      </c>
      <c r="E2051">
        <f t="shared" ref="E2051:E2114" si="164">YEAR(G2051)</f>
        <v>2021</v>
      </c>
      <c r="F2051" s="217" t="str">
        <f t="shared" ref="F2051:F2114" si="165">+B2051&amp;D2051</f>
        <v>4Q21</v>
      </c>
      <c r="G2051" s="218">
        <v>44508</v>
      </c>
      <c r="H2051" s="217">
        <v>5.5445000000000002</v>
      </c>
    </row>
    <row r="2052" spans="2:8">
      <c r="B2052" s="217" t="str">
        <f t="shared" si="162"/>
        <v>4Q</v>
      </c>
      <c r="C2052" s="217">
        <f t="shared" ref="C2052:C2115" si="166">MONTH(G2052)</f>
        <v>11</v>
      </c>
      <c r="D2052" s="217" t="str">
        <f t="shared" si="163"/>
        <v>21</v>
      </c>
      <c r="E2052">
        <f t="shared" si="164"/>
        <v>2021</v>
      </c>
      <c r="F2052" s="217" t="str">
        <f t="shared" si="165"/>
        <v>4Q21</v>
      </c>
      <c r="G2052" s="218">
        <v>44509</v>
      </c>
      <c r="H2052" s="217">
        <v>5.4809000000000001</v>
      </c>
    </row>
    <row r="2053" spans="2:8">
      <c r="B2053" s="217" t="str">
        <f t="shared" si="162"/>
        <v>4Q</v>
      </c>
      <c r="C2053" s="217">
        <f t="shared" si="166"/>
        <v>11</v>
      </c>
      <c r="D2053" s="217" t="str">
        <f t="shared" si="163"/>
        <v>21</v>
      </c>
      <c r="E2053">
        <f t="shared" si="164"/>
        <v>2021</v>
      </c>
      <c r="F2053" s="217" t="str">
        <f t="shared" si="165"/>
        <v>4Q21</v>
      </c>
      <c r="G2053" s="218">
        <v>44510</v>
      </c>
      <c r="H2053" s="217">
        <v>5.4915000000000003</v>
      </c>
    </row>
    <row r="2054" spans="2:8">
      <c r="B2054" s="217" t="str">
        <f t="shared" si="162"/>
        <v>4Q</v>
      </c>
      <c r="C2054" s="217">
        <f t="shared" si="166"/>
        <v>11</v>
      </c>
      <c r="D2054" s="217" t="str">
        <f t="shared" si="163"/>
        <v>21</v>
      </c>
      <c r="E2054">
        <f t="shared" si="164"/>
        <v>2021</v>
      </c>
      <c r="F2054" s="217" t="str">
        <f t="shared" si="165"/>
        <v>4Q21</v>
      </c>
      <c r="G2054" s="218">
        <v>44511</v>
      </c>
      <c r="H2054" s="217">
        <v>5.3994</v>
      </c>
    </row>
    <row r="2055" spans="2:8">
      <c r="B2055" s="217" t="str">
        <f t="shared" si="162"/>
        <v>4Q</v>
      </c>
      <c r="C2055" s="217">
        <f t="shared" si="166"/>
        <v>11</v>
      </c>
      <c r="D2055" s="217" t="str">
        <f t="shared" si="163"/>
        <v>21</v>
      </c>
      <c r="E2055">
        <f t="shared" si="164"/>
        <v>2021</v>
      </c>
      <c r="F2055" s="217" t="str">
        <f t="shared" si="165"/>
        <v>4Q21</v>
      </c>
      <c r="G2055" s="218">
        <v>44512</v>
      </c>
      <c r="H2055" s="217">
        <v>5.4592000000000001</v>
      </c>
    </row>
    <row r="2056" spans="2:8">
      <c r="B2056" s="217" t="str">
        <f t="shared" si="162"/>
        <v>4Q</v>
      </c>
      <c r="C2056" s="217">
        <f t="shared" si="166"/>
        <v>11</v>
      </c>
      <c r="D2056" s="217" t="str">
        <f t="shared" si="163"/>
        <v>21</v>
      </c>
      <c r="E2056">
        <f t="shared" si="164"/>
        <v>2021</v>
      </c>
      <c r="F2056" s="217" t="str">
        <f t="shared" si="165"/>
        <v>4Q21</v>
      </c>
      <c r="G2056" s="218">
        <v>44515</v>
      </c>
      <c r="H2056" s="217">
        <v>5.4577</v>
      </c>
    </row>
    <row r="2057" spans="2:8">
      <c r="B2057" s="217" t="str">
        <f t="shared" si="162"/>
        <v>4Q</v>
      </c>
      <c r="C2057" s="217">
        <f t="shared" si="166"/>
        <v>11</v>
      </c>
      <c r="D2057" s="217" t="str">
        <f t="shared" si="163"/>
        <v>21</v>
      </c>
      <c r="E2057">
        <f t="shared" si="164"/>
        <v>2021</v>
      </c>
      <c r="F2057" s="217" t="str">
        <f t="shared" si="165"/>
        <v>4Q21</v>
      </c>
      <c r="G2057" s="218">
        <v>44516</v>
      </c>
      <c r="H2057" s="217">
        <v>5.5033000000000003</v>
      </c>
    </row>
    <row r="2058" spans="2:8">
      <c r="B2058" s="217" t="str">
        <f t="shared" si="162"/>
        <v>4Q</v>
      </c>
      <c r="C2058" s="217">
        <f t="shared" si="166"/>
        <v>11</v>
      </c>
      <c r="D2058" s="217" t="str">
        <f t="shared" si="163"/>
        <v>21</v>
      </c>
      <c r="E2058">
        <f t="shared" si="164"/>
        <v>2021</v>
      </c>
      <c r="F2058" s="217" t="str">
        <f t="shared" si="165"/>
        <v>4Q21</v>
      </c>
      <c r="G2058" s="218">
        <v>44517</v>
      </c>
      <c r="H2058" s="217">
        <v>5.5297000000000001</v>
      </c>
    </row>
    <row r="2059" spans="2:8">
      <c r="B2059" s="217" t="str">
        <f t="shared" si="162"/>
        <v>4Q</v>
      </c>
      <c r="C2059" s="217">
        <f t="shared" si="166"/>
        <v>11</v>
      </c>
      <c r="D2059" s="217" t="str">
        <f t="shared" si="163"/>
        <v>21</v>
      </c>
      <c r="E2059">
        <f t="shared" si="164"/>
        <v>2021</v>
      </c>
      <c r="F2059" s="217" t="str">
        <f t="shared" si="165"/>
        <v>4Q21</v>
      </c>
      <c r="G2059" s="218">
        <v>44518</v>
      </c>
      <c r="H2059" s="217">
        <v>5.5580999999999996</v>
      </c>
    </row>
    <row r="2060" spans="2:8">
      <c r="B2060" s="217" t="str">
        <f t="shared" si="162"/>
        <v>4Q</v>
      </c>
      <c r="C2060" s="217">
        <f t="shared" si="166"/>
        <v>11</v>
      </c>
      <c r="D2060" s="217" t="str">
        <f t="shared" si="163"/>
        <v>21</v>
      </c>
      <c r="E2060">
        <f t="shared" si="164"/>
        <v>2021</v>
      </c>
      <c r="F2060" s="217" t="str">
        <f t="shared" si="165"/>
        <v>4Q21</v>
      </c>
      <c r="G2060" s="218">
        <v>44519</v>
      </c>
      <c r="H2060" s="217">
        <v>5.6136999999999997</v>
      </c>
    </row>
    <row r="2061" spans="2:8">
      <c r="B2061" s="217" t="str">
        <f t="shared" si="162"/>
        <v>4Q</v>
      </c>
      <c r="C2061" s="217">
        <f t="shared" si="166"/>
        <v>11</v>
      </c>
      <c r="D2061" s="217" t="str">
        <f t="shared" si="163"/>
        <v>21</v>
      </c>
      <c r="E2061">
        <f t="shared" si="164"/>
        <v>2021</v>
      </c>
      <c r="F2061" s="217" t="str">
        <f t="shared" si="165"/>
        <v>4Q21</v>
      </c>
      <c r="G2061" s="218">
        <v>44522</v>
      </c>
      <c r="H2061" s="217">
        <v>5.5869999999999997</v>
      </c>
    </row>
    <row r="2062" spans="2:8">
      <c r="B2062" s="217" t="str">
        <f t="shared" si="162"/>
        <v>4Q</v>
      </c>
      <c r="C2062" s="217">
        <f t="shared" si="166"/>
        <v>11</v>
      </c>
      <c r="D2062" s="217" t="str">
        <f t="shared" si="163"/>
        <v>21</v>
      </c>
      <c r="E2062">
        <f t="shared" si="164"/>
        <v>2021</v>
      </c>
      <c r="F2062" s="217" t="str">
        <f t="shared" si="165"/>
        <v>4Q21</v>
      </c>
      <c r="G2062" s="218">
        <v>44523</v>
      </c>
      <c r="H2062" s="217">
        <v>5.5716999999999999</v>
      </c>
    </row>
    <row r="2063" spans="2:8">
      <c r="B2063" s="217" t="str">
        <f t="shared" si="162"/>
        <v>4Q</v>
      </c>
      <c r="C2063" s="217">
        <f t="shared" si="166"/>
        <v>11</v>
      </c>
      <c r="D2063" s="217" t="str">
        <f t="shared" si="163"/>
        <v>21</v>
      </c>
      <c r="E2063">
        <f t="shared" si="164"/>
        <v>2021</v>
      </c>
      <c r="F2063" s="217" t="str">
        <f t="shared" si="165"/>
        <v>4Q21</v>
      </c>
      <c r="G2063" s="218">
        <v>44524</v>
      </c>
      <c r="H2063" s="217">
        <v>5.6066000000000003</v>
      </c>
    </row>
    <row r="2064" spans="2:8">
      <c r="B2064" s="217" t="str">
        <f t="shared" si="162"/>
        <v>4Q</v>
      </c>
      <c r="C2064" s="217">
        <f t="shared" si="166"/>
        <v>11</v>
      </c>
      <c r="D2064" s="217" t="str">
        <f t="shared" si="163"/>
        <v>21</v>
      </c>
      <c r="E2064">
        <f t="shared" si="164"/>
        <v>2021</v>
      </c>
      <c r="F2064" s="217" t="str">
        <f t="shared" si="165"/>
        <v>4Q21</v>
      </c>
      <c r="G2064" s="218">
        <v>44525</v>
      </c>
      <c r="H2064" s="217">
        <v>5.5669000000000004</v>
      </c>
    </row>
    <row r="2065" spans="2:8">
      <c r="B2065" s="217" t="str">
        <f t="shared" si="162"/>
        <v>4Q</v>
      </c>
      <c r="C2065" s="217">
        <f t="shared" si="166"/>
        <v>11</v>
      </c>
      <c r="D2065" s="217" t="str">
        <f t="shared" si="163"/>
        <v>21</v>
      </c>
      <c r="E2065">
        <f t="shared" si="164"/>
        <v>2021</v>
      </c>
      <c r="F2065" s="217" t="str">
        <f t="shared" si="165"/>
        <v>4Q21</v>
      </c>
      <c r="G2065" s="218">
        <v>44526</v>
      </c>
      <c r="H2065" s="217">
        <v>5.6097999999999999</v>
      </c>
    </row>
    <row r="2066" spans="2:8">
      <c r="B2066" s="217" t="str">
        <f t="shared" si="162"/>
        <v>4Q</v>
      </c>
      <c r="C2066" s="217">
        <f t="shared" si="166"/>
        <v>11</v>
      </c>
      <c r="D2066" s="217" t="str">
        <f t="shared" si="163"/>
        <v>21</v>
      </c>
      <c r="E2066">
        <f t="shared" si="164"/>
        <v>2021</v>
      </c>
      <c r="F2066" s="217" t="str">
        <f t="shared" si="165"/>
        <v>4Q21</v>
      </c>
      <c r="G2066" s="218">
        <v>44529</v>
      </c>
      <c r="H2066" s="217">
        <v>5.6021999999999998</v>
      </c>
    </row>
    <row r="2067" spans="2:8">
      <c r="B2067" s="217" t="str">
        <f t="shared" si="162"/>
        <v>4Q</v>
      </c>
      <c r="C2067" s="217">
        <f t="shared" si="166"/>
        <v>11</v>
      </c>
      <c r="D2067" s="217" t="str">
        <f t="shared" si="163"/>
        <v>21</v>
      </c>
      <c r="E2067">
        <f t="shared" si="164"/>
        <v>2021</v>
      </c>
      <c r="F2067" s="217" t="str">
        <f t="shared" si="165"/>
        <v>4Q21</v>
      </c>
      <c r="G2067" s="218">
        <v>44530</v>
      </c>
      <c r="H2067" s="217">
        <v>5.6243999999999996</v>
      </c>
    </row>
    <row r="2068" spans="2:8">
      <c r="B2068" s="217" t="str">
        <f t="shared" si="162"/>
        <v>4Q</v>
      </c>
      <c r="C2068" s="217">
        <f t="shared" si="166"/>
        <v>12</v>
      </c>
      <c r="D2068" s="217" t="str">
        <f t="shared" si="163"/>
        <v>21</v>
      </c>
      <c r="E2068">
        <f t="shared" si="164"/>
        <v>2021</v>
      </c>
      <c r="F2068" s="217" t="str">
        <f t="shared" si="165"/>
        <v>4Q21</v>
      </c>
      <c r="G2068" s="218">
        <v>44531</v>
      </c>
      <c r="H2068" s="217">
        <v>5.6958000000000002</v>
      </c>
    </row>
    <row r="2069" spans="2:8">
      <c r="B2069" s="217" t="str">
        <f t="shared" si="162"/>
        <v>4Q</v>
      </c>
      <c r="C2069" s="217">
        <f t="shared" si="166"/>
        <v>12</v>
      </c>
      <c r="D2069" s="217" t="str">
        <f t="shared" si="163"/>
        <v>21</v>
      </c>
      <c r="E2069">
        <f t="shared" si="164"/>
        <v>2021</v>
      </c>
      <c r="F2069" s="217" t="str">
        <f t="shared" si="165"/>
        <v>4Q21</v>
      </c>
      <c r="G2069" s="218">
        <v>44532</v>
      </c>
      <c r="H2069" s="217">
        <v>5.6467000000000001</v>
      </c>
    </row>
    <row r="2070" spans="2:8">
      <c r="B2070" s="217" t="str">
        <f t="shared" si="162"/>
        <v>4Q</v>
      </c>
      <c r="C2070" s="217">
        <f t="shared" si="166"/>
        <v>12</v>
      </c>
      <c r="D2070" s="217" t="str">
        <f t="shared" si="163"/>
        <v>21</v>
      </c>
      <c r="E2070">
        <f t="shared" si="164"/>
        <v>2021</v>
      </c>
      <c r="F2070" s="217" t="str">
        <f t="shared" si="165"/>
        <v>4Q21</v>
      </c>
      <c r="G2070" s="218">
        <v>44533</v>
      </c>
      <c r="H2070" s="217">
        <v>5.6536999999999997</v>
      </c>
    </row>
    <row r="2071" spans="2:8">
      <c r="B2071" s="217" t="str">
        <f t="shared" si="162"/>
        <v>4Q</v>
      </c>
      <c r="C2071" s="217">
        <f t="shared" si="166"/>
        <v>12</v>
      </c>
      <c r="D2071" s="217" t="str">
        <f t="shared" si="163"/>
        <v>21</v>
      </c>
      <c r="E2071">
        <f t="shared" si="164"/>
        <v>2021</v>
      </c>
      <c r="F2071" s="217" t="str">
        <f t="shared" si="165"/>
        <v>4Q21</v>
      </c>
      <c r="G2071" s="218">
        <v>44536</v>
      </c>
      <c r="H2071" s="217">
        <v>5.6896000000000004</v>
      </c>
    </row>
    <row r="2072" spans="2:8">
      <c r="B2072" s="217" t="str">
        <f t="shared" si="162"/>
        <v>4Q</v>
      </c>
      <c r="C2072" s="217">
        <f t="shared" si="166"/>
        <v>12</v>
      </c>
      <c r="D2072" s="217" t="str">
        <f t="shared" si="163"/>
        <v>21</v>
      </c>
      <c r="E2072">
        <f t="shared" si="164"/>
        <v>2021</v>
      </c>
      <c r="F2072" s="217" t="str">
        <f t="shared" si="165"/>
        <v>4Q21</v>
      </c>
      <c r="G2072" s="218">
        <v>44537</v>
      </c>
      <c r="H2072" s="217">
        <v>5.6132</v>
      </c>
    </row>
    <row r="2073" spans="2:8">
      <c r="B2073" s="217" t="str">
        <f t="shared" si="162"/>
        <v>4Q</v>
      </c>
      <c r="C2073" s="217">
        <f t="shared" si="166"/>
        <v>12</v>
      </c>
      <c r="D2073" s="217" t="str">
        <f t="shared" si="163"/>
        <v>21</v>
      </c>
      <c r="E2073">
        <f t="shared" si="164"/>
        <v>2021</v>
      </c>
      <c r="F2073" s="217" t="str">
        <f t="shared" si="165"/>
        <v>4Q21</v>
      </c>
      <c r="G2073" s="218">
        <v>44538</v>
      </c>
      <c r="H2073" s="217">
        <v>5.5331999999999999</v>
      </c>
    </row>
    <row r="2074" spans="2:8">
      <c r="B2074" s="217" t="str">
        <f t="shared" si="162"/>
        <v>4Q</v>
      </c>
      <c r="C2074" s="217">
        <f t="shared" si="166"/>
        <v>12</v>
      </c>
      <c r="D2074" s="217" t="str">
        <f t="shared" si="163"/>
        <v>21</v>
      </c>
      <c r="E2074">
        <f t="shared" si="164"/>
        <v>2021</v>
      </c>
      <c r="F2074" s="217" t="str">
        <f t="shared" si="165"/>
        <v>4Q21</v>
      </c>
      <c r="G2074" s="218">
        <v>44539</v>
      </c>
      <c r="H2074" s="217">
        <v>5.5730000000000004</v>
      </c>
    </row>
    <row r="2075" spans="2:8">
      <c r="B2075" s="217" t="str">
        <f t="shared" si="162"/>
        <v>4Q</v>
      </c>
      <c r="C2075" s="217">
        <f t="shared" si="166"/>
        <v>12</v>
      </c>
      <c r="D2075" s="217" t="str">
        <f t="shared" si="163"/>
        <v>21</v>
      </c>
      <c r="E2075">
        <f t="shared" si="164"/>
        <v>2021</v>
      </c>
      <c r="F2075" s="217" t="str">
        <f t="shared" si="165"/>
        <v>4Q21</v>
      </c>
      <c r="G2075" s="218">
        <v>44540</v>
      </c>
      <c r="H2075" s="217">
        <v>5.6132</v>
      </c>
    </row>
    <row r="2076" spans="2:8">
      <c r="B2076" s="217" t="str">
        <f t="shared" si="162"/>
        <v>4Q</v>
      </c>
      <c r="C2076" s="217">
        <f t="shared" si="166"/>
        <v>12</v>
      </c>
      <c r="D2076" s="217" t="str">
        <f t="shared" si="163"/>
        <v>21</v>
      </c>
      <c r="E2076">
        <f t="shared" si="164"/>
        <v>2021</v>
      </c>
      <c r="F2076" s="217" t="str">
        <f t="shared" si="165"/>
        <v>4Q21</v>
      </c>
      <c r="G2076" s="218">
        <v>44543</v>
      </c>
      <c r="H2076" s="217">
        <v>5.6806999999999999</v>
      </c>
    </row>
    <row r="2077" spans="2:8">
      <c r="B2077" s="217" t="str">
        <f t="shared" si="162"/>
        <v>4Q</v>
      </c>
      <c r="C2077" s="217">
        <f t="shared" si="166"/>
        <v>12</v>
      </c>
      <c r="D2077" s="217" t="str">
        <f t="shared" si="163"/>
        <v>21</v>
      </c>
      <c r="E2077">
        <f t="shared" si="164"/>
        <v>2021</v>
      </c>
      <c r="F2077" s="217" t="str">
        <f t="shared" si="165"/>
        <v>4Q21</v>
      </c>
      <c r="G2077" s="218">
        <v>44544</v>
      </c>
      <c r="H2077" s="217">
        <v>5.6820000000000004</v>
      </c>
    </row>
    <row r="2078" spans="2:8">
      <c r="B2078" s="217" t="str">
        <f t="shared" si="162"/>
        <v>4Q</v>
      </c>
      <c r="C2078" s="217">
        <f t="shared" si="166"/>
        <v>12</v>
      </c>
      <c r="D2078" s="217" t="str">
        <f t="shared" si="163"/>
        <v>21</v>
      </c>
      <c r="E2078">
        <f t="shared" si="164"/>
        <v>2021</v>
      </c>
      <c r="F2078" s="217" t="str">
        <f t="shared" si="165"/>
        <v>4Q21</v>
      </c>
      <c r="G2078" s="218">
        <v>44545</v>
      </c>
      <c r="H2078" s="217">
        <v>5.6807999999999996</v>
      </c>
    </row>
    <row r="2079" spans="2:8">
      <c r="B2079" s="217" t="str">
        <f t="shared" si="162"/>
        <v>4Q</v>
      </c>
      <c r="C2079" s="217">
        <f t="shared" si="166"/>
        <v>12</v>
      </c>
      <c r="D2079" s="217" t="str">
        <f t="shared" si="163"/>
        <v>21</v>
      </c>
      <c r="E2079">
        <f t="shared" si="164"/>
        <v>2021</v>
      </c>
      <c r="F2079" s="217" t="str">
        <f t="shared" si="165"/>
        <v>4Q21</v>
      </c>
      <c r="G2079" s="218">
        <v>44546</v>
      </c>
      <c r="H2079" s="217">
        <v>5.6886999999999999</v>
      </c>
    </row>
    <row r="2080" spans="2:8">
      <c r="B2080" s="217" t="str">
        <f t="shared" si="162"/>
        <v>4Q</v>
      </c>
      <c r="C2080" s="217">
        <f t="shared" si="166"/>
        <v>12</v>
      </c>
      <c r="D2080" s="217" t="str">
        <f t="shared" si="163"/>
        <v>21</v>
      </c>
      <c r="E2080">
        <f t="shared" si="164"/>
        <v>2021</v>
      </c>
      <c r="F2080" s="217" t="str">
        <f t="shared" si="165"/>
        <v>4Q21</v>
      </c>
      <c r="G2080" s="218">
        <v>44547</v>
      </c>
      <c r="H2080" s="217">
        <v>5.6961000000000004</v>
      </c>
    </row>
    <row r="2081" spans="2:8">
      <c r="B2081" s="217" t="str">
        <f t="shared" si="162"/>
        <v>4Q</v>
      </c>
      <c r="C2081" s="217">
        <f t="shared" si="166"/>
        <v>12</v>
      </c>
      <c r="D2081" s="217" t="str">
        <f t="shared" si="163"/>
        <v>21</v>
      </c>
      <c r="E2081">
        <f t="shared" si="164"/>
        <v>2021</v>
      </c>
      <c r="F2081" s="217" t="str">
        <f t="shared" si="165"/>
        <v>4Q21</v>
      </c>
      <c r="G2081" s="218">
        <v>44550</v>
      </c>
      <c r="H2081" s="217">
        <v>5.7424999999999997</v>
      </c>
    </row>
    <row r="2082" spans="2:8">
      <c r="B2082" s="217" t="str">
        <f t="shared" si="162"/>
        <v>4Q</v>
      </c>
      <c r="C2082" s="217">
        <f t="shared" si="166"/>
        <v>12</v>
      </c>
      <c r="D2082" s="217" t="str">
        <f t="shared" si="163"/>
        <v>21</v>
      </c>
      <c r="E2082">
        <f t="shared" si="164"/>
        <v>2021</v>
      </c>
      <c r="F2082" s="217" t="str">
        <f t="shared" si="165"/>
        <v>4Q21</v>
      </c>
      <c r="G2082" s="218">
        <v>44551</v>
      </c>
      <c r="H2082" s="217">
        <v>5.7454999999999998</v>
      </c>
    </row>
    <row r="2083" spans="2:8">
      <c r="B2083" s="217" t="str">
        <f t="shared" si="162"/>
        <v>4Q</v>
      </c>
      <c r="C2083" s="217">
        <f t="shared" si="166"/>
        <v>12</v>
      </c>
      <c r="D2083" s="217" t="str">
        <f t="shared" si="163"/>
        <v>21</v>
      </c>
      <c r="E2083">
        <f t="shared" si="164"/>
        <v>2021</v>
      </c>
      <c r="F2083" s="217" t="str">
        <f t="shared" si="165"/>
        <v>4Q21</v>
      </c>
      <c r="G2083" s="218">
        <v>44552</v>
      </c>
      <c r="H2083" s="217">
        <v>5.6544999999999996</v>
      </c>
    </row>
    <row r="2084" spans="2:8">
      <c r="B2084" s="217" t="str">
        <f t="shared" si="162"/>
        <v>4Q</v>
      </c>
      <c r="C2084" s="217">
        <f t="shared" si="166"/>
        <v>12</v>
      </c>
      <c r="D2084" s="217" t="str">
        <f t="shared" si="163"/>
        <v>21</v>
      </c>
      <c r="E2084">
        <f t="shared" si="164"/>
        <v>2021</v>
      </c>
      <c r="F2084" s="217" t="str">
        <f t="shared" si="165"/>
        <v>4Q21</v>
      </c>
      <c r="G2084" s="218">
        <v>44553</v>
      </c>
      <c r="H2084" s="217">
        <v>5.6753999999999998</v>
      </c>
    </row>
    <row r="2085" spans="2:8">
      <c r="B2085" s="217" t="str">
        <f t="shared" si="162"/>
        <v>4Q</v>
      </c>
      <c r="C2085" s="217">
        <f t="shared" si="166"/>
        <v>12</v>
      </c>
      <c r="D2085" s="217" t="str">
        <f t="shared" si="163"/>
        <v>21</v>
      </c>
      <c r="E2085">
        <f t="shared" si="164"/>
        <v>2021</v>
      </c>
      <c r="F2085" s="217" t="str">
        <f t="shared" si="165"/>
        <v>4Q21</v>
      </c>
      <c r="G2085" s="218">
        <v>44554</v>
      </c>
      <c r="H2085" s="217">
        <v>5.6753</v>
      </c>
    </row>
    <row r="2086" spans="2:8">
      <c r="B2086" s="217" t="str">
        <f t="shared" si="162"/>
        <v>4Q</v>
      </c>
      <c r="C2086" s="217">
        <f t="shared" si="166"/>
        <v>12</v>
      </c>
      <c r="D2086" s="217" t="str">
        <f t="shared" si="163"/>
        <v>21</v>
      </c>
      <c r="E2086">
        <f t="shared" si="164"/>
        <v>2021</v>
      </c>
      <c r="F2086" s="217" t="str">
        <f t="shared" si="165"/>
        <v>4Q21</v>
      </c>
      <c r="G2086" s="218">
        <v>44557</v>
      </c>
      <c r="H2086" s="217">
        <v>5.6254</v>
      </c>
    </row>
    <row r="2087" spans="2:8">
      <c r="B2087" s="217" t="str">
        <f t="shared" si="162"/>
        <v>4Q</v>
      </c>
      <c r="C2087" s="217">
        <f t="shared" si="166"/>
        <v>12</v>
      </c>
      <c r="D2087" s="217" t="str">
        <f t="shared" si="163"/>
        <v>21</v>
      </c>
      <c r="E2087">
        <f t="shared" si="164"/>
        <v>2021</v>
      </c>
      <c r="F2087" s="217" t="str">
        <f t="shared" si="165"/>
        <v>4Q21</v>
      </c>
      <c r="G2087" s="218">
        <v>44558</v>
      </c>
      <c r="H2087" s="217">
        <v>5.6288</v>
      </c>
    </row>
    <row r="2088" spans="2:8">
      <c r="B2088" s="217" t="str">
        <f t="shared" si="162"/>
        <v>4Q</v>
      </c>
      <c r="C2088" s="217">
        <f t="shared" si="166"/>
        <v>12</v>
      </c>
      <c r="D2088" s="217" t="str">
        <f t="shared" si="163"/>
        <v>21</v>
      </c>
      <c r="E2088">
        <f t="shared" si="164"/>
        <v>2021</v>
      </c>
      <c r="F2088" s="217" t="str">
        <f t="shared" si="165"/>
        <v>4Q21</v>
      </c>
      <c r="G2088" s="218">
        <v>44559</v>
      </c>
      <c r="H2088" s="217">
        <v>5.7037000000000004</v>
      </c>
    </row>
    <row r="2089" spans="2:8">
      <c r="B2089" s="217" t="str">
        <f t="shared" si="162"/>
        <v>4Q</v>
      </c>
      <c r="C2089" s="217">
        <f t="shared" si="166"/>
        <v>12</v>
      </c>
      <c r="D2089" s="217" t="str">
        <f t="shared" si="163"/>
        <v>21</v>
      </c>
      <c r="E2089">
        <f t="shared" si="164"/>
        <v>2021</v>
      </c>
      <c r="F2089" s="217" t="str">
        <f t="shared" si="165"/>
        <v>4Q21</v>
      </c>
      <c r="G2089" s="218">
        <v>44560</v>
      </c>
      <c r="H2089" s="217">
        <v>5.5715000000000003</v>
      </c>
    </row>
    <row r="2090" spans="2:8">
      <c r="B2090" s="217" t="str">
        <f t="shared" si="162"/>
        <v>4Q</v>
      </c>
      <c r="C2090" s="217">
        <f t="shared" si="166"/>
        <v>12</v>
      </c>
      <c r="D2090" s="217" t="str">
        <f t="shared" si="163"/>
        <v>21</v>
      </c>
      <c r="E2090">
        <f t="shared" si="164"/>
        <v>2021</v>
      </c>
      <c r="F2090" s="217" t="str">
        <f t="shared" si="165"/>
        <v>4Q21</v>
      </c>
      <c r="G2090" s="218">
        <v>44561</v>
      </c>
      <c r="H2090" s="217">
        <v>5.5712999999999999</v>
      </c>
    </row>
    <row r="2091" spans="2:8">
      <c r="B2091" s="217" t="str">
        <f t="shared" si="162"/>
        <v>1Q</v>
      </c>
      <c r="C2091" s="217">
        <f t="shared" si="166"/>
        <v>1</v>
      </c>
      <c r="D2091" s="217" t="str">
        <f t="shared" si="163"/>
        <v>22</v>
      </c>
      <c r="E2091">
        <f t="shared" si="164"/>
        <v>2022</v>
      </c>
      <c r="F2091" s="217" t="str">
        <f t="shared" si="165"/>
        <v>1Q22</v>
      </c>
      <c r="G2091" s="218">
        <v>44564</v>
      </c>
      <c r="H2091" s="217">
        <v>5.6822999999999997</v>
      </c>
    </row>
    <row r="2092" spans="2:8">
      <c r="B2092" s="217" t="str">
        <f t="shared" si="162"/>
        <v>1Q</v>
      </c>
      <c r="C2092" s="217">
        <f t="shared" si="166"/>
        <v>1</v>
      </c>
      <c r="D2092" s="217" t="str">
        <f t="shared" si="163"/>
        <v>22</v>
      </c>
      <c r="E2092">
        <f t="shared" si="164"/>
        <v>2022</v>
      </c>
      <c r="F2092" s="217" t="str">
        <f t="shared" si="165"/>
        <v>1Q22</v>
      </c>
      <c r="G2092" s="218">
        <v>44565</v>
      </c>
      <c r="H2092" s="217">
        <v>5.6772999999999998</v>
      </c>
    </row>
    <row r="2093" spans="2:8">
      <c r="B2093" s="217" t="str">
        <f t="shared" si="162"/>
        <v>1Q</v>
      </c>
      <c r="C2093" s="217">
        <f t="shared" si="166"/>
        <v>1</v>
      </c>
      <c r="D2093" s="217" t="str">
        <f t="shared" si="163"/>
        <v>22</v>
      </c>
      <c r="E2093">
        <f t="shared" si="164"/>
        <v>2022</v>
      </c>
      <c r="F2093" s="217" t="str">
        <f t="shared" si="165"/>
        <v>1Q22</v>
      </c>
      <c r="G2093" s="218">
        <v>44566</v>
      </c>
      <c r="H2093" s="217">
        <v>5.7092000000000001</v>
      </c>
    </row>
    <row r="2094" spans="2:8">
      <c r="B2094" s="217" t="str">
        <f t="shared" si="162"/>
        <v>1Q</v>
      </c>
      <c r="C2094" s="217">
        <f t="shared" si="166"/>
        <v>1</v>
      </c>
      <c r="D2094" s="217" t="str">
        <f t="shared" si="163"/>
        <v>22</v>
      </c>
      <c r="E2094">
        <f t="shared" si="164"/>
        <v>2022</v>
      </c>
      <c r="F2094" s="217" t="str">
        <f t="shared" si="165"/>
        <v>1Q22</v>
      </c>
      <c r="G2094" s="218">
        <v>44567</v>
      </c>
      <c r="H2094" s="217">
        <v>5.6839000000000004</v>
      </c>
    </row>
    <row r="2095" spans="2:8">
      <c r="B2095" s="217" t="str">
        <f t="shared" si="162"/>
        <v>1Q</v>
      </c>
      <c r="C2095" s="217">
        <f t="shared" si="166"/>
        <v>1</v>
      </c>
      <c r="D2095" s="217" t="str">
        <f t="shared" si="163"/>
        <v>22</v>
      </c>
      <c r="E2095">
        <f t="shared" si="164"/>
        <v>2022</v>
      </c>
      <c r="F2095" s="217" t="str">
        <f t="shared" si="165"/>
        <v>1Q22</v>
      </c>
      <c r="G2095" s="218">
        <v>44568</v>
      </c>
      <c r="H2095" s="217">
        <v>5.6360000000000001</v>
      </c>
    </row>
    <row r="2096" spans="2:8">
      <c r="B2096" s="217" t="str">
        <f t="shared" si="162"/>
        <v>1Q</v>
      </c>
      <c r="C2096" s="217">
        <f t="shared" si="166"/>
        <v>1</v>
      </c>
      <c r="D2096" s="217" t="str">
        <f t="shared" si="163"/>
        <v>22</v>
      </c>
      <c r="E2096">
        <f t="shared" si="164"/>
        <v>2022</v>
      </c>
      <c r="F2096" s="217" t="str">
        <f t="shared" si="165"/>
        <v>1Q22</v>
      </c>
      <c r="G2096" s="218">
        <v>44571</v>
      </c>
      <c r="H2096" s="217">
        <v>5.6638000000000002</v>
      </c>
    </row>
    <row r="2097" spans="2:8">
      <c r="B2097" s="217" t="str">
        <f t="shared" si="162"/>
        <v>1Q</v>
      </c>
      <c r="C2097" s="217">
        <f t="shared" si="166"/>
        <v>1</v>
      </c>
      <c r="D2097" s="217" t="str">
        <f t="shared" si="163"/>
        <v>22</v>
      </c>
      <c r="E2097">
        <f t="shared" si="164"/>
        <v>2022</v>
      </c>
      <c r="F2097" s="217" t="str">
        <f t="shared" si="165"/>
        <v>1Q22</v>
      </c>
      <c r="G2097" s="218">
        <v>44572</v>
      </c>
      <c r="H2097" s="217">
        <v>5.5690999999999997</v>
      </c>
    </row>
    <row r="2098" spans="2:8">
      <c r="B2098" s="217" t="str">
        <f t="shared" si="162"/>
        <v>1Q</v>
      </c>
      <c r="C2098" s="217">
        <f t="shared" si="166"/>
        <v>1</v>
      </c>
      <c r="D2098" s="217" t="str">
        <f t="shared" si="163"/>
        <v>22</v>
      </c>
      <c r="E2098">
        <f t="shared" si="164"/>
        <v>2022</v>
      </c>
      <c r="F2098" s="217" t="str">
        <f t="shared" si="165"/>
        <v>1Q22</v>
      </c>
      <c r="G2098" s="218">
        <v>44573</v>
      </c>
      <c r="H2098" s="217">
        <v>5.5343</v>
      </c>
    </row>
    <row r="2099" spans="2:8">
      <c r="B2099" s="217" t="str">
        <f t="shared" si="162"/>
        <v>1Q</v>
      </c>
      <c r="C2099" s="217">
        <f t="shared" si="166"/>
        <v>1</v>
      </c>
      <c r="D2099" s="217" t="str">
        <f t="shared" si="163"/>
        <v>22</v>
      </c>
      <c r="E2099">
        <f t="shared" si="164"/>
        <v>2022</v>
      </c>
      <c r="F2099" s="217" t="str">
        <f t="shared" si="165"/>
        <v>1Q22</v>
      </c>
      <c r="G2099" s="218">
        <v>44574</v>
      </c>
      <c r="H2099" s="217">
        <v>5.5290999999999997</v>
      </c>
    </row>
    <row r="2100" spans="2:8">
      <c r="B2100" s="217" t="str">
        <f t="shared" si="162"/>
        <v>1Q</v>
      </c>
      <c r="C2100" s="217">
        <f t="shared" si="166"/>
        <v>1</v>
      </c>
      <c r="D2100" s="217" t="str">
        <f t="shared" si="163"/>
        <v>22</v>
      </c>
      <c r="E2100">
        <f t="shared" si="164"/>
        <v>2022</v>
      </c>
      <c r="F2100" s="217" t="str">
        <f t="shared" si="165"/>
        <v>1Q22</v>
      </c>
      <c r="G2100" s="218">
        <v>44575</v>
      </c>
      <c r="H2100" s="217">
        <v>5.5349000000000004</v>
      </c>
    </row>
    <row r="2101" spans="2:8">
      <c r="B2101" s="217" t="str">
        <f t="shared" si="162"/>
        <v>1Q</v>
      </c>
      <c r="C2101" s="217">
        <f t="shared" si="166"/>
        <v>1</v>
      </c>
      <c r="D2101" s="217" t="str">
        <f t="shared" si="163"/>
        <v>22</v>
      </c>
      <c r="E2101">
        <f t="shared" si="164"/>
        <v>2022</v>
      </c>
      <c r="F2101" s="217" t="str">
        <f t="shared" si="165"/>
        <v>1Q22</v>
      </c>
      <c r="G2101" s="218">
        <v>44578</v>
      </c>
      <c r="H2101" s="217">
        <v>5.5170000000000003</v>
      </c>
    </row>
    <row r="2102" spans="2:8">
      <c r="B2102" s="217" t="str">
        <f t="shared" si="162"/>
        <v>1Q</v>
      </c>
      <c r="C2102" s="217">
        <f t="shared" si="166"/>
        <v>1</v>
      </c>
      <c r="D2102" s="217" t="str">
        <f t="shared" si="163"/>
        <v>22</v>
      </c>
      <c r="E2102">
        <f t="shared" si="164"/>
        <v>2022</v>
      </c>
      <c r="F2102" s="217" t="str">
        <f t="shared" si="165"/>
        <v>1Q22</v>
      </c>
      <c r="G2102" s="218">
        <v>44579</v>
      </c>
      <c r="H2102" s="217">
        <v>5.5670999999999999</v>
      </c>
    </row>
    <row r="2103" spans="2:8">
      <c r="B2103" s="217" t="str">
        <f t="shared" si="162"/>
        <v>1Q</v>
      </c>
      <c r="C2103" s="217">
        <f t="shared" si="166"/>
        <v>1</v>
      </c>
      <c r="D2103" s="217" t="str">
        <f t="shared" si="163"/>
        <v>22</v>
      </c>
      <c r="E2103">
        <f t="shared" si="164"/>
        <v>2022</v>
      </c>
      <c r="F2103" s="217" t="str">
        <f t="shared" si="165"/>
        <v>1Q22</v>
      </c>
      <c r="G2103" s="218">
        <v>44580</v>
      </c>
      <c r="H2103" s="217">
        <v>5.4387999999999996</v>
      </c>
    </row>
    <row r="2104" spans="2:8">
      <c r="B2104" s="217" t="str">
        <f t="shared" si="162"/>
        <v>1Q</v>
      </c>
      <c r="C2104" s="217">
        <f t="shared" si="166"/>
        <v>1</v>
      </c>
      <c r="D2104" s="217" t="str">
        <f t="shared" si="163"/>
        <v>22</v>
      </c>
      <c r="E2104">
        <f t="shared" si="164"/>
        <v>2022</v>
      </c>
      <c r="F2104" s="217" t="str">
        <f t="shared" si="165"/>
        <v>1Q22</v>
      </c>
      <c r="G2104" s="218">
        <v>44581</v>
      </c>
      <c r="H2104" s="217">
        <v>5.4196</v>
      </c>
    </row>
    <row r="2105" spans="2:8">
      <c r="B2105" s="217" t="str">
        <f t="shared" si="162"/>
        <v>1Q</v>
      </c>
      <c r="C2105" s="217">
        <f t="shared" si="166"/>
        <v>1</v>
      </c>
      <c r="D2105" s="217" t="str">
        <f t="shared" si="163"/>
        <v>22</v>
      </c>
      <c r="E2105">
        <f t="shared" si="164"/>
        <v>2022</v>
      </c>
      <c r="F2105" s="217" t="str">
        <f t="shared" si="165"/>
        <v>1Q22</v>
      </c>
      <c r="G2105" s="218">
        <v>44582</v>
      </c>
      <c r="H2105" s="217">
        <v>5.4587000000000003</v>
      </c>
    </row>
    <row r="2106" spans="2:8">
      <c r="B2106" s="217" t="str">
        <f t="shared" si="162"/>
        <v>1Q</v>
      </c>
      <c r="C2106" s="217">
        <f t="shared" si="166"/>
        <v>1</v>
      </c>
      <c r="D2106" s="217" t="str">
        <f t="shared" si="163"/>
        <v>22</v>
      </c>
      <c r="E2106">
        <f t="shared" si="164"/>
        <v>2022</v>
      </c>
      <c r="F2106" s="217" t="str">
        <f t="shared" si="165"/>
        <v>1Q22</v>
      </c>
      <c r="G2106" s="218">
        <v>44585</v>
      </c>
      <c r="H2106" s="217">
        <v>5.4882</v>
      </c>
    </row>
    <row r="2107" spans="2:8">
      <c r="B2107" s="217" t="str">
        <f t="shared" si="162"/>
        <v>1Q</v>
      </c>
      <c r="C2107" s="217">
        <f t="shared" si="166"/>
        <v>1</v>
      </c>
      <c r="D2107" s="217" t="str">
        <f t="shared" si="163"/>
        <v>22</v>
      </c>
      <c r="E2107">
        <f t="shared" si="164"/>
        <v>2022</v>
      </c>
      <c r="F2107" s="217" t="str">
        <f t="shared" si="165"/>
        <v>1Q22</v>
      </c>
      <c r="G2107" s="218">
        <v>44586</v>
      </c>
      <c r="H2107" s="217">
        <v>5.4442000000000004</v>
      </c>
    </row>
    <row r="2108" spans="2:8">
      <c r="B2108" s="217" t="str">
        <f t="shared" si="162"/>
        <v>1Q</v>
      </c>
      <c r="C2108" s="217">
        <f t="shared" si="166"/>
        <v>1</v>
      </c>
      <c r="D2108" s="217" t="str">
        <f t="shared" si="163"/>
        <v>22</v>
      </c>
      <c r="E2108">
        <f t="shared" si="164"/>
        <v>2022</v>
      </c>
      <c r="F2108" s="217" t="str">
        <f t="shared" si="165"/>
        <v>1Q22</v>
      </c>
      <c r="G2108" s="218">
        <v>44587</v>
      </c>
      <c r="H2108" s="217">
        <v>5.4329000000000001</v>
      </c>
    </row>
    <row r="2109" spans="2:8">
      <c r="B2109" s="217" t="str">
        <f t="shared" si="162"/>
        <v>1Q</v>
      </c>
      <c r="C2109" s="217">
        <f t="shared" si="166"/>
        <v>1</v>
      </c>
      <c r="D2109" s="217" t="str">
        <f t="shared" si="163"/>
        <v>22</v>
      </c>
      <c r="E2109">
        <f t="shared" si="164"/>
        <v>2022</v>
      </c>
      <c r="F2109" s="217" t="str">
        <f t="shared" si="165"/>
        <v>1Q22</v>
      </c>
      <c r="G2109" s="218">
        <v>44588</v>
      </c>
      <c r="H2109" s="217">
        <v>5.407</v>
      </c>
    </row>
    <row r="2110" spans="2:8">
      <c r="B2110" s="217" t="str">
        <f t="shared" si="162"/>
        <v>1Q</v>
      </c>
      <c r="C2110" s="217">
        <f t="shared" si="166"/>
        <v>1</v>
      </c>
      <c r="D2110" s="217" t="str">
        <f t="shared" si="163"/>
        <v>22</v>
      </c>
      <c r="E2110">
        <f t="shared" si="164"/>
        <v>2022</v>
      </c>
      <c r="F2110" s="217" t="str">
        <f t="shared" si="165"/>
        <v>1Q22</v>
      </c>
      <c r="G2110" s="218">
        <v>44589</v>
      </c>
      <c r="H2110" s="217">
        <v>5.3676000000000004</v>
      </c>
    </row>
    <row r="2111" spans="2:8">
      <c r="B2111" s="217" t="str">
        <f t="shared" si="162"/>
        <v>1Q</v>
      </c>
      <c r="C2111" s="217">
        <f t="shared" si="166"/>
        <v>1</v>
      </c>
      <c r="D2111" s="217" t="str">
        <f t="shared" si="163"/>
        <v>22</v>
      </c>
      <c r="E2111">
        <f t="shared" si="164"/>
        <v>2022</v>
      </c>
      <c r="F2111" s="217" t="str">
        <f t="shared" si="165"/>
        <v>1Q22</v>
      </c>
      <c r="G2111" s="218">
        <v>44592</v>
      </c>
      <c r="H2111" s="217">
        <v>5.3045999999999998</v>
      </c>
    </row>
    <row r="2112" spans="2:8">
      <c r="B2112" s="217" t="str">
        <f t="shared" si="162"/>
        <v>1Q</v>
      </c>
      <c r="C2112" s="217">
        <f t="shared" si="166"/>
        <v>2</v>
      </c>
      <c r="D2112" s="217" t="str">
        <f t="shared" si="163"/>
        <v>22</v>
      </c>
      <c r="E2112">
        <f t="shared" si="164"/>
        <v>2022</v>
      </c>
      <c r="F2112" s="217" t="str">
        <f t="shared" si="165"/>
        <v>1Q22</v>
      </c>
      <c r="G2112" s="218">
        <v>44593</v>
      </c>
      <c r="H2112" s="217">
        <v>5.266</v>
      </c>
    </row>
    <row r="2113" spans="2:8">
      <c r="B2113" s="217" t="str">
        <f t="shared" si="162"/>
        <v>1Q</v>
      </c>
      <c r="C2113" s="217">
        <f t="shared" si="166"/>
        <v>2</v>
      </c>
      <c r="D2113" s="217" t="str">
        <f t="shared" si="163"/>
        <v>22</v>
      </c>
      <c r="E2113">
        <f t="shared" si="164"/>
        <v>2022</v>
      </c>
      <c r="F2113" s="217" t="str">
        <f t="shared" si="165"/>
        <v>1Q22</v>
      </c>
      <c r="G2113" s="218">
        <v>44594</v>
      </c>
      <c r="H2113" s="217">
        <v>5.2625000000000002</v>
      </c>
    </row>
    <row r="2114" spans="2:8">
      <c r="B2114" s="217" t="str">
        <f t="shared" si="162"/>
        <v>1Q</v>
      </c>
      <c r="C2114" s="217">
        <f t="shared" si="166"/>
        <v>2</v>
      </c>
      <c r="D2114" s="217" t="str">
        <f t="shared" si="163"/>
        <v>22</v>
      </c>
      <c r="E2114">
        <f t="shared" si="164"/>
        <v>2022</v>
      </c>
      <c r="F2114" s="217" t="str">
        <f t="shared" si="165"/>
        <v>1Q22</v>
      </c>
      <c r="G2114" s="218">
        <v>44595</v>
      </c>
      <c r="H2114" s="217">
        <v>5.2843999999999998</v>
      </c>
    </row>
    <row r="2115" spans="2:8">
      <c r="B2115" s="217" t="str">
        <f t="shared" ref="B2115:B2154" si="167">VLOOKUP(C2115,$N$3:$O$14,2,0)</f>
        <v>1Q</v>
      </c>
      <c r="C2115" s="217">
        <f t="shared" si="166"/>
        <v>2</v>
      </c>
      <c r="D2115" s="217" t="str">
        <f t="shared" ref="D2115:D2154" si="168">RIGHT(E2115,2)</f>
        <v>22</v>
      </c>
      <c r="E2115">
        <f t="shared" ref="E2115:E2154" si="169">YEAR(G2115)</f>
        <v>2022</v>
      </c>
      <c r="F2115" s="217" t="str">
        <f t="shared" ref="F2115:F2154" si="170">+B2115&amp;D2115</f>
        <v>1Q22</v>
      </c>
      <c r="G2115" s="218">
        <v>44596</v>
      </c>
      <c r="H2115" s="217">
        <v>5.3284000000000002</v>
      </c>
    </row>
    <row r="2116" spans="2:8">
      <c r="B2116" s="217" t="str">
        <f t="shared" si="167"/>
        <v>1Q</v>
      </c>
      <c r="C2116" s="217">
        <f t="shared" ref="C2116:C2154" si="171">MONTH(G2116)</f>
        <v>2</v>
      </c>
      <c r="D2116" s="217" t="str">
        <f t="shared" si="168"/>
        <v>22</v>
      </c>
      <c r="E2116">
        <f t="shared" si="169"/>
        <v>2022</v>
      </c>
      <c r="F2116" s="217" t="str">
        <f t="shared" si="170"/>
        <v>1Q22</v>
      </c>
      <c r="G2116" s="218">
        <v>44599</v>
      </c>
      <c r="H2116" s="217">
        <v>5.2641</v>
      </c>
    </row>
    <row r="2117" spans="2:8">
      <c r="B2117" s="217" t="str">
        <f t="shared" si="167"/>
        <v>1Q</v>
      </c>
      <c r="C2117" s="217">
        <f t="shared" si="171"/>
        <v>2</v>
      </c>
      <c r="D2117" s="217" t="str">
        <f t="shared" si="168"/>
        <v>22</v>
      </c>
      <c r="E2117">
        <f t="shared" si="169"/>
        <v>2022</v>
      </c>
      <c r="F2117" s="217" t="str">
        <f t="shared" si="170"/>
        <v>1Q22</v>
      </c>
      <c r="G2117" s="218">
        <v>44600</v>
      </c>
      <c r="H2117" s="217">
        <v>5.2598000000000003</v>
      </c>
    </row>
    <row r="2118" spans="2:8">
      <c r="B2118" s="217" t="str">
        <f t="shared" si="167"/>
        <v>1Q</v>
      </c>
      <c r="C2118" s="217">
        <f t="shared" si="171"/>
        <v>2</v>
      </c>
      <c r="D2118" s="217" t="str">
        <f t="shared" si="168"/>
        <v>22</v>
      </c>
      <c r="E2118">
        <f t="shared" si="169"/>
        <v>2022</v>
      </c>
      <c r="F2118" s="217" t="str">
        <f t="shared" si="170"/>
        <v>1Q22</v>
      </c>
      <c r="G2118" s="218">
        <v>44601</v>
      </c>
      <c r="H2118" s="217">
        <v>5.2359</v>
      </c>
    </row>
    <row r="2119" spans="2:8">
      <c r="B2119" s="217" t="str">
        <f t="shared" si="167"/>
        <v>1Q</v>
      </c>
      <c r="C2119" s="217">
        <f t="shared" si="171"/>
        <v>2</v>
      </c>
      <c r="D2119" s="217" t="str">
        <f t="shared" si="168"/>
        <v>22</v>
      </c>
      <c r="E2119">
        <f t="shared" si="169"/>
        <v>2022</v>
      </c>
      <c r="F2119" s="217" t="str">
        <f t="shared" si="170"/>
        <v>1Q22</v>
      </c>
      <c r="G2119" s="218">
        <v>44602</v>
      </c>
      <c r="H2119" s="217">
        <v>5.2500999999999998</v>
      </c>
    </row>
    <row r="2120" spans="2:8">
      <c r="B2120" s="217" t="str">
        <f t="shared" si="167"/>
        <v>1Q</v>
      </c>
      <c r="C2120" s="217">
        <f t="shared" si="171"/>
        <v>2</v>
      </c>
      <c r="D2120" s="217" t="str">
        <f t="shared" si="168"/>
        <v>22</v>
      </c>
      <c r="E2120">
        <f t="shared" si="169"/>
        <v>2022</v>
      </c>
      <c r="F2120" s="217" t="str">
        <f t="shared" si="170"/>
        <v>1Q22</v>
      </c>
      <c r="G2120" s="218">
        <v>44603</v>
      </c>
      <c r="H2120" s="217">
        <v>5.2531999999999996</v>
      </c>
    </row>
    <row r="2121" spans="2:8">
      <c r="B2121" s="217" t="str">
        <f t="shared" si="167"/>
        <v>1Q</v>
      </c>
      <c r="C2121" s="217">
        <f t="shared" si="171"/>
        <v>2</v>
      </c>
      <c r="D2121" s="217" t="str">
        <f t="shared" si="168"/>
        <v>22</v>
      </c>
      <c r="E2121">
        <f t="shared" si="169"/>
        <v>2022</v>
      </c>
      <c r="F2121" s="217" t="str">
        <f t="shared" si="170"/>
        <v>1Q22</v>
      </c>
      <c r="G2121" s="218">
        <v>44606</v>
      </c>
      <c r="H2121" s="217">
        <v>5.2153</v>
      </c>
    </row>
    <row r="2122" spans="2:8">
      <c r="B2122" s="217" t="str">
        <f t="shared" si="167"/>
        <v>1Q</v>
      </c>
      <c r="C2122" s="217">
        <f t="shared" si="171"/>
        <v>2</v>
      </c>
      <c r="D2122" s="217" t="str">
        <f t="shared" si="168"/>
        <v>22</v>
      </c>
      <c r="E2122">
        <f t="shared" si="169"/>
        <v>2022</v>
      </c>
      <c r="F2122" s="217" t="str">
        <f t="shared" si="170"/>
        <v>1Q22</v>
      </c>
      <c r="G2122" s="218">
        <v>44607</v>
      </c>
      <c r="H2122" s="217">
        <v>5.1595000000000004</v>
      </c>
    </row>
    <row r="2123" spans="2:8">
      <c r="B2123" s="217" t="str">
        <f t="shared" si="167"/>
        <v>1Q</v>
      </c>
      <c r="C2123" s="217">
        <f t="shared" si="171"/>
        <v>2</v>
      </c>
      <c r="D2123" s="217" t="str">
        <f t="shared" si="168"/>
        <v>22</v>
      </c>
      <c r="E2123">
        <f t="shared" si="169"/>
        <v>2022</v>
      </c>
      <c r="F2123" s="217" t="str">
        <f t="shared" si="170"/>
        <v>1Q22</v>
      </c>
      <c r="G2123" s="218">
        <v>44608</v>
      </c>
      <c r="H2123" s="217">
        <v>5.1369999999999996</v>
      </c>
    </row>
    <row r="2124" spans="2:8">
      <c r="B2124" s="217" t="str">
        <f t="shared" si="167"/>
        <v>1Q</v>
      </c>
      <c r="C2124" s="217">
        <f t="shared" si="171"/>
        <v>2</v>
      </c>
      <c r="D2124" s="217" t="str">
        <f t="shared" si="168"/>
        <v>22</v>
      </c>
      <c r="E2124">
        <f t="shared" si="169"/>
        <v>2022</v>
      </c>
      <c r="F2124" s="217" t="str">
        <f t="shared" si="170"/>
        <v>1Q22</v>
      </c>
      <c r="G2124" s="218">
        <v>44609</v>
      </c>
      <c r="H2124" s="217">
        <v>5.1722999999999999</v>
      </c>
    </row>
    <row r="2125" spans="2:8">
      <c r="B2125" s="217" t="str">
        <f t="shared" si="167"/>
        <v>1Q</v>
      </c>
      <c r="C2125" s="217">
        <f t="shared" si="171"/>
        <v>2</v>
      </c>
      <c r="D2125" s="217" t="str">
        <f t="shared" si="168"/>
        <v>22</v>
      </c>
      <c r="E2125">
        <f t="shared" si="169"/>
        <v>2022</v>
      </c>
      <c r="F2125" s="217" t="str">
        <f t="shared" si="170"/>
        <v>1Q22</v>
      </c>
      <c r="G2125" s="218">
        <v>44610</v>
      </c>
      <c r="H2125" s="217">
        <v>5.1390000000000002</v>
      </c>
    </row>
    <row r="2126" spans="2:8">
      <c r="B2126" s="217" t="str">
        <f t="shared" si="167"/>
        <v>1Q</v>
      </c>
      <c r="C2126" s="217">
        <f t="shared" si="171"/>
        <v>2</v>
      </c>
      <c r="D2126" s="217" t="str">
        <f t="shared" si="168"/>
        <v>22</v>
      </c>
      <c r="E2126">
        <f t="shared" si="169"/>
        <v>2022</v>
      </c>
      <c r="F2126" s="217" t="str">
        <f t="shared" si="170"/>
        <v>1Q22</v>
      </c>
      <c r="G2126" s="218">
        <v>44613</v>
      </c>
      <c r="H2126" s="217">
        <v>5.1037999999999997</v>
      </c>
    </row>
    <row r="2127" spans="2:8">
      <c r="B2127" s="217" t="str">
        <f t="shared" si="167"/>
        <v>1Q</v>
      </c>
      <c r="C2127" s="217">
        <f t="shared" si="171"/>
        <v>2</v>
      </c>
      <c r="D2127" s="217" t="str">
        <f t="shared" si="168"/>
        <v>22</v>
      </c>
      <c r="E2127">
        <f t="shared" si="169"/>
        <v>2022</v>
      </c>
      <c r="F2127" s="217" t="str">
        <f t="shared" si="170"/>
        <v>1Q22</v>
      </c>
      <c r="G2127" s="218">
        <v>44614</v>
      </c>
      <c r="H2127" s="217">
        <v>5.0587</v>
      </c>
    </row>
    <row r="2128" spans="2:8">
      <c r="B2128" s="217" t="str">
        <f t="shared" si="167"/>
        <v>1Q</v>
      </c>
      <c r="C2128" s="217">
        <f t="shared" si="171"/>
        <v>2</v>
      </c>
      <c r="D2128" s="217" t="str">
        <f t="shared" si="168"/>
        <v>22</v>
      </c>
      <c r="E2128">
        <f t="shared" si="169"/>
        <v>2022</v>
      </c>
      <c r="F2128" s="217" t="str">
        <f t="shared" si="170"/>
        <v>1Q22</v>
      </c>
      <c r="G2128" s="218">
        <v>44615</v>
      </c>
      <c r="H2128" s="217">
        <v>5.0102000000000002</v>
      </c>
    </row>
    <row r="2129" spans="2:8">
      <c r="B2129" s="217" t="str">
        <f t="shared" si="167"/>
        <v>1Q</v>
      </c>
      <c r="C2129" s="217">
        <f t="shared" si="171"/>
        <v>2</v>
      </c>
      <c r="D2129" s="217" t="str">
        <f t="shared" si="168"/>
        <v>22</v>
      </c>
      <c r="E2129">
        <f t="shared" si="169"/>
        <v>2022</v>
      </c>
      <c r="F2129" s="217" t="str">
        <f t="shared" si="170"/>
        <v>1Q22</v>
      </c>
      <c r="G2129" s="218">
        <v>44616</v>
      </c>
      <c r="H2129" s="217">
        <v>5.1235999999999997</v>
      </c>
    </row>
    <row r="2130" spans="2:8">
      <c r="B2130" s="217" t="str">
        <f t="shared" si="167"/>
        <v>1Q</v>
      </c>
      <c r="C2130" s="217">
        <f t="shared" si="171"/>
        <v>2</v>
      </c>
      <c r="D2130" s="217" t="str">
        <f t="shared" si="168"/>
        <v>22</v>
      </c>
      <c r="E2130">
        <f t="shared" si="169"/>
        <v>2022</v>
      </c>
      <c r="F2130" s="217" t="str">
        <f t="shared" si="170"/>
        <v>1Q22</v>
      </c>
      <c r="G2130" s="218">
        <v>44617</v>
      </c>
      <c r="H2130" s="217">
        <v>5.1627999999999998</v>
      </c>
    </row>
    <row r="2131" spans="2:8">
      <c r="B2131" s="217" t="str">
        <f t="shared" si="167"/>
        <v>1Q</v>
      </c>
      <c r="C2131" s="217">
        <f t="shared" si="171"/>
        <v>2</v>
      </c>
      <c r="D2131" s="217" t="str">
        <f t="shared" si="168"/>
        <v>22</v>
      </c>
      <c r="E2131">
        <f t="shared" si="169"/>
        <v>2022</v>
      </c>
      <c r="F2131" s="217" t="str">
        <f t="shared" si="170"/>
        <v>1Q22</v>
      </c>
      <c r="G2131" s="218">
        <v>44620</v>
      </c>
      <c r="H2131" s="217">
        <v>5.1600999999999999</v>
      </c>
    </row>
    <row r="2132" spans="2:8">
      <c r="B2132" s="217" t="str">
        <f t="shared" si="167"/>
        <v>1Q</v>
      </c>
      <c r="C2132" s="217">
        <f t="shared" si="171"/>
        <v>3</v>
      </c>
      <c r="D2132" s="217" t="str">
        <f t="shared" si="168"/>
        <v>22</v>
      </c>
      <c r="E2132">
        <f t="shared" si="169"/>
        <v>2022</v>
      </c>
      <c r="F2132" s="217" t="str">
        <f t="shared" si="170"/>
        <v>1Q22</v>
      </c>
      <c r="G2132" s="218">
        <v>44621</v>
      </c>
      <c r="H2132" s="217">
        <v>5.1604999999999999</v>
      </c>
    </row>
    <row r="2133" spans="2:8">
      <c r="B2133" s="217" t="str">
        <f t="shared" si="167"/>
        <v>1Q</v>
      </c>
      <c r="C2133" s="217">
        <f t="shared" si="171"/>
        <v>3</v>
      </c>
      <c r="D2133" s="217" t="str">
        <f t="shared" si="168"/>
        <v>22</v>
      </c>
      <c r="E2133">
        <f t="shared" si="169"/>
        <v>2022</v>
      </c>
      <c r="F2133" s="217" t="str">
        <f t="shared" si="170"/>
        <v>1Q22</v>
      </c>
      <c r="G2133" s="218">
        <v>44622</v>
      </c>
      <c r="H2133" s="217">
        <v>5.0999999999999996</v>
      </c>
    </row>
    <row r="2134" spans="2:8">
      <c r="B2134" s="217" t="str">
        <f t="shared" si="167"/>
        <v>1Q</v>
      </c>
      <c r="C2134" s="217">
        <f t="shared" si="171"/>
        <v>3</v>
      </c>
      <c r="D2134" s="217" t="str">
        <f t="shared" si="168"/>
        <v>22</v>
      </c>
      <c r="E2134">
        <f t="shared" si="169"/>
        <v>2022</v>
      </c>
      <c r="F2134" s="217" t="str">
        <f t="shared" si="170"/>
        <v>1Q22</v>
      </c>
      <c r="G2134" s="218">
        <v>44623</v>
      </c>
      <c r="H2134" s="217">
        <v>5.0324</v>
      </c>
    </row>
    <row r="2135" spans="2:8">
      <c r="B2135" s="217" t="str">
        <f t="shared" si="167"/>
        <v>1Q</v>
      </c>
      <c r="C2135" s="217">
        <f t="shared" si="171"/>
        <v>3</v>
      </c>
      <c r="D2135" s="217" t="str">
        <f t="shared" si="168"/>
        <v>22</v>
      </c>
      <c r="E2135">
        <f t="shared" si="169"/>
        <v>2022</v>
      </c>
      <c r="F2135" s="217" t="str">
        <f t="shared" si="170"/>
        <v>1Q22</v>
      </c>
      <c r="G2135" s="218">
        <v>44624</v>
      </c>
      <c r="H2135" s="217">
        <v>5.0625</v>
      </c>
    </row>
    <row r="2136" spans="2:8">
      <c r="B2136" s="217" t="str">
        <f t="shared" si="167"/>
        <v>1Q</v>
      </c>
      <c r="C2136" s="217">
        <f t="shared" si="171"/>
        <v>3</v>
      </c>
      <c r="D2136" s="217" t="str">
        <f t="shared" si="168"/>
        <v>22</v>
      </c>
      <c r="E2136">
        <f t="shared" si="169"/>
        <v>2022</v>
      </c>
      <c r="F2136" s="217" t="str">
        <f t="shared" si="170"/>
        <v>1Q22</v>
      </c>
      <c r="G2136" s="218">
        <v>44627</v>
      </c>
      <c r="H2136" s="217">
        <v>5.1120000000000001</v>
      </c>
    </row>
    <row r="2137" spans="2:8">
      <c r="B2137" s="217" t="str">
        <f t="shared" si="167"/>
        <v>1Q</v>
      </c>
      <c r="C2137" s="217">
        <f t="shared" si="171"/>
        <v>3</v>
      </c>
      <c r="D2137" s="217" t="str">
        <f t="shared" si="168"/>
        <v>22</v>
      </c>
      <c r="E2137">
        <f t="shared" si="169"/>
        <v>2022</v>
      </c>
      <c r="F2137" s="217" t="str">
        <f t="shared" si="170"/>
        <v>1Q22</v>
      </c>
      <c r="G2137" s="218">
        <v>44628</v>
      </c>
      <c r="H2137" s="217">
        <v>5.0602999999999998</v>
      </c>
    </row>
    <row r="2138" spans="2:8">
      <c r="B2138" s="217" t="str">
        <f t="shared" si="167"/>
        <v>1Q</v>
      </c>
      <c r="C2138" s="217">
        <f t="shared" si="171"/>
        <v>3</v>
      </c>
      <c r="D2138" s="217" t="str">
        <f t="shared" si="168"/>
        <v>22</v>
      </c>
      <c r="E2138">
        <f t="shared" si="169"/>
        <v>2022</v>
      </c>
      <c r="F2138" s="217" t="str">
        <f t="shared" si="170"/>
        <v>1Q22</v>
      </c>
      <c r="G2138" s="218">
        <v>44629</v>
      </c>
      <c r="H2138" s="217">
        <v>5.0128000000000004</v>
      </c>
    </row>
    <row r="2139" spans="2:8">
      <c r="B2139" s="217" t="str">
        <f t="shared" si="167"/>
        <v>1Q</v>
      </c>
      <c r="C2139" s="217">
        <f t="shared" si="171"/>
        <v>3</v>
      </c>
      <c r="D2139" s="217" t="str">
        <f t="shared" si="168"/>
        <v>22</v>
      </c>
      <c r="E2139">
        <f t="shared" si="169"/>
        <v>2022</v>
      </c>
      <c r="F2139" s="217" t="str">
        <f t="shared" si="170"/>
        <v>1Q22</v>
      </c>
      <c r="G2139" s="218">
        <v>44630</v>
      </c>
      <c r="H2139" s="217">
        <v>5.0114999999999998</v>
      </c>
    </row>
    <row r="2140" spans="2:8">
      <c r="B2140" s="217" t="str">
        <f t="shared" si="167"/>
        <v>1Q</v>
      </c>
      <c r="C2140" s="217">
        <f t="shared" si="171"/>
        <v>3</v>
      </c>
      <c r="D2140" s="217" t="str">
        <f t="shared" si="168"/>
        <v>22</v>
      </c>
      <c r="E2140">
        <f t="shared" si="169"/>
        <v>2022</v>
      </c>
      <c r="F2140" s="217" t="str">
        <f t="shared" si="170"/>
        <v>1Q22</v>
      </c>
      <c r="G2140" s="218">
        <v>44631</v>
      </c>
      <c r="H2140" s="217">
        <v>5.0750000000000002</v>
      </c>
    </row>
    <row r="2141" spans="2:8">
      <c r="B2141" s="217" t="str">
        <f t="shared" si="167"/>
        <v>1Q</v>
      </c>
      <c r="C2141" s="217">
        <f t="shared" si="171"/>
        <v>3</v>
      </c>
      <c r="D2141" s="217" t="str">
        <f t="shared" si="168"/>
        <v>22</v>
      </c>
      <c r="E2141">
        <f t="shared" si="169"/>
        <v>2022</v>
      </c>
      <c r="F2141" s="217" t="str">
        <f t="shared" si="170"/>
        <v>1Q22</v>
      </c>
      <c r="G2141" s="218">
        <v>44634</v>
      </c>
      <c r="H2141" s="217">
        <v>5.1204999999999998</v>
      </c>
    </row>
    <row r="2142" spans="2:8">
      <c r="B2142" s="217" t="str">
        <f t="shared" si="167"/>
        <v>1Q</v>
      </c>
      <c r="C2142" s="217">
        <f t="shared" si="171"/>
        <v>3</v>
      </c>
      <c r="D2142" s="217" t="str">
        <f t="shared" si="168"/>
        <v>22</v>
      </c>
      <c r="E2142">
        <f t="shared" si="169"/>
        <v>2022</v>
      </c>
      <c r="F2142" s="217" t="str">
        <f t="shared" si="170"/>
        <v>1Q22</v>
      </c>
      <c r="G2142" s="218">
        <v>44635</v>
      </c>
      <c r="H2142" s="217">
        <v>5.1641000000000004</v>
      </c>
    </row>
    <row r="2143" spans="2:8">
      <c r="B2143" s="217" t="str">
        <f t="shared" si="167"/>
        <v>1Q</v>
      </c>
      <c r="C2143" s="217">
        <f t="shared" si="171"/>
        <v>3</v>
      </c>
      <c r="D2143" s="217" t="str">
        <f t="shared" si="168"/>
        <v>22</v>
      </c>
      <c r="E2143">
        <f t="shared" si="169"/>
        <v>2022</v>
      </c>
      <c r="F2143" s="217" t="str">
        <f t="shared" si="170"/>
        <v>1Q22</v>
      </c>
      <c r="G2143" s="218">
        <v>44636</v>
      </c>
      <c r="H2143" s="217">
        <v>5.0765000000000002</v>
      </c>
    </row>
    <row r="2144" spans="2:8">
      <c r="B2144" s="217" t="str">
        <f t="shared" si="167"/>
        <v>1Q</v>
      </c>
      <c r="C2144" s="217">
        <f t="shared" si="171"/>
        <v>3</v>
      </c>
      <c r="D2144" s="217" t="str">
        <f t="shared" si="168"/>
        <v>22</v>
      </c>
      <c r="E2144">
        <f t="shared" si="169"/>
        <v>2022</v>
      </c>
      <c r="F2144" s="217" t="str">
        <f t="shared" si="170"/>
        <v>1Q22</v>
      </c>
      <c r="G2144" s="218">
        <v>44637</v>
      </c>
      <c r="H2144" s="217">
        <v>5.0404</v>
      </c>
    </row>
    <row r="2145" spans="2:8">
      <c r="B2145" s="217" t="str">
        <f t="shared" si="167"/>
        <v>1Q</v>
      </c>
      <c r="C2145" s="217">
        <f t="shared" si="171"/>
        <v>3</v>
      </c>
      <c r="D2145" s="217" t="str">
        <f t="shared" si="168"/>
        <v>22</v>
      </c>
      <c r="E2145">
        <f t="shared" si="169"/>
        <v>2022</v>
      </c>
      <c r="F2145" s="217" t="str">
        <f t="shared" si="170"/>
        <v>1Q22</v>
      </c>
      <c r="G2145" s="218">
        <v>44638</v>
      </c>
      <c r="H2145" s="217">
        <v>5.0236000000000001</v>
      </c>
    </row>
    <row r="2146" spans="2:8">
      <c r="B2146" s="217" t="str">
        <f t="shared" si="167"/>
        <v>1Q</v>
      </c>
      <c r="C2146" s="217">
        <f t="shared" si="171"/>
        <v>3</v>
      </c>
      <c r="D2146" s="217" t="str">
        <f t="shared" si="168"/>
        <v>22</v>
      </c>
      <c r="E2146">
        <f t="shared" si="169"/>
        <v>2022</v>
      </c>
      <c r="F2146" s="217" t="str">
        <f t="shared" si="170"/>
        <v>1Q22</v>
      </c>
      <c r="G2146" s="218">
        <v>44641</v>
      </c>
      <c r="H2146" s="217">
        <v>4.9364999999999997</v>
      </c>
    </row>
    <row r="2147" spans="2:8">
      <c r="B2147" s="217" t="str">
        <f t="shared" si="167"/>
        <v>1Q</v>
      </c>
      <c r="C2147" s="217">
        <f t="shared" si="171"/>
        <v>3</v>
      </c>
      <c r="D2147" s="217" t="str">
        <f t="shared" si="168"/>
        <v>22</v>
      </c>
      <c r="E2147">
        <f t="shared" si="169"/>
        <v>2022</v>
      </c>
      <c r="F2147" s="217" t="str">
        <f t="shared" si="170"/>
        <v>1Q22</v>
      </c>
      <c r="G2147" s="218">
        <v>44642</v>
      </c>
      <c r="H2147" s="217">
        <v>4.9093999999999998</v>
      </c>
    </row>
    <row r="2148" spans="2:8">
      <c r="B2148" s="217" t="str">
        <f t="shared" si="167"/>
        <v>1Q</v>
      </c>
      <c r="C2148" s="217">
        <f t="shared" si="171"/>
        <v>3</v>
      </c>
      <c r="D2148" s="217" t="str">
        <f t="shared" si="168"/>
        <v>22</v>
      </c>
      <c r="E2148">
        <f t="shared" si="169"/>
        <v>2022</v>
      </c>
      <c r="F2148" s="217" t="str">
        <f t="shared" si="170"/>
        <v>1Q22</v>
      </c>
      <c r="G2148" s="218">
        <v>44643</v>
      </c>
      <c r="H2148" s="217">
        <v>4.8258000000000001</v>
      </c>
    </row>
    <row r="2149" spans="2:8">
      <c r="B2149" s="217" t="str">
        <f t="shared" si="167"/>
        <v>1Q</v>
      </c>
      <c r="C2149" s="217">
        <f t="shared" si="171"/>
        <v>3</v>
      </c>
      <c r="D2149" s="217" t="str">
        <f t="shared" si="168"/>
        <v>22</v>
      </c>
      <c r="E2149">
        <f t="shared" si="169"/>
        <v>2022</v>
      </c>
      <c r="F2149" s="217" t="str">
        <f t="shared" si="170"/>
        <v>1Q22</v>
      </c>
      <c r="G2149" s="218">
        <v>44644</v>
      </c>
      <c r="H2149" s="217">
        <v>4.8253000000000004</v>
      </c>
    </row>
    <row r="2150" spans="2:8">
      <c r="B2150" s="217" t="str">
        <f t="shared" si="167"/>
        <v>1Q</v>
      </c>
      <c r="C2150" s="217">
        <f t="shared" si="171"/>
        <v>3</v>
      </c>
      <c r="D2150" s="217" t="str">
        <f t="shared" si="168"/>
        <v>22</v>
      </c>
      <c r="E2150">
        <f t="shared" si="169"/>
        <v>2022</v>
      </c>
      <c r="F2150" s="217" t="str">
        <f t="shared" si="170"/>
        <v>1Q22</v>
      </c>
      <c r="G2150" s="218">
        <v>44645</v>
      </c>
      <c r="H2150" s="217">
        <v>4.742</v>
      </c>
    </row>
    <row r="2151" spans="2:8">
      <c r="B2151" s="217" t="str">
        <f t="shared" si="167"/>
        <v>1Q</v>
      </c>
      <c r="C2151" s="217">
        <f t="shared" si="171"/>
        <v>3</v>
      </c>
      <c r="D2151" s="217" t="str">
        <f t="shared" si="168"/>
        <v>22</v>
      </c>
      <c r="E2151">
        <f t="shared" si="169"/>
        <v>2022</v>
      </c>
      <c r="F2151" s="217" t="str">
        <f t="shared" si="170"/>
        <v>1Q22</v>
      </c>
      <c r="G2151" s="218">
        <v>44648</v>
      </c>
      <c r="H2151" s="217">
        <v>4.7675000000000001</v>
      </c>
    </row>
    <row r="2152" spans="2:8">
      <c r="B2152" s="217" t="str">
        <f t="shared" si="167"/>
        <v>1Q</v>
      </c>
      <c r="C2152" s="217">
        <f t="shared" si="171"/>
        <v>3</v>
      </c>
      <c r="D2152" s="217" t="str">
        <f t="shared" si="168"/>
        <v>22</v>
      </c>
      <c r="E2152">
        <f t="shared" si="169"/>
        <v>2022</v>
      </c>
      <c r="F2152" s="217" t="str">
        <f t="shared" si="170"/>
        <v>1Q22</v>
      </c>
      <c r="G2152" s="218">
        <v>44649</v>
      </c>
      <c r="H2152" s="217">
        <v>4.7561</v>
      </c>
    </row>
    <row r="2153" spans="2:8">
      <c r="B2153" s="217" t="str">
        <f t="shared" si="167"/>
        <v>1Q</v>
      </c>
      <c r="C2153" s="217">
        <f t="shared" si="171"/>
        <v>3</v>
      </c>
      <c r="D2153" s="217" t="str">
        <f t="shared" si="168"/>
        <v>22</v>
      </c>
      <c r="E2153">
        <f t="shared" si="169"/>
        <v>2022</v>
      </c>
      <c r="F2153" s="217" t="str">
        <f t="shared" si="170"/>
        <v>1Q22</v>
      </c>
      <c r="G2153" s="218">
        <v>44650</v>
      </c>
      <c r="H2153" s="217">
        <v>4.7685000000000004</v>
      </c>
    </row>
    <row r="2154" spans="2:8">
      <c r="B2154" s="217" t="str">
        <f t="shared" si="167"/>
        <v>1Q</v>
      </c>
      <c r="C2154" s="217">
        <f t="shared" si="171"/>
        <v>3</v>
      </c>
      <c r="D2154" s="217" t="str">
        <f t="shared" si="168"/>
        <v>22</v>
      </c>
      <c r="E2154">
        <f t="shared" si="169"/>
        <v>2022</v>
      </c>
      <c r="F2154" s="217" t="str">
        <f t="shared" si="170"/>
        <v>1Q22</v>
      </c>
      <c r="G2154" s="218">
        <v>44651</v>
      </c>
      <c r="H2154" s="217">
        <v>4.7389999999999999</v>
      </c>
    </row>
    <row r="2155" spans="2:8">
      <c r="F2155" s="217" t="s">
        <v>34</v>
      </c>
      <c r="G2155" s="221">
        <v>44652</v>
      </c>
      <c r="H2155" s="217">
        <v>4.6590999999999996</v>
      </c>
    </row>
    <row r="2156" spans="2:8">
      <c r="F2156" s="217" t="s">
        <v>34</v>
      </c>
      <c r="G2156" s="221">
        <v>44655</v>
      </c>
      <c r="H2156" s="217">
        <v>4.5941000000000001</v>
      </c>
    </row>
    <row r="2157" spans="2:8">
      <c r="F2157" s="217" t="s">
        <v>34</v>
      </c>
      <c r="G2157" s="221">
        <v>44656</v>
      </c>
      <c r="H2157" s="217">
        <v>4.6512000000000002</v>
      </c>
    </row>
    <row r="2158" spans="2:8">
      <c r="F2158" s="217" t="s">
        <v>34</v>
      </c>
      <c r="G2158" s="221">
        <v>44657</v>
      </c>
      <c r="H2158" s="217">
        <v>4.7164999999999999</v>
      </c>
    </row>
    <row r="2159" spans="2:8">
      <c r="F2159" s="217" t="s">
        <v>34</v>
      </c>
      <c r="G2159" s="221">
        <v>44658</v>
      </c>
      <c r="H2159" s="217">
        <v>4.7525000000000004</v>
      </c>
    </row>
    <row r="2160" spans="2:8">
      <c r="F2160" s="217" t="s">
        <v>34</v>
      </c>
      <c r="G2160" s="221">
        <v>44659</v>
      </c>
      <c r="H2160" s="217">
        <v>4.6989000000000001</v>
      </c>
    </row>
    <row r="2161" spans="6:8">
      <c r="F2161" s="217" t="s">
        <v>34</v>
      </c>
      <c r="G2161" s="221">
        <v>44662</v>
      </c>
      <c r="H2161" s="217">
        <v>4.6950000000000003</v>
      </c>
    </row>
    <row r="2162" spans="6:8">
      <c r="F2162" s="217" t="s">
        <v>34</v>
      </c>
      <c r="G2162" s="221">
        <v>44663</v>
      </c>
      <c r="H2162" s="217">
        <v>4.6753999999999998</v>
      </c>
    </row>
    <row r="2163" spans="6:8">
      <c r="F2163" s="217" t="s">
        <v>34</v>
      </c>
      <c r="G2163" s="221">
        <v>44664</v>
      </c>
      <c r="H2163" s="217">
        <v>4.6910999999999996</v>
      </c>
    </row>
    <row r="2164" spans="6:8">
      <c r="F2164" s="217" t="s">
        <v>34</v>
      </c>
      <c r="G2164" s="221">
        <v>44665</v>
      </c>
      <c r="H2164" s="217">
        <v>4.7013999999999996</v>
      </c>
    </row>
    <row r="2165" spans="6:8">
      <c r="F2165" s="217" t="s">
        <v>34</v>
      </c>
      <c r="G2165" s="221">
        <v>44669</v>
      </c>
      <c r="H2165" s="217">
        <v>4.6534000000000004</v>
      </c>
    </row>
    <row r="2166" spans="6:8">
      <c r="F2166" s="217" t="s">
        <v>34</v>
      </c>
      <c r="G2166" s="221">
        <v>44670</v>
      </c>
      <c r="H2166" s="217">
        <v>4.6683000000000003</v>
      </c>
    </row>
    <row r="2167" spans="6:8">
      <c r="F2167" s="217" t="s">
        <v>34</v>
      </c>
      <c r="G2167" s="221">
        <v>44671</v>
      </c>
      <c r="H2167" s="217">
        <v>4.6219999999999999</v>
      </c>
    </row>
    <row r="2168" spans="6:8">
      <c r="F2168" s="217" t="s">
        <v>34</v>
      </c>
      <c r="G2168" s="221">
        <v>44673</v>
      </c>
      <c r="H2168" s="217">
        <v>4.7961</v>
      </c>
    </row>
    <row r="2169" spans="6:8">
      <c r="F2169" s="217" t="s">
        <v>34</v>
      </c>
      <c r="G2169" s="221">
        <v>44676</v>
      </c>
      <c r="H2169" s="217">
        <v>4.8776000000000002</v>
      </c>
    </row>
    <row r="2170" spans="6:8">
      <c r="F2170" s="217" t="s">
        <v>34</v>
      </c>
      <c r="G2170" s="221">
        <v>44677</v>
      </c>
      <c r="H2170" s="217">
        <v>4.9997999999999996</v>
      </c>
    </row>
    <row r="2171" spans="6:8">
      <c r="F2171" s="217" t="s">
        <v>34</v>
      </c>
      <c r="G2171" s="221">
        <v>44678</v>
      </c>
      <c r="H2171" s="217">
        <v>4.9687000000000001</v>
      </c>
    </row>
    <row r="2172" spans="6:8">
      <c r="F2172" s="217" t="s">
        <v>34</v>
      </c>
      <c r="G2172" s="221">
        <v>44679</v>
      </c>
      <c r="H2172" s="217">
        <v>4.9423000000000004</v>
      </c>
    </row>
    <row r="2173" spans="6:8">
      <c r="F2173" s="217" t="s">
        <v>34</v>
      </c>
      <c r="G2173" s="221">
        <v>44680</v>
      </c>
      <c r="H2173" s="217">
        <v>4.9721000000000002</v>
      </c>
    </row>
    <row r="2174" spans="6:8">
      <c r="F2174" s="217" t="s">
        <v>34</v>
      </c>
      <c r="G2174" s="221">
        <v>44683</v>
      </c>
      <c r="H2174" s="217">
        <v>5.0854999999999997</v>
      </c>
    </row>
    <row r="2175" spans="6:8">
      <c r="F2175" s="217" t="s">
        <v>34</v>
      </c>
      <c r="G2175" s="221">
        <v>44684</v>
      </c>
      <c r="H2175" s="217">
        <v>4.9619999999999997</v>
      </c>
    </row>
    <row r="2176" spans="6:8">
      <c r="F2176" s="217" t="s">
        <v>34</v>
      </c>
      <c r="G2176" s="221">
        <v>44685</v>
      </c>
      <c r="H2176" s="217">
        <v>4.9199000000000002</v>
      </c>
    </row>
    <row r="2177" spans="6:8">
      <c r="F2177" s="217" t="s">
        <v>34</v>
      </c>
      <c r="G2177" s="221">
        <v>44686</v>
      </c>
      <c r="H2177" s="217">
        <v>5.0270999999999999</v>
      </c>
    </row>
    <row r="2178" spans="6:8">
      <c r="F2178" s="217" t="s">
        <v>34</v>
      </c>
      <c r="G2178" s="221">
        <v>44687</v>
      </c>
      <c r="H2178" s="217">
        <v>5.0801999999999996</v>
      </c>
    </row>
    <row r="2179" spans="6:8">
      <c r="F2179" s="217" t="s">
        <v>34</v>
      </c>
      <c r="G2179" s="221">
        <v>44690</v>
      </c>
      <c r="H2179" s="217">
        <v>5.1608999999999998</v>
      </c>
    </row>
    <row r="2180" spans="6:8">
      <c r="F2180" s="217" t="s">
        <v>34</v>
      </c>
      <c r="G2180" s="221">
        <v>44691</v>
      </c>
      <c r="H2180" s="217">
        <v>5.1338999999999997</v>
      </c>
    </row>
    <row r="2181" spans="6:8">
      <c r="F2181" s="217" t="s">
        <v>34</v>
      </c>
      <c r="G2181" s="221">
        <v>44692</v>
      </c>
      <c r="H2181" s="217">
        <v>5.1383999999999999</v>
      </c>
    </row>
    <row r="2182" spans="6:8">
      <c r="F2182" s="217" t="s">
        <v>34</v>
      </c>
      <c r="G2182" s="221">
        <v>44693</v>
      </c>
      <c r="H2182" s="217">
        <v>5.1348000000000003</v>
      </c>
    </row>
    <row r="2183" spans="6:8">
      <c r="F2183" s="217" t="s">
        <v>34</v>
      </c>
      <c r="G2183" s="221">
        <v>44694</v>
      </c>
      <c r="H2183" s="217">
        <v>5.0603999999999996</v>
      </c>
    </row>
    <row r="2184" spans="6:8">
      <c r="F2184" s="217" t="s">
        <v>34</v>
      </c>
      <c r="G2184" s="221">
        <v>44697</v>
      </c>
      <c r="H2184" s="217">
        <v>5.0603999999999996</v>
      </c>
    </row>
    <row r="2185" spans="6:8">
      <c r="F2185" s="217" t="s">
        <v>34</v>
      </c>
      <c r="G2185" s="221">
        <v>44698</v>
      </c>
      <c r="H2185" s="217">
        <v>4.9397000000000002</v>
      </c>
    </row>
    <row r="2186" spans="6:8">
      <c r="F2186" s="217" t="s">
        <v>34</v>
      </c>
      <c r="G2186" s="221">
        <v>44699</v>
      </c>
      <c r="H2186" s="217">
        <v>4.9714</v>
      </c>
    </row>
    <row r="2187" spans="6:8">
      <c r="F2187" s="217" t="s">
        <v>34</v>
      </c>
      <c r="G2187" s="221">
        <v>44700</v>
      </c>
      <c r="H2187" s="217">
        <v>4.9320000000000004</v>
      </c>
    </row>
    <row r="2188" spans="6:8">
      <c r="F2188" s="217" t="s">
        <v>34</v>
      </c>
      <c r="G2188" s="221">
        <v>44701</v>
      </c>
      <c r="H2188" s="217">
        <v>4.8803999999999998</v>
      </c>
    </row>
    <row r="2189" spans="6:8">
      <c r="F2189" s="217" t="s">
        <v>34</v>
      </c>
      <c r="G2189" s="221">
        <v>44704</v>
      </c>
      <c r="H2189" s="217">
        <v>4.8129999999999997</v>
      </c>
    </row>
    <row r="2190" spans="6:8">
      <c r="F2190" s="217" t="s">
        <v>34</v>
      </c>
      <c r="G2190" s="221">
        <v>44705</v>
      </c>
      <c r="H2190" s="217">
        <v>4.8193999999999999</v>
      </c>
    </row>
    <row r="2191" spans="6:8">
      <c r="F2191" s="217" t="s">
        <v>34</v>
      </c>
      <c r="G2191" s="221">
        <v>44706</v>
      </c>
      <c r="H2191" s="217">
        <v>4.8269000000000002</v>
      </c>
    </row>
    <row r="2192" spans="6:8">
      <c r="F2192" s="217" t="s">
        <v>34</v>
      </c>
      <c r="G2192" s="221">
        <v>44707</v>
      </c>
      <c r="H2192" s="217">
        <v>4.7679999999999998</v>
      </c>
    </row>
    <row r="2193" spans="6:8">
      <c r="F2193" s="217" t="s">
        <v>34</v>
      </c>
      <c r="G2193" s="221">
        <v>44708</v>
      </c>
      <c r="H2193" s="217">
        <v>4.7317999999999998</v>
      </c>
    </row>
    <row r="2194" spans="6:8">
      <c r="F2194" s="217" t="s">
        <v>34</v>
      </c>
      <c r="G2194" s="221">
        <v>44711</v>
      </c>
      <c r="H2194" s="217">
        <v>4.7531999999999996</v>
      </c>
    </row>
    <row r="2195" spans="6:8">
      <c r="F2195" s="217" t="s">
        <v>34</v>
      </c>
      <c r="G2195" s="221">
        <v>44712</v>
      </c>
      <c r="H2195" s="217">
        <v>4.7348999999999997</v>
      </c>
    </row>
    <row r="2196" spans="6:8">
      <c r="F2196" s="217" t="s">
        <v>34</v>
      </c>
      <c r="G2196" s="221">
        <v>44713</v>
      </c>
      <c r="H2196" s="217">
        <v>4.8158000000000003</v>
      </c>
    </row>
    <row r="2197" spans="6:8">
      <c r="F2197" s="217" t="s">
        <v>34</v>
      </c>
      <c r="G2197" s="221">
        <v>44714</v>
      </c>
      <c r="H2197" s="217">
        <v>4.7968000000000002</v>
      </c>
    </row>
    <row r="2198" spans="6:8">
      <c r="F2198" s="217" t="s">
        <v>34</v>
      </c>
      <c r="G2198" s="221">
        <v>44715</v>
      </c>
      <c r="H2198" s="217">
        <v>4.7750000000000004</v>
      </c>
    </row>
    <row r="2199" spans="6:8">
      <c r="F2199" s="217" t="s">
        <v>34</v>
      </c>
      <c r="G2199" s="221">
        <v>44718</v>
      </c>
      <c r="H2199" s="217">
        <v>4.7942999999999998</v>
      </c>
    </row>
    <row r="2200" spans="6:8">
      <c r="F2200" s="217" t="s">
        <v>34</v>
      </c>
      <c r="G2200" s="221">
        <v>44719</v>
      </c>
      <c r="H2200" s="217">
        <v>4.8712999999999997</v>
      </c>
    </row>
    <row r="2201" spans="6:8">
      <c r="F2201" s="217" t="s">
        <v>34</v>
      </c>
      <c r="G2201" s="221">
        <v>44720</v>
      </c>
      <c r="H2201" s="217">
        <v>4.8993000000000002</v>
      </c>
    </row>
    <row r="2202" spans="6:8">
      <c r="F2202" s="217" t="s">
        <v>34</v>
      </c>
      <c r="G2202" s="221">
        <v>44721</v>
      </c>
      <c r="H2202" s="217">
        <v>4.9069000000000003</v>
      </c>
    </row>
    <row r="2203" spans="6:8">
      <c r="F2203" s="217" t="s">
        <v>34</v>
      </c>
      <c r="G2203" s="221">
        <v>44722</v>
      </c>
      <c r="H2203" s="217">
        <v>4.9869000000000003</v>
      </c>
    </row>
    <row r="2204" spans="6:8">
      <c r="F2204" s="217" t="s">
        <v>34</v>
      </c>
      <c r="G2204" s="221">
        <v>44725</v>
      </c>
      <c r="H2204" s="217">
        <v>5.1167999999999996</v>
      </c>
    </row>
    <row r="2205" spans="6:8">
      <c r="F2205" s="217" t="s">
        <v>34</v>
      </c>
      <c r="G2205" s="221">
        <v>44726</v>
      </c>
      <c r="H2205" s="217">
        <v>5.1167999999999996</v>
      </c>
    </row>
    <row r="2206" spans="6:8">
      <c r="F2206" s="217" t="s">
        <v>34</v>
      </c>
      <c r="G2206" s="221">
        <v>44727</v>
      </c>
      <c r="H2206" s="217">
        <v>5.0568</v>
      </c>
    </row>
    <row r="2207" spans="6:8">
      <c r="F2207" s="217" t="s">
        <v>34</v>
      </c>
      <c r="G2207" s="221">
        <v>44729</v>
      </c>
      <c r="H2207" s="217">
        <v>5.1531000000000002</v>
      </c>
    </row>
    <row r="2208" spans="6:8">
      <c r="F2208" s="217" t="s">
        <v>34</v>
      </c>
      <c r="G2208" s="221">
        <v>44732</v>
      </c>
      <c r="H2208" s="217">
        <v>5.1905999999999999</v>
      </c>
    </row>
    <row r="2209" spans="6:8">
      <c r="F2209" s="217" t="s">
        <v>34</v>
      </c>
      <c r="G2209" s="221">
        <v>44733</v>
      </c>
      <c r="H2209" s="217">
        <v>5.1273999999999997</v>
      </c>
    </row>
    <row r="2210" spans="6:8">
      <c r="F2210" s="217" t="s">
        <v>34</v>
      </c>
      <c r="G2210" s="221">
        <v>44734</v>
      </c>
      <c r="H2210" s="217">
        <v>5.1947000000000001</v>
      </c>
    </row>
    <row r="2211" spans="6:8">
      <c r="F2211" s="217" t="s">
        <v>34</v>
      </c>
      <c r="G2211" s="221">
        <v>44735</v>
      </c>
      <c r="H2211" s="217">
        <v>5.2397999999999998</v>
      </c>
    </row>
    <row r="2212" spans="6:8">
      <c r="F2212" s="217" t="s">
        <v>34</v>
      </c>
      <c r="G2212" s="221">
        <v>44736</v>
      </c>
      <c r="H2212" s="217">
        <v>5.2427999999999999</v>
      </c>
    </row>
    <row r="2213" spans="6:8">
      <c r="F2213" s="217" t="s">
        <v>34</v>
      </c>
      <c r="G2213" s="221">
        <v>44739</v>
      </c>
      <c r="H2213" s="217">
        <v>5.2382</v>
      </c>
    </row>
    <row r="2214" spans="6:8">
      <c r="F2214" s="217" t="s">
        <v>34</v>
      </c>
      <c r="G2214" s="221">
        <v>44740</v>
      </c>
      <c r="H2214" s="217">
        <v>5.2694999999999999</v>
      </c>
    </row>
    <row r="2215" spans="6:8">
      <c r="F2215" s="217" t="s">
        <v>34</v>
      </c>
      <c r="G2215" s="221">
        <v>44741</v>
      </c>
      <c r="H2215" s="217">
        <v>5.1825999999999999</v>
      </c>
    </row>
    <row r="2216" spans="6:8">
      <c r="F2216" s="217" t="s">
        <v>34</v>
      </c>
      <c r="G2216" s="221">
        <v>44742</v>
      </c>
      <c r="H2216" s="217">
        <v>5.2558999999999996</v>
      </c>
    </row>
    <row r="2217" spans="6:8">
      <c r="F2217" s="217" t="s">
        <v>35</v>
      </c>
      <c r="G2217" s="221">
        <v>44743</v>
      </c>
      <c r="H2217" s="217">
        <v>5.3327</v>
      </c>
    </row>
    <row r="2218" spans="6:8">
      <c r="F2218" s="217" t="s">
        <v>35</v>
      </c>
      <c r="G2218" s="221">
        <v>44746</v>
      </c>
      <c r="H2218" s="217">
        <v>5.3295000000000003</v>
      </c>
    </row>
    <row r="2219" spans="6:8">
      <c r="F2219" s="217" t="s">
        <v>35</v>
      </c>
      <c r="G2219" s="221">
        <v>44747</v>
      </c>
      <c r="H2219" s="217">
        <v>5.3883000000000001</v>
      </c>
    </row>
    <row r="2220" spans="6:8">
      <c r="F2220" s="217" t="s">
        <v>35</v>
      </c>
      <c r="G2220" s="221">
        <v>44748</v>
      </c>
      <c r="H2220" s="217">
        <v>5.4290000000000003</v>
      </c>
    </row>
    <row r="2221" spans="6:8">
      <c r="F2221" s="217" t="s">
        <v>35</v>
      </c>
      <c r="G2221" s="221">
        <v>44749</v>
      </c>
      <c r="H2221" s="217">
        <v>5.3407999999999998</v>
      </c>
    </row>
    <row r="2222" spans="6:8">
      <c r="F2222" s="217" t="s">
        <v>35</v>
      </c>
      <c r="G2222" s="221">
        <v>44750</v>
      </c>
      <c r="H2222" s="217">
        <v>5.2558999999999996</v>
      </c>
    </row>
    <row r="2223" spans="6:8">
      <c r="F2223" s="217" t="s">
        <v>35</v>
      </c>
      <c r="G2223" s="221">
        <v>44753</v>
      </c>
      <c r="H2223" s="217">
        <v>5.3776999999999999</v>
      </c>
    </row>
    <row r="2224" spans="6:8">
      <c r="F2224" s="217" t="s">
        <v>35</v>
      </c>
      <c r="G2224" s="221">
        <v>44754</v>
      </c>
      <c r="H2224" s="217">
        <v>5.4387999999999996</v>
      </c>
    </row>
    <row r="2225" spans="6:8">
      <c r="F2225" s="217" t="s">
        <v>35</v>
      </c>
      <c r="G2225" s="221">
        <v>44755</v>
      </c>
      <c r="H2225" s="217">
        <v>5.3924000000000003</v>
      </c>
    </row>
    <row r="2226" spans="6:8">
      <c r="F2226" s="217" t="s">
        <v>35</v>
      </c>
      <c r="G2226" s="221">
        <v>44756</v>
      </c>
      <c r="H2226" s="217">
        <v>5.4248000000000003</v>
      </c>
    </row>
    <row r="2227" spans="6:8">
      <c r="F2227" s="217" t="s">
        <v>35</v>
      </c>
      <c r="G2227" s="221">
        <v>44757</v>
      </c>
      <c r="H2227" s="217">
        <v>5.4078999999999997</v>
      </c>
    </row>
    <row r="2228" spans="6:8">
      <c r="F2228" s="217" t="s">
        <v>35</v>
      </c>
      <c r="G2228" s="221">
        <v>44760</v>
      </c>
      <c r="H2228" s="217">
        <v>5.4367000000000001</v>
      </c>
    </row>
    <row r="2229" spans="6:8">
      <c r="F2229" s="217" t="s">
        <v>35</v>
      </c>
      <c r="G2229" s="221">
        <v>44761</v>
      </c>
      <c r="H2229" s="217">
        <v>5.4127000000000001</v>
      </c>
    </row>
    <row r="2230" spans="6:8">
      <c r="F2230" s="217" t="s">
        <v>35</v>
      </c>
      <c r="G2230" s="221">
        <v>44762</v>
      </c>
      <c r="H2230" s="217">
        <v>5.4703999999999997</v>
      </c>
    </row>
    <row r="2231" spans="6:8">
      <c r="F2231" s="217" t="s">
        <v>35</v>
      </c>
      <c r="G2231" s="221">
        <v>44763</v>
      </c>
      <c r="H2231" s="217">
        <v>5.4988000000000001</v>
      </c>
    </row>
    <row r="2232" spans="6:8">
      <c r="F2232" s="217" t="s">
        <v>35</v>
      </c>
      <c r="G2232" s="221">
        <v>44764</v>
      </c>
      <c r="H2232" s="217">
        <v>5.4976000000000003</v>
      </c>
    </row>
    <row r="2233" spans="6:8">
      <c r="F2233" s="217" t="s">
        <v>35</v>
      </c>
      <c r="G2233" s="221">
        <v>44767</v>
      </c>
      <c r="H2233" s="217">
        <v>5.3589000000000002</v>
      </c>
    </row>
    <row r="2234" spans="6:8">
      <c r="F2234" s="217" t="s">
        <v>35</v>
      </c>
      <c r="G2234" s="221">
        <v>44768</v>
      </c>
      <c r="H2234" s="217">
        <v>5.3497000000000003</v>
      </c>
    </row>
    <row r="2235" spans="6:8">
      <c r="F2235" s="217" t="s">
        <v>35</v>
      </c>
      <c r="G2235" s="221">
        <v>44769</v>
      </c>
      <c r="H2235" s="217">
        <v>5.2435999999999998</v>
      </c>
    </row>
    <row r="2236" spans="6:8">
      <c r="F2236" s="217" t="s">
        <v>35</v>
      </c>
      <c r="G2236" s="221">
        <v>44770</v>
      </c>
      <c r="H2236" s="217">
        <v>5.1837999999999997</v>
      </c>
    </row>
    <row r="2237" spans="6:8">
      <c r="F2237" s="217" t="s">
        <v>35</v>
      </c>
      <c r="G2237" s="221">
        <v>44771</v>
      </c>
      <c r="H2237" s="217">
        <v>5.1729000000000003</v>
      </c>
    </row>
    <row r="2238" spans="6:8">
      <c r="F2238" s="217" t="s">
        <v>35</v>
      </c>
      <c r="G2238" s="221">
        <v>44774</v>
      </c>
      <c r="H2238" s="217">
        <v>5.1859999999999999</v>
      </c>
    </row>
    <row r="2239" spans="6:8">
      <c r="F2239" s="217" t="s">
        <v>35</v>
      </c>
      <c r="G2239" s="221">
        <v>44775</v>
      </c>
      <c r="H2239" s="217">
        <v>5.2797000000000001</v>
      </c>
    </row>
    <row r="2240" spans="6:8">
      <c r="F2240" s="217" t="s">
        <v>35</v>
      </c>
      <c r="G2240" s="221">
        <v>44776</v>
      </c>
      <c r="H2240" s="217">
        <v>5.2831000000000001</v>
      </c>
    </row>
    <row r="2241" spans="6:8">
      <c r="F2241" s="217" t="s">
        <v>35</v>
      </c>
      <c r="G2241" s="221">
        <v>44777</v>
      </c>
      <c r="H2241" s="217">
        <v>5.2149000000000001</v>
      </c>
    </row>
    <row r="2242" spans="6:8">
      <c r="F2242" s="217" t="s">
        <v>35</v>
      </c>
      <c r="G2242" s="221">
        <v>44778</v>
      </c>
      <c r="H2242" s="217">
        <v>5.165</v>
      </c>
    </row>
    <row r="2243" spans="6:8">
      <c r="F2243" s="217" t="s">
        <v>35</v>
      </c>
      <c r="G2243" s="221">
        <v>44781</v>
      </c>
      <c r="H2243" s="217">
        <v>5.1124000000000001</v>
      </c>
    </row>
    <row r="2244" spans="6:8">
      <c r="F2244" s="217" t="s">
        <v>35</v>
      </c>
      <c r="G2244" s="221">
        <v>44782</v>
      </c>
      <c r="H2244" s="217">
        <v>5.1257999999999999</v>
      </c>
    </row>
    <row r="2245" spans="6:8">
      <c r="F2245" s="217" t="s">
        <v>35</v>
      </c>
      <c r="G2245" s="221">
        <v>44783</v>
      </c>
      <c r="H2245" s="217">
        <v>5.0923999999999996</v>
      </c>
    </row>
    <row r="2246" spans="6:8">
      <c r="F2246" s="217" t="s">
        <v>35</v>
      </c>
      <c r="G2246" s="221">
        <v>44784</v>
      </c>
      <c r="H2246" s="217">
        <v>5.1566000000000001</v>
      </c>
    </row>
    <row r="2247" spans="6:8">
      <c r="F2247" s="217" t="s">
        <v>35</v>
      </c>
      <c r="G2247" s="221">
        <v>44785</v>
      </c>
      <c r="H2247" s="217">
        <v>5.0753000000000004</v>
      </c>
    </row>
    <row r="2248" spans="6:8">
      <c r="F2248" s="217" t="s">
        <v>35</v>
      </c>
      <c r="G2248" s="221">
        <v>44788</v>
      </c>
      <c r="H2248" s="217">
        <v>5.0964999999999998</v>
      </c>
    </row>
    <row r="2249" spans="6:8">
      <c r="F2249" s="217" t="s">
        <v>35</v>
      </c>
      <c r="G2249" s="221">
        <v>44789</v>
      </c>
      <c r="H2249" s="217">
        <v>5.1473000000000004</v>
      </c>
    </row>
    <row r="2250" spans="6:8">
      <c r="F2250" s="217" t="s">
        <v>35</v>
      </c>
      <c r="G2250" s="221">
        <v>44790</v>
      </c>
      <c r="H2250" s="217">
        <v>5.1661999999999999</v>
      </c>
    </row>
    <row r="2251" spans="6:8">
      <c r="F2251" s="217" t="s">
        <v>35</v>
      </c>
      <c r="G2251" s="221">
        <v>44791</v>
      </c>
      <c r="H2251" s="217">
        <v>5.1694000000000004</v>
      </c>
    </row>
    <row r="2252" spans="6:8">
      <c r="F2252" s="217" t="s">
        <v>35</v>
      </c>
      <c r="G2252" s="221">
        <v>44792</v>
      </c>
      <c r="H2252" s="217">
        <v>5.1695000000000002</v>
      </c>
    </row>
    <row r="2253" spans="6:8">
      <c r="F2253" s="217" t="s">
        <v>35</v>
      </c>
      <c r="G2253" s="221">
        <v>44795</v>
      </c>
      <c r="H2253" s="217">
        <v>5.1584000000000003</v>
      </c>
    </row>
    <row r="2254" spans="6:8">
      <c r="F2254" s="217" t="s">
        <v>35</v>
      </c>
      <c r="G2254" s="221">
        <v>44796</v>
      </c>
      <c r="H2254" s="217">
        <v>5.1059000000000001</v>
      </c>
    </row>
    <row r="2255" spans="6:8">
      <c r="F2255" s="217" t="s">
        <v>35</v>
      </c>
      <c r="G2255" s="221">
        <v>44797</v>
      </c>
      <c r="H2255" s="217">
        <v>5.1106999999999996</v>
      </c>
    </row>
    <row r="2256" spans="6:8">
      <c r="F2256" s="217" t="s">
        <v>35</v>
      </c>
      <c r="G2256" s="221">
        <v>44798</v>
      </c>
      <c r="H2256" s="217">
        <v>5.1094999999999997</v>
      </c>
    </row>
    <row r="2257" spans="6:8">
      <c r="F2257" s="217" t="s">
        <v>35</v>
      </c>
      <c r="G2257" s="221">
        <v>44799</v>
      </c>
      <c r="H2257" s="217">
        <v>5.0640000000000001</v>
      </c>
    </row>
    <row r="2258" spans="6:8">
      <c r="F2258" s="217" t="s">
        <v>35</v>
      </c>
      <c r="G2258" s="221">
        <v>44802</v>
      </c>
      <c r="H2258" s="217">
        <v>5.0293000000000001</v>
      </c>
    </row>
    <row r="2259" spans="6:8">
      <c r="F2259" s="217" t="s">
        <v>35</v>
      </c>
      <c r="G2259" s="221">
        <v>44803</v>
      </c>
      <c r="H2259" s="217">
        <v>5.1222000000000003</v>
      </c>
    </row>
    <row r="2260" spans="6:8">
      <c r="F2260" s="217" t="s">
        <v>35</v>
      </c>
      <c r="G2260" s="221">
        <v>44804</v>
      </c>
      <c r="H2260" s="217">
        <v>5.1848000000000001</v>
      </c>
    </row>
    <row r="2261" spans="6:8">
      <c r="F2261" s="217" t="s">
        <v>35</v>
      </c>
      <c r="G2261" s="221">
        <v>44805</v>
      </c>
      <c r="H2261" s="217">
        <v>5.2427999999999999</v>
      </c>
    </row>
    <row r="2262" spans="6:8">
      <c r="F2262" s="217" t="s">
        <v>35</v>
      </c>
      <c r="G2262" s="221">
        <v>44806</v>
      </c>
      <c r="H2262" s="217">
        <v>5.1708999999999996</v>
      </c>
    </row>
    <row r="2263" spans="6:8">
      <c r="F2263" s="217" t="s">
        <v>35</v>
      </c>
      <c r="G2263" s="221">
        <v>44809</v>
      </c>
      <c r="H2263" s="217">
        <v>5.1542000000000003</v>
      </c>
    </row>
    <row r="2264" spans="6:8">
      <c r="F2264" s="217" t="s">
        <v>35</v>
      </c>
      <c r="G2264" s="221">
        <v>44810</v>
      </c>
      <c r="H2264" s="217">
        <v>5.2511999999999999</v>
      </c>
    </row>
    <row r="2265" spans="6:8">
      <c r="F2265" s="217" t="s">
        <v>35</v>
      </c>
      <c r="G2265" s="221">
        <v>44812</v>
      </c>
      <c r="H2265" s="217">
        <v>5.2153999999999998</v>
      </c>
    </row>
    <row r="2266" spans="6:8">
      <c r="F2266" s="217" t="s">
        <v>35</v>
      </c>
      <c r="G2266" s="221">
        <v>44813</v>
      </c>
      <c r="H2266" s="217">
        <v>5.1486999999999998</v>
      </c>
    </row>
    <row r="2267" spans="6:8">
      <c r="F2267" s="217" t="s">
        <v>35</v>
      </c>
      <c r="G2267" s="221">
        <v>44816</v>
      </c>
      <c r="H2267" s="217">
        <v>5.0941999999999998</v>
      </c>
    </row>
    <row r="2268" spans="6:8">
      <c r="F2268" s="217" t="s">
        <v>35</v>
      </c>
      <c r="G2268" s="221">
        <v>44817</v>
      </c>
      <c r="H2268" s="217">
        <v>5.1919000000000004</v>
      </c>
    </row>
    <row r="2269" spans="6:8">
      <c r="F2269" s="217" t="s">
        <v>35</v>
      </c>
      <c r="G2269" s="221">
        <v>44818</v>
      </c>
      <c r="H2269" s="217">
        <v>5.1646000000000001</v>
      </c>
    </row>
    <row r="2270" spans="6:8">
      <c r="F2270" s="217" t="s">
        <v>35</v>
      </c>
      <c r="G2270" s="221">
        <v>44819</v>
      </c>
      <c r="H2270" s="217">
        <v>5.2454999999999998</v>
      </c>
    </row>
    <row r="2271" spans="6:8">
      <c r="F2271" s="217" t="s">
        <v>35</v>
      </c>
      <c r="G2271" s="221">
        <v>44820</v>
      </c>
      <c r="H2271" s="217">
        <v>5.2534999999999998</v>
      </c>
    </row>
    <row r="2272" spans="6:8">
      <c r="F2272" s="217" t="s">
        <v>35</v>
      </c>
      <c r="G2272" s="221">
        <v>44823</v>
      </c>
      <c r="H2272" s="217">
        <v>5.1694000000000004</v>
      </c>
    </row>
    <row r="2273" spans="6:8">
      <c r="F2273" s="217" t="s">
        <v>35</v>
      </c>
      <c r="G2273" s="221">
        <v>44824</v>
      </c>
      <c r="H2273" s="217">
        <v>5.1429999999999998</v>
      </c>
    </row>
    <row r="2274" spans="6:8">
      <c r="F2274" s="217" t="s">
        <v>35</v>
      </c>
      <c r="G2274" s="221">
        <v>44825</v>
      </c>
      <c r="H2274" s="217">
        <v>5.1727999999999996</v>
      </c>
    </row>
    <row r="2275" spans="6:8">
      <c r="F2275" s="217" t="s">
        <v>35</v>
      </c>
      <c r="G2275" s="221">
        <v>44826</v>
      </c>
      <c r="H2275" s="217">
        <v>5.1162999999999998</v>
      </c>
    </row>
    <row r="2276" spans="6:8">
      <c r="F2276" s="217" t="s">
        <v>35</v>
      </c>
      <c r="G2276" s="221">
        <v>44827</v>
      </c>
      <c r="H2276" s="217">
        <v>5.2629999999999999</v>
      </c>
    </row>
    <row r="2277" spans="6:8">
      <c r="F2277" s="217" t="s">
        <v>35</v>
      </c>
      <c r="G2277" s="221">
        <v>44830</v>
      </c>
      <c r="H2277" s="217">
        <v>5.3914999999999997</v>
      </c>
    </row>
    <row r="2278" spans="6:8">
      <c r="F2278" s="217" t="s">
        <v>35</v>
      </c>
      <c r="G2278" s="221">
        <v>44831</v>
      </c>
      <c r="H2278" s="217">
        <v>5.38</v>
      </c>
    </row>
    <row r="2279" spans="6:8">
      <c r="F2279" s="217" t="s">
        <v>35</v>
      </c>
      <c r="G2279" s="221">
        <v>44832</v>
      </c>
      <c r="H2279" s="217">
        <v>5.375</v>
      </c>
    </row>
    <row r="2280" spans="6:8">
      <c r="F2280" s="217" t="s">
        <v>35</v>
      </c>
      <c r="G2280" s="221">
        <v>44833</v>
      </c>
      <c r="H2280" s="217">
        <v>5.4009</v>
      </c>
    </row>
    <row r="2281" spans="6:8">
      <c r="F2281" s="217" t="s">
        <v>35</v>
      </c>
      <c r="G2281" s="221">
        <v>44834</v>
      </c>
      <c r="H2281" s="217">
        <v>5.4138000000000002</v>
      </c>
    </row>
  </sheetData>
  <sortState xmlns:xlrd2="http://schemas.microsoft.com/office/spreadsheetml/2017/richdata2" ref="G2155:H2216">
    <sortCondition ref="G2155:G22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30DA-B76E-432C-9516-0C266B9D0DF1}">
  <sheetPr>
    <pageSetUpPr fitToPage="1"/>
  </sheetPr>
  <dimension ref="A1:BL33"/>
  <sheetViews>
    <sheetView showGridLines="0" zoomScale="80" zoomScaleNormal="80" workbookViewId="0">
      <pane xSplit="1" ySplit="6" topLeftCell="AR7" activePane="bottomRight" state="frozen"/>
      <selection pane="topRight" activeCell="AR7" sqref="AR7"/>
      <selection pane="bottomLeft" activeCell="AR7" sqref="AR7"/>
      <selection pane="bottomRight" activeCell="AY5" sqref="AY5"/>
    </sheetView>
  </sheetViews>
  <sheetFormatPr defaultColWidth="9.33203125" defaultRowHeight="14.4" outlineLevelCol="1"/>
  <cols>
    <col min="1" max="1" width="41.5546875" style="1" bestFit="1" customWidth="1"/>
    <col min="2" max="29" width="15.6640625" style="1" hidden="1" customWidth="1" outlineLevel="1"/>
    <col min="30" max="30" width="15.6640625" style="1" customWidth="1" collapsed="1"/>
    <col min="31" max="52" width="15.6640625" style="1" customWidth="1"/>
    <col min="53" max="53" width="15.6640625" style="4" customWidth="1"/>
    <col min="54" max="64" width="15.6640625" style="1" customWidth="1"/>
    <col min="65" max="65" width="9.33203125" style="1" customWidth="1"/>
    <col min="66" max="16384" width="9.33203125" style="1"/>
  </cols>
  <sheetData>
    <row r="1" spans="1:64">
      <c r="C1" s="2"/>
      <c r="D1" s="2"/>
      <c r="E1" s="2"/>
      <c r="F1" s="2"/>
      <c r="G1" s="2"/>
      <c r="H1" s="2"/>
      <c r="I1" s="2"/>
      <c r="J1" s="3"/>
      <c r="K1" s="3"/>
      <c r="L1" s="3"/>
      <c r="M1" s="3"/>
      <c r="BB1" s="3"/>
      <c r="BC1" s="3"/>
    </row>
    <row r="2" spans="1:64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149"/>
      <c r="BA2" s="38"/>
      <c r="BB2" s="38"/>
      <c r="BC2" s="39"/>
      <c r="BD2" s="38"/>
      <c r="BE2" s="38"/>
      <c r="BF2" s="38"/>
      <c r="BG2" s="38"/>
      <c r="BH2" s="38"/>
      <c r="BI2" s="38"/>
      <c r="BJ2" s="38"/>
      <c r="BK2" s="38"/>
      <c r="BL2" s="38"/>
    </row>
    <row r="3" spans="1:64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149"/>
      <c r="BA3" s="38"/>
      <c r="BB3" s="38"/>
      <c r="BC3" s="39"/>
      <c r="BD3" s="38"/>
      <c r="BE3" s="38"/>
      <c r="BF3" s="38"/>
      <c r="BG3" s="38"/>
      <c r="BH3" s="38"/>
      <c r="BI3" s="38"/>
      <c r="BJ3" s="38"/>
      <c r="BK3" s="38"/>
      <c r="BL3" s="38"/>
    </row>
    <row r="4" spans="1:64" s="23" customFormat="1" ht="15.6">
      <c r="A4" s="71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8"/>
      <c r="BB4" s="20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1:64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149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</row>
    <row r="6" spans="1:64" s="154" customFormat="1" ht="21.45" customHeight="1">
      <c r="A6" s="152"/>
      <c r="B6" s="153" t="s">
        <v>1</v>
      </c>
      <c r="C6" s="153" t="s">
        <v>2</v>
      </c>
      <c r="D6" s="153" t="s">
        <v>3</v>
      </c>
      <c r="E6" s="153" t="s">
        <v>4</v>
      </c>
      <c r="F6" s="153" t="s">
        <v>5</v>
      </c>
      <c r="G6" s="153" t="s">
        <v>6</v>
      </c>
      <c r="H6" s="153" t="s">
        <v>7</v>
      </c>
      <c r="I6" s="153" t="s">
        <v>8</v>
      </c>
      <c r="J6" s="153" t="s">
        <v>9</v>
      </c>
      <c r="K6" s="153" t="s">
        <v>10</v>
      </c>
      <c r="L6" s="153" t="s">
        <v>11</v>
      </c>
      <c r="M6" s="153" t="s">
        <v>12</v>
      </c>
      <c r="N6" s="153" t="s">
        <v>13</v>
      </c>
      <c r="O6" s="153" t="s">
        <v>14</v>
      </c>
      <c r="P6" s="153" t="s">
        <v>15</v>
      </c>
      <c r="Q6" s="153" t="s">
        <v>16</v>
      </c>
      <c r="R6" s="153" t="s">
        <v>17</v>
      </c>
      <c r="S6" s="153" t="s">
        <v>18</v>
      </c>
      <c r="T6" s="153" t="s">
        <v>19</v>
      </c>
      <c r="U6" s="153" t="s">
        <v>20</v>
      </c>
      <c r="V6" s="153" t="s">
        <v>21</v>
      </c>
      <c r="W6" s="153" t="s">
        <v>22</v>
      </c>
      <c r="X6" s="153" t="s">
        <v>23</v>
      </c>
      <c r="Y6" s="153" t="s">
        <v>24</v>
      </c>
      <c r="Z6" s="153" t="s">
        <v>25</v>
      </c>
      <c r="AA6" s="153" t="s">
        <v>26</v>
      </c>
      <c r="AB6" s="153" t="s">
        <v>27</v>
      </c>
      <c r="AC6" s="153" t="s">
        <v>28</v>
      </c>
      <c r="AD6" s="153" t="s">
        <v>29</v>
      </c>
      <c r="AE6" s="153" t="s">
        <v>30</v>
      </c>
      <c r="AF6" s="153" t="s">
        <v>31</v>
      </c>
      <c r="AG6" s="153" t="s">
        <v>32</v>
      </c>
      <c r="AH6" s="153" t="s">
        <v>33</v>
      </c>
      <c r="AI6" s="153" t="s">
        <v>34</v>
      </c>
      <c r="AJ6" s="153" t="s">
        <v>35</v>
      </c>
      <c r="AK6" s="153" t="s">
        <v>36</v>
      </c>
      <c r="AL6" s="153" t="s">
        <v>37</v>
      </c>
      <c r="AM6" s="154" t="s">
        <v>38</v>
      </c>
      <c r="AN6" s="154" t="s">
        <v>39</v>
      </c>
      <c r="AO6" s="154" t="s">
        <v>40</v>
      </c>
      <c r="AP6" s="154" t="s">
        <v>41</v>
      </c>
      <c r="AQ6" s="154" t="s">
        <v>42</v>
      </c>
      <c r="AR6" s="154" t="s">
        <v>43</v>
      </c>
      <c r="AS6" s="154" t="s">
        <v>44</v>
      </c>
      <c r="AT6" s="154" t="s">
        <v>45</v>
      </c>
      <c r="AU6" s="154" t="s">
        <v>46</v>
      </c>
      <c r="AV6" s="154" t="s">
        <v>47</v>
      </c>
      <c r="AW6" s="154" t="s">
        <v>48</v>
      </c>
      <c r="AX6" s="154" t="s">
        <v>279</v>
      </c>
      <c r="AY6" s="154" t="s">
        <v>292</v>
      </c>
      <c r="AZ6" s="151"/>
      <c r="BA6" s="153">
        <v>2014</v>
      </c>
      <c r="BB6" s="153">
        <v>2015</v>
      </c>
      <c r="BC6" s="153">
        <v>2016</v>
      </c>
      <c r="BD6" s="153">
        <v>2017</v>
      </c>
      <c r="BE6" s="153">
        <v>2018</v>
      </c>
      <c r="BF6" s="153">
        <v>2019</v>
      </c>
      <c r="BG6" s="153">
        <v>2020</v>
      </c>
      <c r="BH6" s="153">
        <v>2021</v>
      </c>
      <c r="BI6" s="153">
        <v>2022</v>
      </c>
      <c r="BJ6" s="153">
        <v>2023</v>
      </c>
      <c r="BK6" s="153">
        <v>2024</v>
      </c>
      <c r="BL6" s="153">
        <v>2025</v>
      </c>
    </row>
    <row r="7" spans="1:64" s="8" customFormat="1" ht="19.5" customHeight="1" thickBot="1">
      <c r="A7" s="180" t="s">
        <v>49</v>
      </c>
      <c r="B7" s="181">
        <f>'IS (US$)'!B9</f>
        <v>60639.62783366238</v>
      </c>
      <c r="C7" s="181">
        <f>'IS (US$)'!C9</f>
        <v>61739.71176797861</v>
      </c>
      <c r="D7" s="181">
        <f>'IS (US$)'!D9</f>
        <v>55702.772750616314</v>
      </c>
      <c r="E7" s="181">
        <f>'IS (US$)'!E9</f>
        <v>31077.407318698162</v>
      </c>
      <c r="F7" s="181">
        <f>'IS (US$)'!F9</f>
        <v>1692.1817120896046</v>
      </c>
      <c r="G7" s="181">
        <f>'IS (US$)'!G9</f>
        <v>31526.330477059382</v>
      </c>
      <c r="H7" s="181">
        <f>'IS (US$)'!H9</f>
        <v>36127.514939331086</v>
      </c>
      <c r="I7" s="181">
        <f>'IS (US$)'!I9</f>
        <v>6102.3992529136576</v>
      </c>
      <c r="J7" s="181">
        <f>'IS (US$)'!J9</f>
        <v>10653.490922113906</v>
      </c>
      <c r="K7" s="181">
        <f>'IS (US$)'!K9</f>
        <v>29519.45738528412</v>
      </c>
      <c r="L7" s="181">
        <f>'IS (US$)'!L9</f>
        <v>42899.271363692147</v>
      </c>
      <c r="M7" s="181">
        <f>'IS (US$)'!M9</f>
        <v>34532.095359138169</v>
      </c>
      <c r="N7" s="181">
        <f>'IS (US$)'!N9</f>
        <v>23793.494803002384</v>
      </c>
      <c r="O7" s="181">
        <f>'IS (US$)'!O9</f>
        <v>48360.574951809067</v>
      </c>
      <c r="P7" s="181">
        <f>'IS (US$)'!P9</f>
        <v>34792.773365847868</v>
      </c>
      <c r="Q7" s="181">
        <f>'IS (US$)'!Q9</f>
        <v>59575.481835714294</v>
      </c>
      <c r="R7" s="181">
        <f>'IS (US$)'!R9</f>
        <v>36089.222674708733</v>
      </c>
      <c r="S7" s="181">
        <f>'IS (US$)'!S9</f>
        <v>66335.069294209752</v>
      </c>
      <c r="T7" s="181">
        <f>'IS (US$)'!T9</f>
        <v>56874.816432388303</v>
      </c>
      <c r="U7" s="181">
        <f>'IS (US$)'!U9</f>
        <v>70242.831468910386</v>
      </c>
      <c r="V7" s="181">
        <f>'IS (US$)'!V9</f>
        <v>36909.05923111341</v>
      </c>
      <c r="W7" s="181">
        <f>'IS (US$)'!W9</f>
        <v>139845.86211375755</v>
      </c>
      <c r="X7" s="181">
        <f>'IS (US$)'!X9</f>
        <v>100462.70454341942</v>
      </c>
      <c r="Y7" s="181">
        <f>'IS (US$)'!Y9</f>
        <v>135543.02286084357</v>
      </c>
      <c r="Z7" s="181">
        <f>'IS (US$)'!Z9</f>
        <v>49994.884110443047</v>
      </c>
      <c r="AA7" s="181">
        <f>'IS (US$)'!AA9</f>
        <v>58093.404579077825</v>
      </c>
      <c r="AB7" s="181">
        <f>'IS (US$)'!AB9</f>
        <v>90856.662853492104</v>
      </c>
      <c r="AC7" s="181">
        <f>'IS (US$)'!AC9</f>
        <v>162977.09404138743</v>
      </c>
      <c r="AD7" s="181">
        <f>'IS (US$)'!AD9</f>
        <v>119656.23213346282</v>
      </c>
      <c r="AE7" s="181">
        <f>+'IS (US$)'!AE9</f>
        <v>193112.78166224001</v>
      </c>
      <c r="AF7" s="181">
        <f>+'IS (US$)'!AF9</f>
        <v>179611.08286951945</v>
      </c>
      <c r="AG7" s="181">
        <f>+'IS (US$)'!AG9</f>
        <v>318389.74314946076</v>
      </c>
      <c r="AH7" s="181">
        <f>+'IS (US$)'!AH9</f>
        <v>309676</v>
      </c>
      <c r="AI7" s="181">
        <f>+'IS (US$)'!AI9</f>
        <v>377336.79523437133</v>
      </c>
      <c r="AJ7" s="181">
        <f>+'IS (US$)'!AJ9</f>
        <v>378154.52622562851</v>
      </c>
      <c r="AK7" s="181">
        <f>+'IS (US$)'!AK9</f>
        <v>184492.13627000013</v>
      </c>
      <c r="AL7" s="181">
        <f>+'IS (US$)'!AL9</f>
        <v>543166</v>
      </c>
      <c r="AM7" s="181">
        <v>484854.91840615775</v>
      </c>
      <c r="AN7" s="181">
        <f>'IS (US$)'!AN9</f>
        <v>824090</v>
      </c>
      <c r="AO7" s="181">
        <f>'IS (US$)'!AO9</f>
        <v>686131.35506873089</v>
      </c>
      <c r="AP7" s="188">
        <f>'IS (US$)'!AP9</f>
        <v>639373.013615945</v>
      </c>
      <c r="AQ7" s="188">
        <f>'IS (US$)'!AQ9</f>
        <v>727560</v>
      </c>
      <c r="AR7" s="188">
        <f>'IS (US$)'!AR9</f>
        <v>479847</v>
      </c>
      <c r="AS7" s="188">
        <f>'IS (US$)'!AS9</f>
        <v>526496.98638405511</v>
      </c>
      <c r="AT7" s="188">
        <f>'IS (US$)'!AT9</f>
        <v>723269</v>
      </c>
      <c r="AU7" s="188">
        <f>'IS (US$)'!AU9</f>
        <v>519330</v>
      </c>
      <c r="AV7" s="188">
        <f>'IS (US$)'!AV9</f>
        <v>579887</v>
      </c>
      <c r="AW7" s="188">
        <f>'IS (US$)'!AW9</f>
        <v>647415</v>
      </c>
      <c r="AX7" s="188">
        <f>'IS (US$)'!AX9</f>
        <v>1209620</v>
      </c>
      <c r="AY7" s="188">
        <f>'IS (US$)'!AY9</f>
        <v>1327190</v>
      </c>
      <c r="AZ7" s="136"/>
      <c r="BA7" s="182">
        <f>SUM(B7:E7)</f>
        <v>209159.51967095546</v>
      </c>
      <c r="BB7" s="183">
        <f>SUM(F7:I7)</f>
        <v>75448.426381393729</v>
      </c>
      <c r="BC7" s="183">
        <f>SUM(J7:M7)</f>
        <v>117604.31503022833</v>
      </c>
      <c r="BD7" s="183">
        <f>SUM(N7:Q7)</f>
        <v>166522.3249563736</v>
      </c>
      <c r="BE7" s="183">
        <f>SUM(R7:U7)</f>
        <v>229541.93987021717</v>
      </c>
      <c r="BF7" s="183">
        <f>SUM(V7:Y7)</f>
        <v>412760.64874913392</v>
      </c>
      <c r="BG7" s="181">
        <f>SUM(Z7:AC7)</f>
        <v>361922.04558440042</v>
      </c>
      <c r="BH7" s="181">
        <f t="shared" ref="BH7:BH18" si="2">SUM(AD7:AG7)</f>
        <v>810769.83981468307</v>
      </c>
      <c r="BI7" s="181">
        <f t="shared" ref="BI7:BI18" si="3">SUM(AH7:AK7)</f>
        <v>1249659.4577299999</v>
      </c>
      <c r="BJ7" s="181">
        <f t="shared" ref="BJ7:BJ25" si="4">SUM(AL7:AO7)</f>
        <v>2538242.2734748889</v>
      </c>
      <c r="BK7" s="181">
        <f t="shared" ref="BK7:BK25" si="5">SUM(AP7:AS7)</f>
        <v>2373277</v>
      </c>
      <c r="BL7" s="181">
        <f t="shared" ref="BL7:BL25" si="6">SUM(AT7:AW7)</f>
        <v>2469901</v>
      </c>
    </row>
    <row r="8" spans="1:64" s="11" customFormat="1" ht="19.5" customHeight="1" thickBot="1">
      <c r="A8" s="146" t="s">
        <v>80</v>
      </c>
      <c r="B8" s="130">
        <f t="shared" ref="B8:Z8" si="7">B9+B18+B20+B21+B22+B23+B24</f>
        <v>-45495.808468688381</v>
      </c>
      <c r="C8" s="130">
        <f t="shared" si="7"/>
        <v>-46475.17572102874</v>
      </c>
      <c r="D8" s="130">
        <f t="shared" si="7"/>
        <v>-43477.090621592521</v>
      </c>
      <c r="E8" s="130">
        <f t="shared" si="7"/>
        <v>-59118.738943412085</v>
      </c>
      <c r="F8" s="130">
        <f t="shared" si="7"/>
        <v>-13319.872532829775</v>
      </c>
      <c r="G8" s="130">
        <f t="shared" si="7"/>
        <v>-19340.84752326829</v>
      </c>
      <c r="H8" s="130">
        <f t="shared" si="7"/>
        <v>-29494.49605111964</v>
      </c>
      <c r="I8" s="130">
        <f t="shared" si="7"/>
        <v>25747.587517124593</v>
      </c>
      <c r="J8" s="130">
        <f t="shared" si="7"/>
        <v>-18668.055499069531</v>
      </c>
      <c r="K8" s="130">
        <f t="shared" si="7"/>
        <v>-27829.628995095292</v>
      </c>
      <c r="L8" s="130">
        <f t="shared" si="7"/>
        <v>-43101.995545744321</v>
      </c>
      <c r="M8" s="130">
        <f t="shared" si="7"/>
        <v>73133.148085610068</v>
      </c>
      <c r="N8" s="130">
        <f t="shared" si="7"/>
        <v>-23654.888783378181</v>
      </c>
      <c r="O8" s="130">
        <f t="shared" si="7"/>
        <v>-27754.921600307734</v>
      </c>
      <c r="P8" s="130">
        <f t="shared" si="7"/>
        <v>-28212.399636838869</v>
      </c>
      <c r="Q8" s="130">
        <f t="shared" si="7"/>
        <v>-45986.640417998737</v>
      </c>
      <c r="R8" s="130">
        <f t="shared" si="7"/>
        <v>-31527.973729769026</v>
      </c>
      <c r="S8" s="130">
        <f t="shared" si="7"/>
        <v>-41791.606259007844</v>
      </c>
      <c r="T8" s="130">
        <f t="shared" si="7"/>
        <v>-33958.742181090965</v>
      </c>
      <c r="U8" s="130">
        <f t="shared" si="7"/>
        <v>-53140.797093988651</v>
      </c>
      <c r="V8" s="130">
        <f t="shared" si="7"/>
        <v>-22780.372162201973</v>
      </c>
      <c r="W8" s="130">
        <f t="shared" si="7"/>
        <v>-62645.746580000654</v>
      </c>
      <c r="X8" s="130">
        <f t="shared" si="7"/>
        <v>-52735.111492548574</v>
      </c>
      <c r="Y8" s="130">
        <f t="shared" si="7"/>
        <v>68928.309029290569</v>
      </c>
      <c r="Z8" s="130">
        <f t="shared" si="7"/>
        <v>-9095.0529776931216</v>
      </c>
      <c r="AA8" s="130">
        <f>AA9+AA18+AA20+AA21+AA22+AA23+AA24</f>
        <v>1771.4945800555033</v>
      </c>
      <c r="AB8" s="130">
        <f>AB9+AB18+AB20+AB21+AB22+AB23+AB24</f>
        <v>-88437.165856303647</v>
      </c>
      <c r="AC8" s="130">
        <f t="shared" ref="AC8" si="8">AC9+AC18+AC20+AC21+AC22+AC23+AC24</f>
        <v>-20476.968794420114</v>
      </c>
      <c r="AD8" s="130">
        <f>AD9+AD18+AD20+AD21+AD22+AD23+AD24</f>
        <v>-37724.723236283913</v>
      </c>
      <c r="AE8" s="130">
        <f t="shared" ref="AE8:AF8" si="9">AE9+AE18+AE20+AE21+AE22+AE23+AE24</f>
        <v>-67835.113292296694</v>
      </c>
      <c r="AF8" s="130">
        <f t="shared" si="9"/>
        <v>-60376.14324135262</v>
      </c>
      <c r="AG8" s="130">
        <f t="shared" ref="AG8:AH8" si="10">AG9+AG18+AG20+AG21+AG22+AG23+AG24</f>
        <v>-93404.708864440545</v>
      </c>
      <c r="AH8" s="130">
        <f t="shared" si="10"/>
        <v>-81035</v>
      </c>
      <c r="AI8" s="130">
        <f>AI9+AI18+AI20+AI21+AI22+AI23+AI24</f>
        <v>-120312.83739000002</v>
      </c>
      <c r="AJ8" s="130">
        <f>AJ9+AJ18+AJ20+AJ21+AJ22+AJ23+AJ24</f>
        <v>-84455.541624799313</v>
      </c>
      <c r="AK8" s="130">
        <f>AK9+AK18+AK20+AK21+AK22+AK23+AK24</f>
        <v>-11228.858754762798</v>
      </c>
      <c r="AL8" s="130">
        <f>SUM(AL9,AL18:AL24)</f>
        <v>-181451.63166276066</v>
      </c>
      <c r="AM8" s="130">
        <f t="shared" ref="AM8:AR8" si="11">AM9+AM18+AM20+AM21+AM22+AM23+AM24+AM19</f>
        <v>-143647.49305413937</v>
      </c>
      <c r="AN8" s="130">
        <f t="shared" si="11"/>
        <v>-194924.65111120598</v>
      </c>
      <c r="AO8" s="130">
        <f t="shared" si="11"/>
        <v>-165082.27298239252</v>
      </c>
      <c r="AP8" s="130">
        <f t="shared" si="11"/>
        <v>-162124.32286138012</v>
      </c>
      <c r="AQ8" s="130">
        <f t="shared" si="11"/>
        <v>-128666.97136999998</v>
      </c>
      <c r="AR8" s="130">
        <f t="shared" si="11"/>
        <v>-144734</v>
      </c>
      <c r="AS8" s="130">
        <f t="shared" ref="AS8:AT8" si="12">AS9+AS18+AS20+AS21+AS22+AS23+AS24+AS19</f>
        <v>-213134.7057686199</v>
      </c>
      <c r="AT8" s="130">
        <f t="shared" si="12"/>
        <v>-278326</v>
      </c>
      <c r="AU8" s="130">
        <f t="shared" ref="AU8:AV8" si="13">AU9+AU18+AU20+AU21+AU22+AU23+AU24+AU19</f>
        <v>-281569</v>
      </c>
      <c r="AV8" s="130">
        <f t="shared" si="13"/>
        <v>-256000</v>
      </c>
      <c r="AW8" s="130">
        <f t="shared" ref="AW8" si="14">AW9+AW18+AW20+AW21+AW22+AW23+AW24+AW19</f>
        <v>-304686</v>
      </c>
      <c r="AX8" s="130">
        <f>AX9+AX18+AX20+AX21+AX22+AX23+AX24+AX19</f>
        <v>-361585</v>
      </c>
      <c r="AY8" s="130">
        <f>AY9+AY18+AY20+AY21+AY22+AY23+AY24+AY19</f>
        <v>-457278</v>
      </c>
      <c r="AZ8" s="67"/>
      <c r="BA8" s="130">
        <f t="shared" ref="BA8:BG8" si="15">BA9+BA18+BA20+BA21+BA22+BA23+BA24</f>
        <v>-194566.81375472172</v>
      </c>
      <c r="BB8" s="130">
        <f t="shared" si="15"/>
        <v>-36407.628590093118</v>
      </c>
      <c r="BC8" s="130">
        <f t="shared" si="15"/>
        <v>-16466.531954299076</v>
      </c>
      <c r="BD8" s="130">
        <f t="shared" si="15"/>
        <v>-125608.85043852354</v>
      </c>
      <c r="BE8" s="130">
        <f t="shared" si="15"/>
        <v>-160419.11926385647</v>
      </c>
      <c r="BF8" s="130">
        <f t="shared" si="15"/>
        <v>-69232.921205460589</v>
      </c>
      <c r="BG8" s="130">
        <f t="shared" si="15"/>
        <v>-116237.69304836137</v>
      </c>
      <c r="BH8" s="130">
        <f t="shared" si="2"/>
        <v>-259340.68863437377</v>
      </c>
      <c r="BI8" s="130">
        <f t="shared" si="3"/>
        <v>-297032.23776956211</v>
      </c>
      <c r="BJ8" s="130">
        <f t="shared" si="4"/>
        <v>-685106.04881049856</v>
      </c>
      <c r="BK8" s="130">
        <f t="shared" si="5"/>
        <v>-648660</v>
      </c>
      <c r="BL8" s="130">
        <f t="shared" si="6"/>
        <v>-1120581</v>
      </c>
    </row>
    <row r="9" spans="1:64" s="17" customFormat="1" ht="19.5" customHeight="1">
      <c r="A9" s="141" t="s">
        <v>50</v>
      </c>
      <c r="B9" s="70">
        <f t="shared" ref="B9:Y9" si="16">SUM(B10:B17)</f>
        <v>-36237.449105486361</v>
      </c>
      <c r="C9" s="70">
        <f t="shared" si="16"/>
        <v>-22254.975861016894</v>
      </c>
      <c r="D9" s="70">
        <f t="shared" si="16"/>
        <v>-25968.924037943398</v>
      </c>
      <c r="E9" s="70">
        <f t="shared" si="16"/>
        <v>-23748.462914106851</v>
      </c>
      <c r="F9" s="70">
        <f t="shared" si="16"/>
        <v>0</v>
      </c>
      <c r="G9" s="70">
        <f t="shared" si="16"/>
        <v>-20788.073089750935</v>
      </c>
      <c r="H9" s="70">
        <f t="shared" si="16"/>
        <v>-25560.416325283761</v>
      </c>
      <c r="I9" s="70">
        <f t="shared" si="16"/>
        <v>-13314.070831847737</v>
      </c>
      <c r="J9" s="70">
        <f t="shared" si="16"/>
        <v>-12929.250492481393</v>
      </c>
      <c r="K9" s="70">
        <f t="shared" si="16"/>
        <v>-24226.108500978524</v>
      </c>
      <c r="L9" s="70">
        <f t="shared" si="16"/>
        <v>-29591.568750376347</v>
      </c>
      <c r="M9" s="70">
        <f t="shared" si="16"/>
        <v>-22026.47276844455</v>
      </c>
      <c r="N9" s="70">
        <f t="shared" si="16"/>
        <v>-15144.136052490538</v>
      </c>
      <c r="O9" s="70">
        <f t="shared" si="16"/>
        <v>-27758.031465133874</v>
      </c>
      <c r="P9" s="70">
        <f t="shared" si="16"/>
        <v>-19684.194803059043</v>
      </c>
      <c r="Q9" s="70">
        <f t="shared" si="16"/>
        <v>-30830.692629667457</v>
      </c>
      <c r="R9" s="70">
        <f t="shared" si="16"/>
        <v>-20505.443186928958</v>
      </c>
      <c r="S9" s="70">
        <f t="shared" si="16"/>
        <v>-28882.306626931524</v>
      </c>
      <c r="T9" s="70">
        <f t="shared" si="16"/>
        <v>-19461.711594149834</v>
      </c>
      <c r="U9" s="70">
        <f t="shared" si="16"/>
        <v>-34114.865839856939</v>
      </c>
      <c r="V9" s="70">
        <f t="shared" si="16"/>
        <v>-13677.322079540936</v>
      </c>
      <c r="W9" s="70">
        <f t="shared" si="16"/>
        <v>-33714.292553920008</v>
      </c>
      <c r="X9" s="70">
        <f t="shared" si="16"/>
        <v>-29738.881463307462</v>
      </c>
      <c r="Y9" s="70">
        <f t="shared" si="16"/>
        <v>-27179.539838486355</v>
      </c>
      <c r="Z9" s="70">
        <f>SUM(Z10:Z17)</f>
        <v>-18933.633142310809</v>
      </c>
      <c r="AA9" s="70">
        <f>SUM(AA10:AA17)</f>
        <v>-10390.298543556646</v>
      </c>
      <c r="AB9" s="70">
        <f>SUM(AB10:AB17)</f>
        <v>-83518.06220864215</v>
      </c>
      <c r="AC9" s="70">
        <f t="shared" ref="AC9:AF9" si="17">SUM(AC10:AC17)</f>
        <v>-78356.426415603652</v>
      </c>
      <c r="AD9" s="70">
        <f t="shared" si="17"/>
        <v>-18501.47611119163</v>
      </c>
      <c r="AE9" s="70">
        <f t="shared" si="17"/>
        <v>-31973.660209087087</v>
      </c>
      <c r="AF9" s="70">
        <f t="shared" si="17"/>
        <v>-40373.432048558141</v>
      </c>
      <c r="AG9" s="70">
        <f t="shared" ref="AG9:AH9" si="18">SUM(AG10:AG17)</f>
        <v>-57341.367714829183</v>
      </c>
      <c r="AH9" s="70">
        <f t="shared" si="18"/>
        <v>-42155</v>
      </c>
      <c r="AI9" s="70">
        <v>-55444</v>
      </c>
      <c r="AJ9" s="70">
        <f>'IS (US$)'!AJ10</f>
        <v>-44736.189793983671</v>
      </c>
      <c r="AK9" s="70">
        <f>'IS (US$)'!AK10</f>
        <v>-26356.098515578426</v>
      </c>
      <c r="AL9" s="70">
        <f t="shared" ref="AL9:AQ9" si="19">SUM(AL10:AL17)</f>
        <v>-79225</v>
      </c>
      <c r="AM9" s="70">
        <f t="shared" si="19"/>
        <v>-44922</v>
      </c>
      <c r="AN9" s="70">
        <f t="shared" si="19"/>
        <v>-63436</v>
      </c>
      <c r="AO9" s="70">
        <f t="shared" si="19"/>
        <v>-60736</v>
      </c>
      <c r="AP9" s="70">
        <f t="shared" si="19"/>
        <v>-57212</v>
      </c>
      <c r="AQ9" s="70">
        <f t="shared" si="19"/>
        <v>-61252</v>
      </c>
      <c r="AR9" s="70">
        <f t="shared" ref="AR9:AS9" si="20">SUM(AR10:AR17)</f>
        <v>-74107</v>
      </c>
      <c r="AS9" s="70">
        <f t="shared" si="20"/>
        <v>-54425</v>
      </c>
      <c r="AT9" s="70">
        <f t="shared" ref="AT9:AU9" si="21">SUM(AT10:AT17)</f>
        <v>-116203</v>
      </c>
      <c r="AU9" s="70">
        <f t="shared" si="21"/>
        <v>-106162</v>
      </c>
      <c r="AV9" s="70">
        <f t="shared" ref="AV9:AW9" si="22">SUM(AV10:AV17)</f>
        <v>-130853</v>
      </c>
      <c r="AW9" s="70">
        <f t="shared" si="22"/>
        <v>-131379</v>
      </c>
      <c r="AX9" s="70">
        <f t="shared" ref="AX9:AY9" si="23">SUM(AX10:AX17)</f>
        <v>-134762</v>
      </c>
      <c r="AY9" s="70">
        <f t="shared" si="23"/>
        <v>-109547</v>
      </c>
      <c r="AZ9" s="70"/>
      <c r="BA9" s="41">
        <f t="shared" ref="BA9:BA15" si="24">SUM(B9:E9)</f>
        <v>-108209.81191855349</v>
      </c>
      <c r="BB9" s="41">
        <f t="shared" ref="BB9:BB15" si="25">SUM(F9:I9)</f>
        <v>-59662.560246882436</v>
      </c>
      <c r="BC9" s="41">
        <f t="shared" ref="BC9:BC15" si="26">SUM(J9:M9)</f>
        <v>-88773.400512280816</v>
      </c>
      <c r="BD9" s="41">
        <f t="shared" ref="BD9:BD15" si="27">SUM(N9:Q9)</f>
        <v>-93417.05495035091</v>
      </c>
      <c r="BE9" s="41">
        <f t="shared" ref="BE9:BE15" si="28">SUM(R9:U9)</f>
        <v>-102964.32724786726</v>
      </c>
      <c r="BF9" s="41">
        <f t="shared" ref="BF9:BF15" si="29">SUM(V9:Y9)</f>
        <v>-104310.03593525475</v>
      </c>
      <c r="BG9" s="70">
        <f t="shared" ref="BG9:BG18" si="30">SUM(Z9:AC9)</f>
        <v>-191198.42031011326</v>
      </c>
      <c r="BH9" s="70">
        <f t="shared" si="2"/>
        <v>-148189.93608366605</v>
      </c>
      <c r="BI9" s="70">
        <f t="shared" si="3"/>
        <v>-168691.28830956211</v>
      </c>
      <c r="BJ9" s="70">
        <f t="shared" si="4"/>
        <v>-248319</v>
      </c>
      <c r="BK9" s="70">
        <f t="shared" si="5"/>
        <v>-246996</v>
      </c>
      <c r="BL9" s="70">
        <f t="shared" si="6"/>
        <v>-484597</v>
      </c>
    </row>
    <row r="10" spans="1:64" s="17" customFormat="1" ht="19.5" customHeight="1">
      <c r="A10" s="142" t="s">
        <v>51</v>
      </c>
      <c r="B10" s="70">
        <f>'IS (US$)'!B11</f>
        <v>-3527.0112837384836</v>
      </c>
      <c r="C10" s="70">
        <f>'IS (US$)'!C11</f>
        <v>-11816.884725138643</v>
      </c>
      <c r="D10" s="70">
        <f>'IS (US$)'!D11</f>
        <v>-6704.6784463217955</v>
      </c>
      <c r="E10" s="70">
        <f>'IS (US$)'!E11</f>
        <v>-3336.5446962884735</v>
      </c>
      <c r="F10" s="70">
        <f>'IS (US$)'!F11</f>
        <v>0</v>
      </c>
      <c r="G10" s="70">
        <f>'IS (US$)'!G11</f>
        <v>-6501.7683246683182</v>
      </c>
      <c r="H10" s="70">
        <f>'IS (US$)'!H11</f>
        <v>-8719.7787881523491</v>
      </c>
      <c r="I10" s="70">
        <f>'IS (US$)'!I11</f>
        <v>-4208.4258341820096</v>
      </c>
      <c r="J10" s="70">
        <f>'IS (US$)'!J11</f>
        <v>-4428.5814127315871</v>
      </c>
      <c r="K10" s="70">
        <f>'IS (US$)'!K11</f>
        <v>-7649.343147138994</v>
      </c>
      <c r="L10" s="70">
        <f>'IS (US$)'!L11</f>
        <v>-4288.9412436905413</v>
      </c>
      <c r="M10" s="70">
        <f>'IS (US$)'!M11</f>
        <v>-14917.789900309075</v>
      </c>
      <c r="N10" s="70">
        <f>'IS (US$)'!N11</f>
        <v>-5682.5507149901987</v>
      </c>
      <c r="O10" s="70">
        <f>'IS (US$)'!O11</f>
        <v>-9708.9979871997984</v>
      </c>
      <c r="P10" s="70">
        <f>'IS (US$)'!P11</f>
        <v>-6809.6605533244528</v>
      </c>
      <c r="Q10" s="70">
        <f>'IS (US$)'!Q11</f>
        <v>-10612.906768564531</v>
      </c>
      <c r="R10" s="70">
        <f>'IS (US$)'!R11</f>
        <v>-7041.6417662171216</v>
      </c>
      <c r="S10" s="70">
        <f>'IS (US$)'!S11</f>
        <v>-10666.312284541276</v>
      </c>
      <c r="T10" s="70">
        <f>'IS (US$)'!T11</f>
        <v>-8221.550233836897</v>
      </c>
      <c r="U10" s="70">
        <f>'IS (US$)'!U11</f>
        <v>-13719.407555931701</v>
      </c>
      <c r="V10" s="70">
        <f>'IS (US$)'!V11</f>
        <v>-3134.0324518258872</v>
      </c>
      <c r="W10" s="70">
        <f>'IS (US$)'!W11</f>
        <v>-3206.6700337849898</v>
      </c>
      <c r="X10" s="70">
        <f>'IS (US$)'!X11</f>
        <v>-1085.3275596894684</v>
      </c>
      <c r="Y10" s="70">
        <f>'IS (US$)'!Y11</f>
        <v>-1171.0732906251865</v>
      </c>
      <c r="Z10" s="70">
        <f>'IS (US$)'!Z11</f>
        <v>-2565.8104027603199</v>
      </c>
      <c r="AA10" s="70">
        <f>'IS (US$)'!AA11</f>
        <v>0</v>
      </c>
      <c r="AB10" s="70">
        <f>'IS (US$)'!AB11</f>
        <v>-231.83838299615229</v>
      </c>
      <c r="AC10" s="70">
        <f>'IS (US$)'!AC11</f>
        <v>-2970.8799486395683</v>
      </c>
      <c r="AD10" s="70">
        <f>'IS (US$)'!AD11</f>
        <v>-565.11036883950385</v>
      </c>
      <c r="AE10" s="70">
        <f>+'IS (US$)'!AE11</f>
        <v>0</v>
      </c>
      <c r="AF10" s="70">
        <f>+'IS (US$)'!AF11</f>
        <v>-1075.7352589753948</v>
      </c>
      <c r="AG10" s="70">
        <f>+'IS (US$)'!AG11</f>
        <v>-804.78547192270673</v>
      </c>
      <c r="AH10" s="70">
        <f>+'IS (US$)'!AH11</f>
        <v>0</v>
      </c>
      <c r="AI10" s="70">
        <f>+'IS (US$)'!AI11</f>
        <v>0</v>
      </c>
      <c r="AJ10" s="70">
        <f>+'IS (US$)'!AJ11</f>
        <v>0</v>
      </c>
      <c r="AK10" s="70">
        <f>+'IS (US$)'!AK11</f>
        <v>0</v>
      </c>
      <c r="AL10" s="70">
        <f>+'IS (US$)'!AL11</f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0</v>
      </c>
      <c r="AU10" s="70">
        <v>0</v>
      </c>
      <c r="AV10" s="70">
        <v>0</v>
      </c>
      <c r="AW10" s="70">
        <v>0</v>
      </c>
      <c r="AX10" s="70">
        <v>0</v>
      </c>
      <c r="AY10" s="70">
        <f>+'IS (US$)'!AY11</f>
        <v>0</v>
      </c>
      <c r="AZ10" s="150"/>
      <c r="BA10" s="41">
        <f t="shared" si="24"/>
        <v>-25385.119151487397</v>
      </c>
      <c r="BB10" s="41">
        <f t="shared" si="25"/>
        <v>-19429.972947002676</v>
      </c>
      <c r="BC10" s="41">
        <f t="shared" si="26"/>
        <v>-31284.655703870198</v>
      </c>
      <c r="BD10" s="41">
        <f t="shared" si="27"/>
        <v>-32814.116024078976</v>
      </c>
      <c r="BE10" s="41">
        <f t="shared" si="28"/>
        <v>-39648.911840526998</v>
      </c>
      <c r="BF10" s="41">
        <f t="shared" si="29"/>
        <v>-8597.1033359255307</v>
      </c>
      <c r="BG10" s="70">
        <f t="shared" si="30"/>
        <v>-5768.5287343960408</v>
      </c>
      <c r="BH10" s="70">
        <f t="shared" si="2"/>
        <v>-2445.6310997376054</v>
      </c>
      <c r="BI10" s="70">
        <f t="shared" si="3"/>
        <v>0</v>
      </c>
      <c r="BJ10" s="70">
        <f t="shared" si="4"/>
        <v>0</v>
      </c>
      <c r="BK10" s="70">
        <f t="shared" si="5"/>
        <v>0</v>
      </c>
      <c r="BL10" s="70">
        <f t="shared" si="6"/>
        <v>0</v>
      </c>
    </row>
    <row r="11" spans="1:64" s="17" customFormat="1" ht="19.5" customHeight="1">
      <c r="A11" s="142" t="s">
        <v>52</v>
      </c>
      <c r="B11" s="70">
        <f>'IS (US$)'!B12</f>
        <v>-4206.1778236785276</v>
      </c>
      <c r="C11" s="70">
        <f>'IS (US$)'!C12</f>
        <v>-6773.7217107270417</v>
      </c>
      <c r="D11" s="70">
        <f>'IS (US$)'!D12</f>
        <v>-3826.9114074638533</v>
      </c>
      <c r="E11" s="70">
        <f>'IS (US$)'!E12</f>
        <v>-3412.2504482733871</v>
      </c>
      <c r="F11" s="70">
        <f>'IS (US$)'!F12</f>
        <v>0</v>
      </c>
      <c r="G11" s="70">
        <f>'IS (US$)'!G12</f>
        <v>-3092.1257321675776</v>
      </c>
      <c r="H11" s="70">
        <f>'IS (US$)'!H12</f>
        <v>-3596.9087501128442</v>
      </c>
      <c r="I11" s="70">
        <f>'IS (US$)'!I12</f>
        <v>-1935.5898615786766</v>
      </c>
      <c r="J11" s="70">
        <f>'IS (US$)'!J12</f>
        <v>-2043.2301725155703</v>
      </c>
      <c r="K11" s="70">
        <f>'IS (US$)'!K12</f>
        <v>-3594.0976592272395</v>
      </c>
      <c r="L11" s="70">
        <f>'IS (US$)'!L12</f>
        <v>-2254.3052280787078</v>
      </c>
      <c r="M11" s="70">
        <f>'IS (US$)'!M12</f>
        <v>-9040.5419733693561</v>
      </c>
      <c r="N11" s="70">
        <f>'IS (US$)'!N12</f>
        <v>-2495.9190615921902</v>
      </c>
      <c r="O11" s="70">
        <f>'IS (US$)'!O12</f>
        <v>-4415.6970666319648</v>
      </c>
      <c r="P11" s="70">
        <f>'IS (US$)'!P12</f>
        <v>-3084.777495686732</v>
      </c>
      <c r="Q11" s="70">
        <f>'IS (US$)'!Q12</f>
        <v>-4524.1242126411034</v>
      </c>
      <c r="R11" s="70">
        <f>'IS (US$)'!R12</f>
        <v>-3010.5413614436297</v>
      </c>
      <c r="S11" s="70">
        <f>'IS (US$)'!S12</f>
        <v>-3998.3085145065756</v>
      </c>
      <c r="T11" s="70">
        <f>'IS (US$)'!T12</f>
        <v>-2743.8927006895519</v>
      </c>
      <c r="U11" s="70">
        <f>'IS (US$)'!U12</f>
        <v>-4318.9950123488798</v>
      </c>
      <c r="V11" s="70">
        <f>'IS (US$)'!V12</f>
        <v>-1647.0323817454023</v>
      </c>
      <c r="W11" s="70">
        <f>'IS (US$)'!W12</f>
        <v>-4290.5250153737597</v>
      </c>
      <c r="X11" s="70">
        <f>'IS (US$)'!X12</f>
        <v>-7126.0024534934828</v>
      </c>
      <c r="Y11" s="70">
        <f>'IS (US$)'!Y12</f>
        <v>-5351.5693146159474</v>
      </c>
      <c r="Z11" s="70">
        <f>'IS (US$)'!Z12</f>
        <v>-2406.0773356889754</v>
      </c>
      <c r="AA11" s="70">
        <f>'IS (US$)'!AA12</f>
        <v>-2355.0475259408672</v>
      </c>
      <c r="AB11" s="70">
        <f>'IS (US$)'!AB12</f>
        <v>-2200.3265940332499</v>
      </c>
      <c r="AC11" s="70">
        <f>'IS (US$)'!AC12</f>
        <v>-5183.576222567106</v>
      </c>
      <c r="AD11" s="70">
        <f>'IS (US$)'!AD12</f>
        <v>-1835.9239931118614</v>
      </c>
      <c r="AE11" s="70">
        <f>+'IS (US$)'!AE12</f>
        <v>-3444.676621424107</v>
      </c>
      <c r="AF11" s="70">
        <f>+'IS (US$)'!AF12</f>
        <v>-2853.6520722810942</v>
      </c>
      <c r="AG11" s="70">
        <f>+'IS (US$)'!AG12</f>
        <v>-6400.3272636914171</v>
      </c>
      <c r="AH11" s="70">
        <f>+'IS (US$)'!AH12</f>
        <v>-6211</v>
      </c>
      <c r="AI11" s="70">
        <f>+'IS (US$)'!AI12</f>
        <v>-2516.4699133722452</v>
      </c>
      <c r="AJ11" s="70">
        <f>+'IS (US$)'!AJ12</f>
        <v>-391.16377721023736</v>
      </c>
      <c r="AK11" s="70">
        <f>+'IS (US$)'!AK12</f>
        <v>-786.38454339074883</v>
      </c>
      <c r="AL11" s="70">
        <f>+'IS (US$)'!AL12</f>
        <v>-1875</v>
      </c>
      <c r="AM11" s="70">
        <f>+'IS (US$)'!AM12</f>
        <v>-4172</v>
      </c>
      <c r="AN11" s="70">
        <f>+'IS (US$)'!AN12</f>
        <v>-7558</v>
      </c>
      <c r="AO11" s="70">
        <f>+'IS (US$)'!AO12</f>
        <v>-6425</v>
      </c>
      <c r="AP11" s="70">
        <f>+'IS (US$)'!AP12</f>
        <v>-3213</v>
      </c>
      <c r="AQ11" s="70">
        <f>+'IS (US$)'!AQ12</f>
        <v>-5038</v>
      </c>
      <c r="AR11" s="70">
        <f>+'IS (US$)'!AR12</f>
        <v>-11131</v>
      </c>
      <c r="AS11" s="70">
        <f>+'IS (US$)'!AS12</f>
        <v>-674</v>
      </c>
      <c r="AT11" s="70">
        <f>+'IS (US$)'!AT12</f>
        <v>-5062</v>
      </c>
      <c r="AU11" s="70">
        <f>+'IS (US$)'!AU12</f>
        <v>-8902</v>
      </c>
      <c r="AV11" s="70">
        <f>+'IS (US$)'!AV12</f>
        <v>-12924</v>
      </c>
      <c r="AW11" s="70">
        <f>+'IS (US$)'!AW12</f>
        <v>-13218</v>
      </c>
      <c r="AX11" s="70">
        <f>+'IS (US$)'!AX12</f>
        <v>-2278</v>
      </c>
      <c r="AY11" s="70">
        <f>+'IS (US$)'!AY12</f>
        <v>0</v>
      </c>
      <c r="AZ11" s="150"/>
      <c r="BA11" s="41">
        <f t="shared" si="24"/>
        <v>-18219.061390142808</v>
      </c>
      <c r="BB11" s="41">
        <f t="shared" si="25"/>
        <v>-8624.6243438590991</v>
      </c>
      <c r="BC11" s="41">
        <f t="shared" si="26"/>
        <v>-16932.175033190873</v>
      </c>
      <c r="BD11" s="41">
        <f t="shared" si="27"/>
        <v>-14520.517836551991</v>
      </c>
      <c r="BE11" s="41">
        <f t="shared" si="28"/>
        <v>-14071.737588988637</v>
      </c>
      <c r="BF11" s="41">
        <f t="shared" si="29"/>
        <v>-18415.129165228591</v>
      </c>
      <c r="BG11" s="70">
        <f t="shared" si="30"/>
        <v>-12145.027678230199</v>
      </c>
      <c r="BH11" s="70">
        <f t="shared" si="2"/>
        <v>-14534.57995050848</v>
      </c>
      <c r="BI11" s="70">
        <f t="shared" si="3"/>
        <v>-9905.018233973231</v>
      </c>
      <c r="BJ11" s="70">
        <f t="shared" si="4"/>
        <v>-20030</v>
      </c>
      <c r="BK11" s="70">
        <f t="shared" si="5"/>
        <v>-20056</v>
      </c>
      <c r="BL11" s="70">
        <f t="shared" si="6"/>
        <v>-40106</v>
      </c>
    </row>
    <row r="12" spans="1:64" s="17" customFormat="1" ht="19.5" customHeight="1">
      <c r="A12" s="142" t="s">
        <v>53</v>
      </c>
      <c r="B12" s="70">
        <f>'IS (US$)'!B13</f>
        <v>-2537.6708660563513</v>
      </c>
      <c r="C12" s="70">
        <f>'IS (US$)'!C13</f>
        <v>-3138.0678045191048</v>
      </c>
      <c r="D12" s="70">
        <f>'IS (US$)'!D13</f>
        <v>-4484.5862455529887</v>
      </c>
      <c r="E12" s="70">
        <f>'IS (US$)'!E13</f>
        <v>-2300.9841510026054</v>
      </c>
      <c r="F12" s="70">
        <f>'IS (US$)'!F13</f>
        <v>0</v>
      </c>
      <c r="G12" s="70">
        <f>'IS (US$)'!G13</f>
        <v>-4043.0480215756161</v>
      </c>
      <c r="H12" s="70">
        <f>'IS (US$)'!H13</f>
        <v>-4627.5820848523545</v>
      </c>
      <c r="I12" s="70">
        <f>'IS (US$)'!I13</f>
        <v>-2757.7735185254492</v>
      </c>
      <c r="J12" s="70">
        <f>'IS (US$)'!J13</f>
        <v>-2669.9815958647755</v>
      </c>
      <c r="K12" s="70">
        <f>'IS (US$)'!K13</f>
        <v>-4293.6717646619527</v>
      </c>
      <c r="L12" s="70">
        <f>'IS (US$)'!L13</f>
        <v>-2386.1683738512493</v>
      </c>
      <c r="M12" s="70">
        <f>'IS (US$)'!M13</f>
        <v>-8335.5636860279974</v>
      </c>
      <c r="N12" s="70">
        <f>'IS (US$)'!N13</f>
        <v>-2845.5704380982215</v>
      </c>
      <c r="O12" s="70">
        <f>'IS (US$)'!O13</f>
        <v>-5054.7742884031231</v>
      </c>
      <c r="P12" s="70">
        <f>'IS (US$)'!P13</f>
        <v>-3064.8532612979416</v>
      </c>
      <c r="Q12" s="70">
        <f>'IS (US$)'!Q13</f>
        <v>-6234.6327141762931</v>
      </c>
      <c r="R12" s="70">
        <f>'IS (US$)'!R13</f>
        <v>-4197.1376291486195</v>
      </c>
      <c r="S12" s="70">
        <f>'IS (US$)'!S13</f>
        <v>-6513.3914241514949</v>
      </c>
      <c r="T12" s="70">
        <f>'IS (US$)'!T13</f>
        <v>-3315.3576656666046</v>
      </c>
      <c r="U12" s="70">
        <f>'IS (US$)'!U13</f>
        <v>-7087.6959214314784</v>
      </c>
      <c r="V12" s="70">
        <f>'IS (US$)'!V13</f>
        <v>-3639.3417742305351</v>
      </c>
      <c r="W12" s="70">
        <f>'IS (US$)'!W13</f>
        <v>-7934.1551770621527</v>
      </c>
      <c r="X12" s="70">
        <f>'IS (US$)'!X13</f>
        <v>-5672.3533396806806</v>
      </c>
      <c r="Y12" s="70">
        <f>'IS (US$)'!Y13</f>
        <v>-8368.5222848637823</v>
      </c>
      <c r="Z12" s="70">
        <f>'IS (US$)'!Z13</f>
        <v>-4050.4542112901931</v>
      </c>
      <c r="AA12" s="70">
        <f>'IS (US$)'!AA13</f>
        <v>-2884.2821397877683</v>
      </c>
      <c r="AB12" s="70">
        <f>'IS (US$)'!AB13</f>
        <v>-6206.8359393155934</v>
      </c>
      <c r="AC12" s="70">
        <f>'IS (US$)'!AC13</f>
        <v>-8905.2320914027114</v>
      </c>
      <c r="AD12" s="70">
        <f>'IS (US$)'!AD13</f>
        <v>-4398.5488805633759</v>
      </c>
      <c r="AE12" s="70">
        <f>+'IS (US$)'!AE13</f>
        <v>-8857.7938268420603</v>
      </c>
      <c r="AF12" s="70">
        <f>+'IS (US$)'!AF13</f>
        <v>-9010.2147664420354</v>
      </c>
      <c r="AG12" s="70">
        <f>+'IS (US$)'!AG13</f>
        <v>-11384.62598512773</v>
      </c>
      <c r="AH12" s="70">
        <f>+'IS (US$)'!AH13</f>
        <v>-3853</v>
      </c>
      <c r="AI12" s="70">
        <f>+'IS (US$)'!AI13</f>
        <v>-8912.6454149249585</v>
      </c>
      <c r="AJ12" s="70">
        <f>+'IS (US$)'!AJ13</f>
        <v>-11417.358609229117</v>
      </c>
      <c r="AK12" s="70">
        <f>+'IS (US$)'!AK13</f>
        <v>-8068.8200138179727</v>
      </c>
      <c r="AL12" s="70">
        <f>+'IS (US$)'!AL13</f>
        <v>-22027</v>
      </c>
      <c r="AM12" s="70">
        <f>+'IS (US$)'!AM13</f>
        <v>-11741</v>
      </c>
      <c r="AN12" s="70">
        <f>+'IS (US$)'!AN13</f>
        <v>-21297</v>
      </c>
      <c r="AO12" s="70">
        <f>+'IS (US$)'!AO13</f>
        <v>-24497</v>
      </c>
      <c r="AP12" s="70">
        <f>+'IS (US$)'!AP13</f>
        <v>-25623</v>
      </c>
      <c r="AQ12" s="70">
        <f>+'IS (US$)'!AQ13</f>
        <v>-25391</v>
      </c>
      <c r="AR12" s="70">
        <f>+'IS (US$)'!AR13</f>
        <v>-29378</v>
      </c>
      <c r="AS12" s="70">
        <f>+'IS (US$)'!AS13</f>
        <v>-28211</v>
      </c>
      <c r="AT12" s="70">
        <f>+'IS (US$)'!AT13</f>
        <v>-32372</v>
      </c>
      <c r="AU12" s="70">
        <f>+'IS (US$)'!AU13</f>
        <v>-19368</v>
      </c>
      <c r="AV12" s="70">
        <f>+'IS (US$)'!AV13</f>
        <v>-24542</v>
      </c>
      <c r="AW12" s="70">
        <f>+'IS (US$)'!AW13</f>
        <v>-35437</v>
      </c>
      <c r="AX12" s="70">
        <f>+'IS (US$)'!AX13</f>
        <v>-49186</v>
      </c>
      <c r="AY12" s="70">
        <f>+'IS (US$)'!AY13</f>
        <v>-43486</v>
      </c>
      <c r="AZ12" s="150"/>
      <c r="BA12" s="41">
        <f t="shared" si="24"/>
        <v>-12461.309067131049</v>
      </c>
      <c r="BB12" s="41">
        <f t="shared" si="25"/>
        <v>-11428.40362495342</v>
      </c>
      <c r="BC12" s="41">
        <f t="shared" si="26"/>
        <v>-17685.385420405975</v>
      </c>
      <c r="BD12" s="41">
        <f t="shared" si="27"/>
        <v>-17199.830701975578</v>
      </c>
      <c r="BE12" s="41">
        <f t="shared" si="28"/>
        <v>-21113.582640398196</v>
      </c>
      <c r="BF12" s="41">
        <f t="shared" si="29"/>
        <v>-25614.372575837151</v>
      </c>
      <c r="BG12" s="70">
        <f t="shared" si="30"/>
        <v>-22046.804381796268</v>
      </c>
      <c r="BH12" s="70">
        <f t="shared" si="2"/>
        <v>-33651.183458975203</v>
      </c>
      <c r="BI12" s="70">
        <f t="shared" si="3"/>
        <v>-32251.824037972052</v>
      </c>
      <c r="BJ12" s="70">
        <f t="shared" si="4"/>
        <v>-79562</v>
      </c>
      <c r="BK12" s="70">
        <f t="shared" si="5"/>
        <v>-108603</v>
      </c>
      <c r="BL12" s="70">
        <f t="shared" si="6"/>
        <v>-111719</v>
      </c>
    </row>
    <row r="13" spans="1:64" s="17" customFormat="1" ht="19.5" customHeight="1">
      <c r="A13" s="142" t="s">
        <v>54</v>
      </c>
      <c r="B13" s="70">
        <f>'IS (US$)'!B14</f>
        <v>-3174.0985770032835</v>
      </c>
      <c r="C13" s="70">
        <f>'IS (US$)'!C14</f>
        <v>-1160.2864373014593</v>
      </c>
      <c r="D13" s="70">
        <f>'IS (US$)'!D14</f>
        <v>-9350.7645763074288</v>
      </c>
      <c r="E13" s="70">
        <f>'IS (US$)'!E14</f>
        <v>2070.7288327894225</v>
      </c>
      <c r="F13" s="70">
        <f>'IS (US$)'!F14</f>
        <v>0</v>
      </c>
      <c r="G13" s="70">
        <f>'IS (US$)'!G14</f>
        <v>-3835.2780145063252</v>
      </c>
      <c r="H13" s="70">
        <f>'IS (US$)'!H14</f>
        <v>-4126.9289827994362</v>
      </c>
      <c r="I13" s="70">
        <f>'IS (US$)'!I14</f>
        <v>-1562.7209924889637</v>
      </c>
      <c r="J13" s="70">
        <f>'IS (US$)'!J14</f>
        <v>-1829.4365870733557</v>
      </c>
      <c r="K13" s="70">
        <f>'IS (US$)'!K14</f>
        <v>-2546.4497437823566</v>
      </c>
      <c r="L13" s="70">
        <f>'IS (US$)'!L14</f>
        <v>-1455.4240668913237</v>
      </c>
      <c r="M13" s="70">
        <f>'IS (US$)'!M14</f>
        <v>-6983.8998896267358</v>
      </c>
      <c r="N13" s="70">
        <f>'IS (US$)'!N14</f>
        <v>-2326.0247621797962</v>
      </c>
      <c r="O13" s="70">
        <f>'IS (US$)'!O14</f>
        <v>-5563.2371874765277</v>
      </c>
      <c r="P13" s="70">
        <f>'IS (US$)'!P14</f>
        <v>-4128.1116107441985</v>
      </c>
      <c r="Q13" s="70">
        <f>'IS (US$)'!Q14</f>
        <v>-6119.8603322600084</v>
      </c>
      <c r="R13" s="70">
        <f>'IS (US$)'!R14</f>
        <v>-3453.820704441418</v>
      </c>
      <c r="S13" s="70">
        <f>'IS (US$)'!S14</f>
        <v>-4262.0915849022967</v>
      </c>
      <c r="T13" s="70">
        <f>'IS (US$)'!T14</f>
        <v>-2870.4910535865511</v>
      </c>
      <c r="U13" s="70">
        <f>'IS (US$)'!U14</f>
        <v>-4922.1641007579483</v>
      </c>
      <c r="V13" s="70">
        <f>'IS (US$)'!V14</f>
        <v>-3385.6255388214786</v>
      </c>
      <c r="W13" s="70">
        <f>'IS (US$)'!W14</f>
        <v>-8400.1949632148207</v>
      </c>
      <c r="X13" s="70">
        <f>'IS (US$)'!X14</f>
        <v>-5329.2075582246971</v>
      </c>
      <c r="Y13" s="70">
        <f>'IS (US$)'!Y14</f>
        <v>-9286.9682736324685</v>
      </c>
      <c r="Z13" s="70">
        <f>'IS (US$)'!Z14</f>
        <v>-5151.3354056640874</v>
      </c>
      <c r="AA13" s="70">
        <f>'IS (US$)'!AA14</f>
        <v>-2587.7619378644076</v>
      </c>
      <c r="AB13" s="70">
        <f>'IS (US$)'!AB14</f>
        <v>-4343.9485314395333</v>
      </c>
      <c r="AC13" s="70">
        <f>'IS (US$)'!AC14</f>
        <v>-8853.7481975165501</v>
      </c>
      <c r="AD13" s="70">
        <f>'IS (US$)'!AD14</f>
        <v>-4474.8707332854801</v>
      </c>
      <c r="AE13" s="70">
        <f>+'IS (US$)'!AE14</f>
        <v>-10293.060019007919</v>
      </c>
      <c r="AF13" s="70">
        <f>+'IS (US$)'!AF14</f>
        <v>-13077.247270341546</v>
      </c>
      <c r="AG13" s="70">
        <f>+'IS (US$)'!AG14</f>
        <v>-11650.858687407834</v>
      </c>
      <c r="AH13" s="70">
        <f>+'IS (US$)'!AH14</f>
        <v>-10086</v>
      </c>
      <c r="AI13" s="70">
        <f>+'IS (US$)'!AI14</f>
        <v>-7822.3761340186165</v>
      </c>
      <c r="AJ13" s="70">
        <f>+'IS (US$)'!AJ14</f>
        <v>-8201.8628973722916</v>
      </c>
      <c r="AK13" s="70">
        <f>+'IS (US$)'!AK14</f>
        <v>-6105.9938150549215</v>
      </c>
      <c r="AL13" s="70">
        <f>+'IS (US$)'!AL14</f>
        <v>-21030</v>
      </c>
      <c r="AM13" s="70">
        <f>+'IS (US$)'!AM14</f>
        <v>-2404</v>
      </c>
      <c r="AN13" s="70">
        <f>+'IS (US$)'!AN14</f>
        <v>-17830</v>
      </c>
      <c r="AO13" s="70">
        <f>+'IS (US$)'!AO14</f>
        <v>-19319</v>
      </c>
      <c r="AP13" s="70">
        <f>+'IS (US$)'!AP14</f>
        <v>-11100</v>
      </c>
      <c r="AQ13" s="70">
        <f>+'IS (US$)'!AQ14</f>
        <v>-16278</v>
      </c>
      <c r="AR13" s="70">
        <f>+'IS (US$)'!AR14</f>
        <v>-13084</v>
      </c>
      <c r="AS13" s="70">
        <f>+'IS (US$)'!AS14</f>
        <v>-21099</v>
      </c>
      <c r="AT13" s="70">
        <f>+'IS (US$)'!AT14</f>
        <v>-44767</v>
      </c>
      <c r="AU13" s="70">
        <f>+'IS (US$)'!AU14</f>
        <v>-50697</v>
      </c>
      <c r="AV13" s="70">
        <f>+'IS (US$)'!AV14</f>
        <v>-54219</v>
      </c>
      <c r="AW13" s="70">
        <f>+'IS (US$)'!AW14</f>
        <v>-39971</v>
      </c>
      <c r="AX13" s="70">
        <f>+'IS (US$)'!AX14</f>
        <v>-40715</v>
      </c>
      <c r="AY13" s="70">
        <f>+'IS (US$)'!AY14</f>
        <v>-38219</v>
      </c>
      <c r="AZ13" s="150"/>
      <c r="BA13" s="41">
        <f t="shared" si="24"/>
        <v>-11614.420757822749</v>
      </c>
      <c r="BB13" s="41">
        <f t="shared" si="25"/>
        <v>-9524.9279897947254</v>
      </c>
      <c r="BC13" s="41">
        <f t="shared" si="26"/>
        <v>-12815.210287373771</v>
      </c>
      <c r="BD13" s="41">
        <f t="shared" si="27"/>
        <v>-18137.23389266053</v>
      </c>
      <c r="BE13" s="41">
        <f t="shared" si="28"/>
        <v>-15508.567443688215</v>
      </c>
      <c r="BF13" s="41">
        <f t="shared" si="29"/>
        <v>-26401.996333893465</v>
      </c>
      <c r="BG13" s="70">
        <f t="shared" si="30"/>
        <v>-20936.794072484579</v>
      </c>
      <c r="BH13" s="70">
        <f t="shared" si="2"/>
        <v>-39496.036710042776</v>
      </c>
      <c r="BI13" s="70">
        <f t="shared" si="3"/>
        <v>-32216.23284644583</v>
      </c>
      <c r="BJ13" s="70">
        <f t="shared" si="4"/>
        <v>-60583</v>
      </c>
      <c r="BK13" s="70">
        <f t="shared" si="5"/>
        <v>-61561</v>
      </c>
      <c r="BL13" s="70">
        <f t="shared" si="6"/>
        <v>-189654</v>
      </c>
    </row>
    <row r="14" spans="1:64" s="17" customFormat="1" ht="19.5" customHeight="1">
      <c r="A14" s="142" t="s">
        <v>55</v>
      </c>
      <c r="B14" s="70">
        <f>'IS (US$)'!B15</f>
        <v>-1040.1192244066219</v>
      </c>
      <c r="C14" s="70">
        <f>'IS (US$)'!C15</f>
        <v>-1001.9024031299916</v>
      </c>
      <c r="D14" s="70">
        <f>'IS (US$)'!D15</f>
        <v>-927.16325770721039</v>
      </c>
      <c r="E14" s="70">
        <f>'IS (US$)'!E15</f>
        <v>-2511.6265801005252</v>
      </c>
      <c r="F14" s="70">
        <f>'IS (US$)'!F15</f>
        <v>0</v>
      </c>
      <c r="G14" s="70">
        <f>'IS (US$)'!G15</f>
        <v>-894.58340034379512</v>
      </c>
      <c r="H14" s="70">
        <f>'IS (US$)'!H15</f>
        <v>-971.37432095997679</v>
      </c>
      <c r="I14" s="70">
        <f>'IS (US$)'!I15</f>
        <v>-593.62596104031684</v>
      </c>
      <c r="J14" s="70">
        <f>'IS (US$)'!J15</f>
        <v>-480.71474853933717</v>
      </c>
      <c r="K14" s="70">
        <f>'IS (US$)'!K15</f>
        <v>-875.46702337258409</v>
      </c>
      <c r="L14" s="70">
        <f>'IS (US$)'!L15</f>
        <v>-514.51274168258055</v>
      </c>
      <c r="M14" s="70">
        <f>'IS (US$)'!M15</f>
        <v>-1408.1349253614226</v>
      </c>
      <c r="N14" s="70">
        <f>'IS (US$)'!N15</f>
        <v>-652.85225167459203</v>
      </c>
      <c r="O14" s="70">
        <f>'IS (US$)'!O15</f>
        <v>-955.97244755452209</v>
      </c>
      <c r="P14" s="70">
        <f>'IS (US$)'!P15</f>
        <v>-855.79330565186558</v>
      </c>
      <c r="Q14" s="70">
        <f>'IS (US$)'!Q15</f>
        <v>-1188.3403189294661</v>
      </c>
      <c r="R14" s="70">
        <f>'IS (US$)'!R15</f>
        <v>-783.9791021051916</v>
      </c>
      <c r="S14" s="70">
        <f>'IS (US$)'!S15</f>
        <v>-1028.5323080976027</v>
      </c>
      <c r="T14" s="70">
        <f>'IS (US$)'!T15</f>
        <v>-597.29102896804034</v>
      </c>
      <c r="U14" s="70">
        <f>'IS (US$)'!U15</f>
        <v>-1419.3757147860188</v>
      </c>
      <c r="V14" s="70">
        <f>'IS (US$)'!V15</f>
        <v>-808.38875842676362</v>
      </c>
      <c r="W14" s="70">
        <f>'IS (US$)'!W15</f>
        <v>-5617.4757365375108</v>
      </c>
      <c r="X14" s="70">
        <f>'IS (US$)'!X15</f>
        <v>-3119.2782334846934</v>
      </c>
      <c r="Y14" s="70">
        <f>'IS (US$)'!Y15</f>
        <v>-4499.9238143189332</v>
      </c>
      <c r="Z14" s="70">
        <f>'IS (US$)'!Z15</f>
        <v>-2978.920887584386</v>
      </c>
      <c r="AA14" s="70">
        <f>'IS (US$)'!AA15</f>
        <v>-2352.0711625589515</v>
      </c>
      <c r="AB14" s="70">
        <f>'IS (US$)'!AB15</f>
        <v>-2635.1862394446375</v>
      </c>
      <c r="AC14" s="70">
        <f>'IS (US$)'!AC15</f>
        <v>-5500.2577281258682</v>
      </c>
      <c r="AD14" s="70">
        <f>'IS (US$)'!AD15</f>
        <v>-2496.1627956073853</v>
      </c>
      <c r="AE14" s="70">
        <f>+'IS (US$)'!AE15</f>
        <v>-5215.6312231757165</v>
      </c>
      <c r="AF14" s="70">
        <f>+'IS (US$)'!AF15</f>
        <v>-6697.9670398901599</v>
      </c>
      <c r="AG14" s="70">
        <f>+'IS (US$)'!AG15</f>
        <v>-9707.5569049275091</v>
      </c>
      <c r="AH14" s="70">
        <f>+'IS (US$)'!AH15</f>
        <v>-6485</v>
      </c>
      <c r="AI14" s="70">
        <f>+'IS (US$)'!AI15</f>
        <v>-7381.7987964927734</v>
      </c>
      <c r="AJ14" s="70">
        <f>+'IS (US$)'!AJ15</f>
        <v>-6541.9598711491799</v>
      </c>
      <c r="AK14" s="70">
        <f>+'IS (US$)'!AK15</f>
        <v>-4388.1425097924794</v>
      </c>
      <c r="AL14" s="70">
        <f>+'IS (US$)'!AL15</f>
        <v>-12499</v>
      </c>
      <c r="AM14" s="70">
        <f>+'IS (US$)'!AM15</f>
        <v>-13829</v>
      </c>
      <c r="AN14" s="70">
        <f>+'IS (US$)'!AN15</f>
        <v>-11607</v>
      </c>
      <c r="AO14" s="70">
        <f>+'IS (US$)'!AO15</f>
        <v>-10443</v>
      </c>
      <c r="AP14" s="70">
        <f>+'IS (US$)'!AP15</f>
        <v>-11502</v>
      </c>
      <c r="AQ14" s="70">
        <f>+'IS (US$)'!AQ15</f>
        <v>-13041</v>
      </c>
      <c r="AR14" s="70">
        <f>+'IS (US$)'!AR15</f>
        <v>-12949</v>
      </c>
      <c r="AS14" s="70">
        <f>+'IS (US$)'!AS15</f>
        <v>-10199</v>
      </c>
      <c r="AT14" s="70">
        <f>+'IS (US$)'!AT15</f>
        <v>-22944</v>
      </c>
      <c r="AU14" s="70">
        <f>+'IS (US$)'!AU15</f>
        <v>-19324</v>
      </c>
      <c r="AV14" s="70">
        <f>+'IS (US$)'!AV15</f>
        <v>-27808</v>
      </c>
      <c r="AW14" s="70">
        <f>+'IS (US$)'!AW15</f>
        <v>-29188</v>
      </c>
      <c r="AX14" s="70">
        <f>+'IS (US$)'!AX15</f>
        <v>-29488</v>
      </c>
      <c r="AY14" s="70">
        <f>+'IS (US$)'!AY15</f>
        <v>-21366</v>
      </c>
      <c r="AZ14" s="150"/>
      <c r="BA14" s="41">
        <f t="shared" si="24"/>
        <v>-5480.811465344349</v>
      </c>
      <c r="BB14" s="41">
        <f t="shared" si="25"/>
        <v>-2459.5836823440886</v>
      </c>
      <c r="BC14" s="41">
        <f t="shared" si="26"/>
        <v>-3278.8294389559242</v>
      </c>
      <c r="BD14" s="41">
        <f t="shared" si="27"/>
        <v>-3652.958323810446</v>
      </c>
      <c r="BE14" s="41">
        <f t="shared" si="28"/>
        <v>-3829.1781539568533</v>
      </c>
      <c r="BF14" s="41">
        <f t="shared" si="29"/>
        <v>-14045.066542767901</v>
      </c>
      <c r="BG14" s="70">
        <f t="shared" si="30"/>
        <v>-13466.436017713844</v>
      </c>
      <c r="BH14" s="70">
        <f t="shared" si="2"/>
        <v>-24117.31796360077</v>
      </c>
      <c r="BI14" s="70">
        <f t="shared" si="3"/>
        <v>-24796.901177434433</v>
      </c>
      <c r="BJ14" s="70">
        <f t="shared" si="4"/>
        <v>-48378</v>
      </c>
      <c r="BK14" s="70">
        <f t="shared" si="5"/>
        <v>-47691</v>
      </c>
      <c r="BL14" s="70">
        <f t="shared" si="6"/>
        <v>-99264</v>
      </c>
    </row>
    <row r="15" spans="1:64" s="17" customFormat="1" ht="19.5" customHeight="1">
      <c r="A15" s="142" t="s">
        <v>56</v>
      </c>
      <c r="B15" s="70">
        <f>'IS (US$)'!B16</f>
        <v>-1487.8190370275356</v>
      </c>
      <c r="C15" s="70">
        <f>'IS (US$)'!C16</f>
        <v>-843.06968897503555</v>
      </c>
      <c r="D15" s="70">
        <f>'IS (US$)'!D16</f>
        <v>-1531.2041852035154</v>
      </c>
      <c r="E15" s="70">
        <f>'IS (US$)'!E16</f>
        <v>-1422.3267186388418</v>
      </c>
      <c r="F15" s="70">
        <f>'IS (US$)'!F16</f>
        <v>0</v>
      </c>
      <c r="G15" s="70">
        <f>'IS (US$)'!G16</f>
        <v>-1469.3703321263938</v>
      </c>
      <c r="H15" s="70">
        <f>'IS (US$)'!H16</f>
        <v>-1718.8242708381915</v>
      </c>
      <c r="I15" s="70">
        <f>'IS (US$)'!I16</f>
        <v>-845.32544868246612</v>
      </c>
      <c r="J15" s="70">
        <f>'IS (US$)'!J16</f>
        <v>-922.41794247217172</v>
      </c>
      <c r="K15" s="70">
        <f>'IS (US$)'!K16</f>
        <v>-1094.7620898925268</v>
      </c>
      <c r="L15" s="70">
        <f>'IS (US$)'!L16</f>
        <v>-641.13833259967078</v>
      </c>
      <c r="M15" s="70">
        <f>'IS (US$)'!M16</f>
        <v>-1247.8297850874185</v>
      </c>
      <c r="N15" s="70">
        <f>'IS (US$)'!N16</f>
        <v>-599.72051384337522</v>
      </c>
      <c r="O15" s="70">
        <f>'IS (US$)'!O16</f>
        <v>-1238.3481737677641</v>
      </c>
      <c r="P15" s="70">
        <f>'IS (US$)'!P16</f>
        <v>-805.50833314682245</v>
      </c>
      <c r="Q15" s="70">
        <f>'IS (US$)'!Q16</f>
        <v>-911.71733945831386</v>
      </c>
      <c r="R15" s="70">
        <f>'IS (US$)'!R16</f>
        <v>-680.4753778193982</v>
      </c>
      <c r="S15" s="70">
        <f>'IS (US$)'!S16</f>
        <v>-966.1886202414712</v>
      </c>
      <c r="T15" s="70">
        <f>'IS (US$)'!T16</f>
        <v>-662.1093856513038</v>
      </c>
      <c r="U15" s="70">
        <f>'IS (US$)'!U16</f>
        <v>-1116.3481823317024</v>
      </c>
      <c r="V15" s="70">
        <f>'IS (US$)'!V16</f>
        <v>-444.26880551753197</v>
      </c>
      <c r="W15" s="70">
        <f>'IS (US$)'!W16</f>
        <v>-765.25416445429721</v>
      </c>
      <c r="X15" s="70">
        <f>'IS (US$)'!X16</f>
        <v>-481.61253112640992</v>
      </c>
      <c r="Y15" s="70">
        <f>'IS (US$)'!Y16</f>
        <v>-861.36193498380237</v>
      </c>
      <c r="Z15" s="70">
        <f>'IS (US$)'!Z16</f>
        <v>-267.49127921905369</v>
      </c>
      <c r="AA15" s="70">
        <f>'IS (US$)'!AA16</f>
        <v>-193.46361982452621</v>
      </c>
      <c r="AB15" s="70">
        <f>'IS (US$)'!AB16</f>
        <v>-338.92652141297964</v>
      </c>
      <c r="AC15" s="70">
        <f>'IS (US$)'!AC16</f>
        <v>-608.73222735184277</v>
      </c>
      <c r="AD15" s="70">
        <f>'IS (US$)'!AD16</f>
        <v>-374.85350152746412</v>
      </c>
      <c r="AE15" s="70">
        <f>+'IS (US$)'!AE16</f>
        <v>-456.89873520670534</v>
      </c>
      <c r="AF15" s="70">
        <f>+'IS (US$)'!AF16</f>
        <v>-476.02288872378404</v>
      </c>
      <c r="AG15" s="70">
        <f>+'IS (US$)'!AG16</f>
        <v>-389.77040542285482</v>
      </c>
      <c r="AH15" s="70">
        <f>+'IS (US$)'!AH16</f>
        <v>0</v>
      </c>
      <c r="AI15" s="70">
        <f>+'IS (US$)'!AI16</f>
        <v>0</v>
      </c>
      <c r="AJ15" s="70">
        <f>+'IS (US$)'!AJ16</f>
        <v>0</v>
      </c>
      <c r="AK15" s="70">
        <f>+'IS (US$)'!AK16</f>
        <v>0</v>
      </c>
      <c r="AL15" s="70">
        <f>+'IS (US$)'!AL16</f>
        <v>0</v>
      </c>
      <c r="AM15" s="70">
        <f>+'IS (US$)'!AM16</f>
        <v>0</v>
      </c>
      <c r="AN15" s="70">
        <f>+'IS (US$)'!AN16</f>
        <v>0</v>
      </c>
      <c r="AO15" s="70">
        <f>+'IS (US$)'!AO16</f>
        <v>0</v>
      </c>
      <c r="AP15" s="70">
        <f>+'IS (US$)'!AP16</f>
        <v>0</v>
      </c>
      <c r="AQ15" s="70">
        <f>+'IS (US$)'!AQ16</f>
        <v>0</v>
      </c>
      <c r="AR15" s="70">
        <f>+'IS (US$)'!AR16</f>
        <v>0</v>
      </c>
      <c r="AS15" s="70">
        <f>+'IS (US$)'!AS16</f>
        <v>0</v>
      </c>
      <c r="AT15" s="70">
        <f>+'IS (US$)'!AT16</f>
        <v>0</v>
      </c>
      <c r="AU15" s="70">
        <f>+'IS (US$)'!AU16</f>
        <v>0</v>
      </c>
      <c r="AV15" s="70">
        <f>+'IS (US$)'!AV16</f>
        <v>0</v>
      </c>
      <c r="AW15" s="70">
        <f>+'IS (US$)'!AW16</f>
        <v>0</v>
      </c>
      <c r="AX15" s="70">
        <f>+'IS (US$)'!AX16</f>
        <v>0</v>
      </c>
      <c r="AY15" s="70">
        <f>+'IS (US$)'!AY16</f>
        <v>0</v>
      </c>
      <c r="AZ15" s="150"/>
      <c r="BA15" s="41">
        <f t="shared" si="24"/>
        <v>-5284.4196298449287</v>
      </c>
      <c r="BB15" s="41">
        <f t="shared" si="25"/>
        <v>-4033.5200516470513</v>
      </c>
      <c r="BC15" s="41">
        <f t="shared" si="26"/>
        <v>-3906.1481500517875</v>
      </c>
      <c r="BD15" s="41">
        <f t="shared" si="27"/>
        <v>-3555.2943602162754</v>
      </c>
      <c r="BE15" s="41">
        <f t="shared" si="28"/>
        <v>-3425.1215660438756</v>
      </c>
      <c r="BF15" s="41">
        <f t="shared" si="29"/>
        <v>-2552.4974360820415</v>
      </c>
      <c r="BG15" s="70">
        <f t="shared" si="30"/>
        <v>-1408.6136478084022</v>
      </c>
      <c r="BH15" s="70">
        <f t="shared" si="2"/>
        <v>-1697.5455308808082</v>
      </c>
      <c r="BI15" s="70">
        <f t="shared" si="3"/>
        <v>0</v>
      </c>
      <c r="BJ15" s="70">
        <f t="shared" si="4"/>
        <v>0</v>
      </c>
      <c r="BK15" s="70">
        <f t="shared" si="5"/>
        <v>0</v>
      </c>
      <c r="BL15" s="70">
        <f t="shared" si="6"/>
        <v>0</v>
      </c>
    </row>
    <row r="16" spans="1:64" s="17" customFormat="1" ht="19.5" customHeight="1">
      <c r="A16" s="142" t="s">
        <v>57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f>'IS (US$)'!AD17</f>
        <v>-3916.6987146934403</v>
      </c>
      <c r="AE16" s="70">
        <f>+'IS (US$)'!AE17</f>
        <v>0</v>
      </c>
      <c r="AF16" s="70">
        <f>+'IS (US$)'!AF17</f>
        <v>0</v>
      </c>
      <c r="AG16" s="70">
        <f>+'IS (US$)'!AG17</f>
        <v>-17710.472546634534</v>
      </c>
      <c r="AH16" s="70">
        <f>+'IS (US$)'!AH17</f>
        <v>-11798</v>
      </c>
      <c r="AI16" s="70">
        <f>+'IS (US$)'!AI17</f>
        <v>-18731.099389730949</v>
      </c>
      <c r="AJ16" s="70">
        <f>+'IS (US$)'!AJ17</f>
        <v>-16980.946668821722</v>
      </c>
      <c r="AK16" s="70">
        <f>+'IS (US$)'!AK17</f>
        <v>-26332.098327424348</v>
      </c>
      <c r="AL16" s="70">
        <f>+'IS (US$)'!AL17</f>
        <v>-10949</v>
      </c>
      <c r="AM16" s="70">
        <f>+'IS (US$)'!AM17</f>
        <v>3303</v>
      </c>
      <c r="AN16" s="70">
        <f>+'IS (US$)'!AN17</f>
        <v>0</v>
      </c>
      <c r="AO16" s="70">
        <f>+'IS (US$)'!AO17</f>
        <v>84</v>
      </c>
      <c r="AP16" s="70">
        <f>+'IS (US$)'!AP17</f>
        <v>0</v>
      </c>
      <c r="AQ16" s="70">
        <f>+'IS (US$)'!AQ17</f>
        <v>0</v>
      </c>
      <c r="AR16" s="70">
        <f>+'IS (US$)'!AR17</f>
        <v>0</v>
      </c>
      <c r="AS16" s="70">
        <f>+'IS (US$)'!AS17</f>
        <v>0</v>
      </c>
      <c r="AT16" s="70">
        <f>+'IS (US$)'!AT17</f>
        <v>0</v>
      </c>
      <c r="AU16" s="70">
        <f>+'IS (US$)'!AU17</f>
        <v>0</v>
      </c>
      <c r="AV16" s="70">
        <f>+'IS (US$)'!AV17</f>
        <v>0</v>
      </c>
      <c r="AW16" s="70">
        <f>+'IS (US$)'!AW17</f>
        <v>0</v>
      </c>
      <c r="AX16" s="70">
        <f>+'IS (US$)'!AX17</f>
        <v>0</v>
      </c>
      <c r="AY16" s="70">
        <f>+'IS (US$)'!AY17</f>
        <v>0</v>
      </c>
      <c r="AZ16" s="150"/>
      <c r="BA16" s="41"/>
      <c r="BB16" s="41"/>
      <c r="BC16" s="41"/>
      <c r="BD16" s="41"/>
      <c r="BE16" s="41"/>
      <c r="BF16" s="41"/>
      <c r="BG16" s="70">
        <f t="shared" si="30"/>
        <v>-72165</v>
      </c>
      <c r="BH16" s="70">
        <f t="shared" si="2"/>
        <v>-21627.171261327974</v>
      </c>
      <c r="BI16" s="70">
        <f t="shared" si="3"/>
        <v>-73842.144385977022</v>
      </c>
      <c r="BJ16" s="70">
        <f t="shared" si="4"/>
        <v>-7562</v>
      </c>
      <c r="BK16" s="70">
        <f t="shared" si="5"/>
        <v>0</v>
      </c>
      <c r="BL16" s="70">
        <f t="shared" si="6"/>
        <v>0</v>
      </c>
    </row>
    <row r="17" spans="1:64" s="17" customFormat="1" ht="19.5" customHeight="1">
      <c r="A17" s="142" t="s">
        <v>58</v>
      </c>
      <c r="B17" s="70">
        <f>'IS (US$)'!B18</f>
        <v>-20264.552293575554</v>
      </c>
      <c r="C17" s="70">
        <f>'IS (US$)'!C18</f>
        <v>2478.9569087743857</v>
      </c>
      <c r="D17" s="70">
        <f>'IS (US$)'!D18</f>
        <v>856.38408061339305</v>
      </c>
      <c r="E17" s="70">
        <f>'IS (US$)'!E18</f>
        <v>-12835.459152592439</v>
      </c>
      <c r="F17" s="70">
        <f>'IS (US$)'!F18</f>
        <v>0</v>
      </c>
      <c r="G17" s="70">
        <f>'IS (US$)'!G18</f>
        <v>-951.89926436290978</v>
      </c>
      <c r="H17" s="70">
        <f>'IS (US$)'!H18</f>
        <v>-1799.0191275686082</v>
      </c>
      <c r="I17" s="70">
        <f>'IS (US$)'!I18</f>
        <v>-1410.609215349855</v>
      </c>
      <c r="J17" s="70">
        <f>'IS (US$)'!J18</f>
        <v>-554.88803328459528</v>
      </c>
      <c r="K17" s="70">
        <f>'IS (US$)'!K18</f>
        <v>-4172.3170729028698</v>
      </c>
      <c r="L17" s="70">
        <f>'IS (US$)'!L18</f>
        <v>-18051.078763582274</v>
      </c>
      <c r="M17" s="70">
        <f>'IS (US$)'!M18</f>
        <v>19907.287391337453</v>
      </c>
      <c r="N17" s="70">
        <f>'IS (US$)'!N18</f>
        <v>-541.49831011216156</v>
      </c>
      <c r="O17" s="70">
        <f>'IS (US$)'!O18</f>
        <v>-821.00431410017507</v>
      </c>
      <c r="P17" s="70">
        <f>'IS (US$)'!P18</f>
        <v>-935.49024320702824</v>
      </c>
      <c r="Q17" s="70">
        <f>'IS (US$)'!Q18</f>
        <v>-1239.1109436377421</v>
      </c>
      <c r="R17" s="70">
        <f>'IS (US$)'!R18</f>
        <v>-1337.8472457535745</v>
      </c>
      <c r="S17" s="70">
        <f>'IS (US$)'!S18</f>
        <v>-1447.4818904908075</v>
      </c>
      <c r="T17" s="70">
        <f>'IS (US$)'!T18</f>
        <v>-1051.019525750884</v>
      </c>
      <c r="U17" s="70">
        <f>'IS (US$)'!U18</f>
        <v>-1530.8793522692088</v>
      </c>
      <c r="V17" s="70">
        <f>'IS (US$)'!V18</f>
        <v>-618.63236897333752</v>
      </c>
      <c r="W17" s="70">
        <f>'IS (US$)'!W18</f>
        <v>-3500.0174634924706</v>
      </c>
      <c r="X17" s="70">
        <f>'IS (US$)'!X18</f>
        <v>-6925.0997876080282</v>
      </c>
      <c r="Y17" s="70">
        <f>'IS (US$)'!Y18</f>
        <v>2359.8790745537622</v>
      </c>
      <c r="Z17" s="70">
        <f>'IS (US$)'!Z18</f>
        <v>-1513.5436201037912</v>
      </c>
      <c r="AA17" s="70">
        <f>'IS (US$)'!AA18</f>
        <v>-17.672157580124992</v>
      </c>
      <c r="AB17" s="70">
        <v>-5061</v>
      </c>
      <c r="AC17" s="70">
        <v>-36669</v>
      </c>
      <c r="AD17" s="70">
        <f>'IS (US$)'!AD18</f>
        <v>-439.3071235631167</v>
      </c>
      <c r="AE17" s="70">
        <f>+'IS (US$)'!AE18</f>
        <v>-3705.5997834305808</v>
      </c>
      <c r="AF17" s="70">
        <f>+'IS (US$)'!AF18</f>
        <v>-7182.5927519041325</v>
      </c>
      <c r="AG17" s="70">
        <f>+'IS (US$)'!AG18</f>
        <v>707.02955030539908</v>
      </c>
      <c r="AH17" s="70">
        <f>+'IS (US$)'!AH18</f>
        <v>-3722</v>
      </c>
      <c r="AI17" s="70">
        <f>+'IS (US$)'!AI18</f>
        <v>-10079.891573643788</v>
      </c>
      <c r="AJ17" s="70">
        <f>+'IS (US$)'!AJ18</f>
        <v>-1202.897970201127</v>
      </c>
      <c r="AK17" s="70">
        <f>+'IS (US$)'!AK18</f>
        <v>19325.340693902046</v>
      </c>
      <c r="AL17" s="70">
        <f>+'IS (US$)'!AL18</f>
        <v>-10845</v>
      </c>
      <c r="AM17" s="70">
        <f>+'IS (US$)'!AM18</f>
        <v>-16079</v>
      </c>
      <c r="AN17" s="70">
        <f>+'IS (US$)'!AN18</f>
        <v>-5144</v>
      </c>
      <c r="AO17" s="70">
        <f>+'IS (US$)'!AO18</f>
        <v>-136</v>
      </c>
      <c r="AP17" s="70">
        <f>+'IS (US$)'!AP18</f>
        <v>-5774</v>
      </c>
      <c r="AQ17" s="70">
        <f>+'IS (US$)'!AQ18</f>
        <v>-1504</v>
      </c>
      <c r="AR17" s="70">
        <f>+'IS (US$)'!AR18</f>
        <v>-7565</v>
      </c>
      <c r="AS17" s="70">
        <f>+'IS (US$)'!AS18</f>
        <v>5758</v>
      </c>
      <c r="AT17" s="70">
        <f>+'IS (US$)'!AT18</f>
        <v>-11058</v>
      </c>
      <c r="AU17" s="70">
        <f>+'IS (US$)'!AU18</f>
        <v>-7871</v>
      </c>
      <c r="AV17" s="70">
        <f>+'IS (US$)'!AV18</f>
        <v>-11360</v>
      </c>
      <c r="AW17" s="70">
        <f>+'IS (US$)'!AW18</f>
        <v>-13565</v>
      </c>
      <c r="AX17" s="70">
        <f>+'IS (US$)'!AX18</f>
        <v>-13095</v>
      </c>
      <c r="AY17" s="70">
        <f>+'IS (US$)'!AY18</f>
        <v>-6476</v>
      </c>
      <c r="AZ17" s="150"/>
      <c r="BA17" s="41">
        <f>SUM(B17:E17)</f>
        <v>-29764.670456780215</v>
      </c>
      <c r="BB17" s="41">
        <f>SUM(F17:I17)</f>
        <v>-4161.5276072813731</v>
      </c>
      <c r="BC17" s="41">
        <f>SUM(J17:M17)</f>
        <v>-2870.9964784322874</v>
      </c>
      <c r="BD17" s="41">
        <f>SUM(N17:Q17)</f>
        <v>-3537.1038110571071</v>
      </c>
      <c r="BE17" s="41">
        <f>SUM(R17:U17)</f>
        <v>-5367.228014264475</v>
      </c>
      <c r="BF17" s="41">
        <f>SUM(V17:Y17)</f>
        <v>-8683.8705455200725</v>
      </c>
      <c r="BG17" s="70">
        <f t="shared" si="30"/>
        <v>-43261.215777683916</v>
      </c>
      <c r="BH17" s="70">
        <f t="shared" si="2"/>
        <v>-10620.470108592432</v>
      </c>
      <c r="BI17" s="70">
        <f t="shared" si="3"/>
        <v>4320.5511500571301</v>
      </c>
      <c r="BJ17" s="70">
        <f t="shared" si="4"/>
        <v>-32204</v>
      </c>
      <c r="BK17" s="70">
        <f t="shared" si="5"/>
        <v>-9085</v>
      </c>
      <c r="BL17" s="70">
        <f t="shared" si="6"/>
        <v>-43854</v>
      </c>
    </row>
    <row r="18" spans="1:64" s="17" customFormat="1" ht="19.5" customHeight="1">
      <c r="A18" s="141" t="s">
        <v>60</v>
      </c>
      <c r="B18" s="70">
        <f>'IS (US$)'!B20</f>
        <v>-4933.2745004436538</v>
      </c>
      <c r="C18" s="70">
        <f>'IS (US$)'!C20</f>
        <v>-5588.3148656652129</v>
      </c>
      <c r="D18" s="70">
        <f>'IS (US$)'!D20</f>
        <v>-5698.5949422129934</v>
      </c>
      <c r="E18" s="70">
        <f>'IS (US$)'!E20</f>
        <v>-3880.6994564852394</v>
      </c>
      <c r="F18" s="70">
        <f>'IS (US$)'!F20</f>
        <v>0</v>
      </c>
      <c r="G18" s="70">
        <f>'IS (US$)'!G20</f>
        <v>-3119.8066892222632</v>
      </c>
      <c r="H18" s="70">
        <f>'IS (US$)'!H20</f>
        <v>-3341.0758620925712</v>
      </c>
      <c r="I18" s="70">
        <f>'IS (US$)'!I20</f>
        <v>-1260.3175791337783</v>
      </c>
      <c r="J18" s="70">
        <f>'IS (US$)'!J20</f>
        <v>-1269.6721094629477</v>
      </c>
      <c r="K18" s="70">
        <f>'IS (US$)'!K20</f>
        <v>-2246.6322700246224</v>
      </c>
      <c r="L18" s="70">
        <f>'IS (US$)'!L20</f>
        <v>-4030.1444155388244</v>
      </c>
      <c r="M18" s="70">
        <f>'IS (US$)'!M20</f>
        <v>-2900.9765441630857</v>
      </c>
      <c r="N18" s="70">
        <f>'IS (US$)'!N20</f>
        <v>-2544.2784876421601</v>
      </c>
      <c r="O18" s="70">
        <f>'IS (US$)'!O20</f>
        <v>-4673.8158472013374</v>
      </c>
      <c r="P18" s="70">
        <f>'IS (US$)'!P20</f>
        <v>-3171.4321023935358</v>
      </c>
      <c r="Q18" s="70">
        <f>'IS (US$)'!Q20</f>
        <v>-4780.1312414731374</v>
      </c>
      <c r="R18" s="70">
        <f>'IS (US$)'!R20</f>
        <v>-3315.1996451300874</v>
      </c>
      <c r="S18" s="70">
        <f>'IS (US$)'!S20</f>
        <v>-4636.1537120390867</v>
      </c>
      <c r="T18" s="70">
        <f>'IS (US$)'!T20</f>
        <v>-4646.6659447314441</v>
      </c>
      <c r="U18" s="70">
        <f>'IS (US$)'!U20</f>
        <v>-8084.4072597812174</v>
      </c>
      <c r="V18" s="70">
        <f>'IS (US$)'!V20</f>
        <v>-3777.346421105754</v>
      </c>
      <c r="W18" s="70">
        <f>'IS (US$)'!W20</f>
        <v>-12427.472546016301</v>
      </c>
      <c r="X18" s="70">
        <f>'IS (US$)'!X20</f>
        <v>-8185.6507250622535</v>
      </c>
      <c r="Y18" s="70">
        <f>'IS (US$)'!Y20</f>
        <v>-11735.995636437514</v>
      </c>
      <c r="Z18" s="70">
        <f>'IS (US$)'!Z20</f>
        <v>-7220.0242434436032</v>
      </c>
      <c r="AA18" s="70">
        <f>'IS (US$)'!AA20</f>
        <v>-3930.8459139539073</v>
      </c>
      <c r="AB18" s="70">
        <f>'IS (US$)'!AB20</f>
        <v>-4531.910524389903</v>
      </c>
      <c r="AC18" s="70">
        <f>'IS (US$)'!AC20</f>
        <v>-13856.069672438183</v>
      </c>
      <c r="AD18" s="70">
        <f>'IS (US$)'!AD20</f>
        <v>-6069.9609375445771</v>
      </c>
      <c r="AE18" s="70">
        <f>+'IS (US$)'!AE20</f>
        <v>-15519.641707738176</v>
      </c>
      <c r="AF18" s="70">
        <f>+'IS (US$)'!AF20</f>
        <v>-15021.485333924229</v>
      </c>
      <c r="AG18" s="70">
        <f>+'IS (US$)'!AG20</f>
        <v>-22751.168915157756</v>
      </c>
      <c r="AH18" s="70">
        <f>+'IS (US$)'!AH20</f>
        <v>-22331</v>
      </c>
      <c r="AI18" s="70">
        <f>+'IS (US$)'!AI20</f>
        <v>-31598</v>
      </c>
      <c r="AJ18" s="70">
        <f>+'IS (US$)'!AJ20</f>
        <v>-27018</v>
      </c>
      <c r="AK18" s="70">
        <f>+'IS (US$)'!AK20</f>
        <v>-15098.00137</v>
      </c>
      <c r="AL18" s="70">
        <f>+'IS (US$)'!AL20</f>
        <v>-44380</v>
      </c>
      <c r="AM18" s="70">
        <f>+'IS (US$)'!AM20</f>
        <v>-46591</v>
      </c>
      <c r="AN18" s="70">
        <f>+'IS (US$)'!AN20</f>
        <v>-63995</v>
      </c>
      <c r="AO18" s="70">
        <f>'IS (US$)'!AO20</f>
        <v>-75152</v>
      </c>
      <c r="AP18" s="70">
        <f>'IS (US$)'!AP20</f>
        <v>-56864</v>
      </c>
      <c r="AQ18" s="70">
        <f>'IS (US$)'!AQ20</f>
        <v>-59428</v>
      </c>
      <c r="AR18" s="70">
        <f>'IS (US$)'!AR20</f>
        <v>-58558</v>
      </c>
      <c r="AS18" s="70">
        <f>'IS (US$)'!AS20</f>
        <v>-51146</v>
      </c>
      <c r="AT18" s="70">
        <f>'IS (US$)'!AT20</f>
        <v>-87509</v>
      </c>
      <c r="AU18" s="70">
        <f>'IS (US$)'!AU20</f>
        <v>-54329</v>
      </c>
      <c r="AV18" s="70">
        <f>'IS (US$)'!AV20</f>
        <v>-63449</v>
      </c>
      <c r="AW18" s="70">
        <f>'IS (US$)'!AW20</f>
        <v>-65956</v>
      </c>
      <c r="AX18" s="70">
        <f>'IS (US$)'!AX20</f>
        <v>-71643</v>
      </c>
      <c r="AY18" s="70">
        <f>'IS (US$)'!AY20</f>
        <v>-179434</v>
      </c>
      <c r="AZ18" s="150"/>
      <c r="BA18" s="41">
        <f>SUM(B18:E18)</f>
        <v>-20100.883764807098</v>
      </c>
      <c r="BB18" s="41">
        <f>SUM(F18:I18)</f>
        <v>-7721.200130448613</v>
      </c>
      <c r="BC18" s="41">
        <f>SUM(J18:M18)</f>
        <v>-10447.42533918948</v>
      </c>
      <c r="BD18" s="41">
        <f>SUM(N18:Q18)</f>
        <v>-15169.657678710169</v>
      </c>
      <c r="BE18" s="41">
        <f>SUM(R18:U18)</f>
        <v>-20682.426561681837</v>
      </c>
      <c r="BF18" s="41">
        <f>SUM(V18:Y18)</f>
        <v>-36126.465328621824</v>
      </c>
      <c r="BG18" s="70">
        <f t="shared" si="30"/>
        <v>-29538.850354225597</v>
      </c>
      <c r="BH18" s="70">
        <f t="shared" si="2"/>
        <v>-59362.256894364735</v>
      </c>
      <c r="BI18" s="70">
        <f t="shared" si="3"/>
        <v>-96045.001369999998</v>
      </c>
      <c r="BJ18" s="70">
        <f t="shared" si="4"/>
        <v>-230118</v>
      </c>
      <c r="BK18" s="70">
        <f t="shared" si="5"/>
        <v>-225996</v>
      </c>
      <c r="BL18" s="70">
        <f t="shared" si="6"/>
        <v>-271243</v>
      </c>
    </row>
    <row r="19" spans="1:64" s="17" customFormat="1" ht="19.5" customHeight="1">
      <c r="A19" s="141" t="s">
        <v>63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(US$)'!AL24</f>
        <v>-18567.266540000001</v>
      </c>
      <c r="AM19" s="70">
        <f>'IS (US$)'!AM24</f>
        <v>-34041.761566899993</v>
      </c>
      <c r="AN19" s="70">
        <f>'IS (US$)'!AN24</f>
        <v>-32302.999753100026</v>
      </c>
      <c r="AO19" s="70">
        <f>'IS (US$)'!AO24</f>
        <v>-52366.458280000006</v>
      </c>
      <c r="AP19" s="70">
        <f>'IS (US$)'!AP24</f>
        <v>-33457.12571138014</v>
      </c>
      <c r="AQ19" s="70">
        <f>'IS (US$)'!AQ24</f>
        <v>-33488</v>
      </c>
      <c r="AR19" s="70">
        <f>'IS (US$)'!AR24</f>
        <v>17971</v>
      </c>
      <c r="AS19" s="70">
        <f>'IS (US$)'!AS24</f>
        <v>-47948.87428861986</v>
      </c>
      <c r="AT19" s="70">
        <f>'IS (US$)'!AT24</f>
        <v>-26335</v>
      </c>
      <c r="AU19" s="70">
        <f>'IS (US$)'!AU24</f>
        <v>-48905</v>
      </c>
      <c r="AV19" s="70">
        <f>'IS (US$)'!AV24</f>
        <v>-22296</v>
      </c>
      <c r="AW19" s="70">
        <f>'IS (US$)'!AW24</f>
        <v>-57690</v>
      </c>
      <c r="AX19" s="70">
        <f>'IS (US$)'!AX24</f>
        <v>-94532</v>
      </c>
      <c r="AY19" s="70">
        <f>'IS (US$)'!AY24</f>
        <v>-103678</v>
      </c>
      <c r="AZ19" s="150"/>
      <c r="BA19" s="41"/>
      <c r="BB19" s="41"/>
      <c r="BC19" s="41"/>
      <c r="BD19" s="41"/>
      <c r="BE19" s="41"/>
      <c r="BF19" s="41"/>
      <c r="BG19" s="70"/>
      <c r="BH19" s="70"/>
      <c r="BI19" s="70"/>
      <c r="BJ19" s="70">
        <f t="shared" si="4"/>
        <v>-137278.48614000002</v>
      </c>
      <c r="BK19" s="70">
        <f t="shared" si="5"/>
        <v>-96923</v>
      </c>
      <c r="BL19" s="70">
        <f t="shared" si="6"/>
        <v>-155226</v>
      </c>
    </row>
    <row r="20" spans="1:64" s="17" customFormat="1" ht="19.5" customHeight="1">
      <c r="A20" s="141" t="s">
        <v>81</v>
      </c>
      <c r="B20" s="70">
        <f>SUM('IS (US$)'!B25:B28)</f>
        <v>-13641.303269811338</v>
      </c>
      <c r="C20" s="70">
        <f>SUM('IS (US$)'!C25:C28)</f>
        <v>-17716.12914804645</v>
      </c>
      <c r="D20" s="70">
        <f>SUM('IS (US$)'!D25:D28)</f>
        <v>-13601.471801898238</v>
      </c>
      <c r="E20" s="70">
        <f>SUM('IS (US$)'!E25:E28)</f>
        <v>-22246.115607877728</v>
      </c>
      <c r="F20" s="70">
        <f>SUM('IS (US$)'!F25:F28)</f>
        <v>-6635.8768107927608</v>
      </c>
      <c r="G20" s="70">
        <f>SUM('IS (US$)'!G25:G28)</f>
        <v>-5918.8399349284591</v>
      </c>
      <c r="H20" s="70">
        <f>SUM('IS (US$)'!H25:H28)</f>
        <v>-4026.5655854949118</v>
      </c>
      <c r="I20" s="70">
        <f>SUM('IS (US$)'!I25:I28)</f>
        <v>-6258.0148530841516</v>
      </c>
      <c r="J20" s="70">
        <f>SUM('IS (US$)'!J25:J28)</f>
        <v>-3822.3623865436994</v>
      </c>
      <c r="K20" s="70">
        <f>SUM('IS (US$)'!K25:K28)</f>
        <v>-4204.2976034370276</v>
      </c>
      <c r="L20" s="70">
        <f>SUM('IS (US$)'!L25:L28)</f>
        <v>-4294.1787985459923</v>
      </c>
      <c r="M20" s="70">
        <f>SUM('IS (US$)'!M25:M28)</f>
        <v>-9022.6290883766178</v>
      </c>
      <c r="N20" s="70">
        <f>SUM('IS (US$)'!N25:N28)</f>
        <v>-5865.147385512003</v>
      </c>
      <c r="O20" s="70">
        <f>SUM('IS (US$)'!O25:O28)</f>
        <v>-8451.0576650273706</v>
      </c>
      <c r="P20" s="70">
        <f>SUM('IS (US$)'!P25:P28)</f>
        <v>-4284.3429089674146</v>
      </c>
      <c r="Q20" s="70">
        <f>SUM('IS (US$)'!Q25:Q28)</f>
        <v>-10166.125271131692</v>
      </c>
      <c r="R20" s="70">
        <f>SUM('IS (US$)'!R25:R28)</f>
        <v>-8547.990610733581</v>
      </c>
      <c r="S20" s="70">
        <f>SUM('IS (US$)'!S25:S28)</f>
        <v>-6717.0474711481911</v>
      </c>
      <c r="T20" s="70">
        <f>SUM('IS (US$)'!T25:T28)</f>
        <v>-5082.1642786971197</v>
      </c>
      <c r="U20" s="70">
        <f>SUM('IS (US$)'!U25:U28)</f>
        <v>-9977.8702049957647</v>
      </c>
      <c r="V20" s="70">
        <f>SUM('IS (US$)'!V25:V28)</f>
        <v>-5221.910036182464</v>
      </c>
      <c r="W20" s="70">
        <f>SUM('IS (US$)'!W25:W28)</f>
        <v>-7391.3348897425712</v>
      </c>
      <c r="X20" s="70">
        <f>SUM('IS (US$)'!X25:X28)</f>
        <v>-7325.3998949855704</v>
      </c>
      <c r="Y20" s="70">
        <f>SUM('IS (US$)'!Y25:Y28)</f>
        <v>-7471.1801393808209</v>
      </c>
      <c r="Z20" s="70">
        <f>SUM('IS (US$)'!Z25:Z28)</f>
        <v>-8213.3732301082073</v>
      </c>
      <c r="AA20" s="70">
        <f>SUM('IS (US$)'!AA25:AA28)</f>
        <v>-4801.3201071310659</v>
      </c>
      <c r="AB20" s="70">
        <f>SUM('IS (US$)'!AB25:AB28)</f>
        <v>-5119.6533630668055</v>
      </c>
      <c r="AC20" s="70">
        <f>SUM('IS (US$)'!AC25:AC28)</f>
        <v>-7045.2196602637923</v>
      </c>
      <c r="AD20" s="70">
        <f>SUM('IS (US$)'!AD25:AD28)</f>
        <v>-8404.3506194874062</v>
      </c>
      <c r="AE20" s="70">
        <f>SUM('IS (US$)'!AE25:AE28)</f>
        <v>-9087.5648023571684</v>
      </c>
      <c r="AF20" s="70">
        <f>SUM('IS (US$)'!AF25:AF28)</f>
        <v>-7952.8321971523746</v>
      </c>
      <c r="AG20" s="70">
        <f>SUM('IS (US$)'!AG25:AG28)</f>
        <v>-11138.087699290674</v>
      </c>
      <c r="AH20" s="70">
        <f>SUM('IS (US$)'!AH25:AH28)</f>
        <v>-12458</v>
      </c>
      <c r="AI20" s="70">
        <f>SUM('IS (US$)'!AI25:AI28)</f>
        <v>-12086.566313285623</v>
      </c>
      <c r="AJ20" s="70">
        <f>SUM('IS (US$)'!AJ25:AJ28)</f>
        <v>-11279.36792252239</v>
      </c>
      <c r="AK20" s="70">
        <f>SUM('IS (US$)'!AK25:AK28)</f>
        <v>-11848.025049424174</v>
      </c>
      <c r="AL20" s="70">
        <f>SUM('IS (US$)'!AL25:AL28)</f>
        <v>-11134.261889999989</v>
      </c>
      <c r="AM20" s="299">
        <f>SUM('IS (US$)'!AM25:AM28)</f>
        <v>-15226.029430000006</v>
      </c>
      <c r="AN20" s="299">
        <f>SUM('IS (US$)'!AN25:AN28)</f>
        <v>-19869.204659999989</v>
      </c>
      <c r="AO20" s="299">
        <f>SUM('IS (US$)'!AO25:AO28)</f>
        <v>-37012.305490498518</v>
      </c>
      <c r="AP20" s="299">
        <f>SUM('IS (US$)'!AP25:AP28)</f>
        <v>-16117.248569999976</v>
      </c>
      <c r="AQ20" s="299">
        <f>SUM('IS (US$)'!AQ25:AQ28)</f>
        <v>-29610.971369999992</v>
      </c>
      <c r="AR20" s="299">
        <f>SUM('IS (US$)'!AR25:AR28)</f>
        <v>-21107</v>
      </c>
      <c r="AS20" s="299">
        <f>SUM('IS (US$)'!AS25:AS28)</f>
        <v>-18016.78006000003</v>
      </c>
      <c r="AT20" s="299">
        <f>SUM('IS (US$)'!AT25:AT28)</f>
        <v>-33557</v>
      </c>
      <c r="AU20" s="299">
        <f>SUM('IS (US$)'!AU25:AU28)</f>
        <v>-25877</v>
      </c>
      <c r="AV20" s="299">
        <f>SUM('IS (US$)'!AV25:AV28)</f>
        <v>-27547</v>
      </c>
      <c r="AW20" s="299">
        <f>SUM('IS (US$)'!AW25:AW28)</f>
        <v>-28861</v>
      </c>
      <c r="AX20" s="299">
        <f>SUM('IS (US$)'!AX25:AX28)</f>
        <v>-28024</v>
      </c>
      <c r="AY20" s="299">
        <f>SUM('IS (US$)'!AY25:AY28)</f>
        <v>-30484</v>
      </c>
      <c r="AZ20" s="124"/>
      <c r="BA20" s="41">
        <f>SUM(B20:E20)</f>
        <v>-67205.019827633747</v>
      </c>
      <c r="BB20" s="41">
        <f>SUM(F20:I20)</f>
        <v>-22839.297184300282</v>
      </c>
      <c r="BC20" s="41">
        <f>SUM(J20:M20)</f>
        <v>-21343.467876903334</v>
      </c>
      <c r="BD20" s="41">
        <f>SUM(N20:Q20)</f>
        <v>-28766.67323063848</v>
      </c>
      <c r="BE20" s="41">
        <f>SUM(R20:U20)</f>
        <v>-30325.072565574657</v>
      </c>
      <c r="BF20" s="41">
        <f>SUM(V20:Y20)</f>
        <v>-27409.824960291426</v>
      </c>
      <c r="BG20" s="70">
        <f>SUM(Z20:AC20)</f>
        <v>-25179.566360569872</v>
      </c>
      <c r="BH20" s="70">
        <f t="shared" ref="BH20:BH25" si="31">SUM(AD20:AG20)</f>
        <v>-36582.835318287631</v>
      </c>
      <c r="BI20" s="70">
        <f t="shared" ref="BI20:BI25" si="32">SUM(AH20:AK20)</f>
        <v>-47671.95928523218</v>
      </c>
      <c r="BJ20" s="70">
        <f t="shared" si="4"/>
        <v>-83241.801470498496</v>
      </c>
      <c r="BK20" s="70">
        <f t="shared" si="5"/>
        <v>-84852</v>
      </c>
      <c r="BL20" s="70">
        <f t="shared" si="6"/>
        <v>-115842</v>
      </c>
    </row>
    <row r="21" spans="1:64" s="17" customFormat="1" ht="19.5" customHeight="1">
      <c r="A21" s="141" t="s">
        <v>68</v>
      </c>
      <c r="B21" s="70">
        <f>'IS (US$)'!B29</f>
        <v>-269.97398908520125</v>
      </c>
      <c r="C21" s="70">
        <f>'IS (US$)'!C29</f>
        <v>-1050.8085213302465</v>
      </c>
      <c r="D21" s="70">
        <f>'IS (US$)'!D29</f>
        <v>-157.38475403469954</v>
      </c>
      <c r="E21" s="70">
        <f>'IS (US$)'!E29</f>
        <v>-385.9816577883675</v>
      </c>
      <c r="F21" s="70">
        <f>'IS (US$)'!F29</f>
        <v>-209.56134534635325</v>
      </c>
      <c r="G21" s="70">
        <f>'IS (US$)'!G29</f>
        <v>-268.66811258959996</v>
      </c>
      <c r="H21" s="70">
        <f>'IS (US$)'!H29</f>
        <v>-258.59250848001574</v>
      </c>
      <c r="I21" s="70">
        <f>'IS (US$)'!I29</f>
        <v>-853.96517691497922</v>
      </c>
      <c r="J21" s="70">
        <f>'IS (US$)'!J29</f>
        <v>-90.342547509795338</v>
      </c>
      <c r="K21" s="70">
        <f>'IS (US$)'!K29</f>
        <v>-83.663352200967751</v>
      </c>
      <c r="L21" s="70">
        <f>'IS (US$)'!L29</f>
        <v>-154.0457310426888</v>
      </c>
      <c r="M21" s="70">
        <f>'IS (US$)'!M29</f>
        <v>-73.776797512467809</v>
      </c>
      <c r="N21" s="70">
        <f>'IS (US$)'!N29</f>
        <v>-134.93590245245178</v>
      </c>
      <c r="O21" s="70">
        <f>'IS (US$)'!O29</f>
        <v>-34.208513087507292</v>
      </c>
      <c r="P21" s="70">
        <f>'IS (US$)'!P29</f>
        <v>-487.98561368101576</v>
      </c>
      <c r="Q21" s="70">
        <f>'IS (US$)'!Q29</f>
        <v>-482.16708435071808</v>
      </c>
      <c r="R21" s="70">
        <f>'IS (US$)'!R29</f>
        <v>-247.66962596957723</v>
      </c>
      <c r="S21" s="70">
        <f>'IS (US$)'!S29</f>
        <v>-414.51625347899079</v>
      </c>
      <c r="T21" s="70">
        <f>'IS (US$)'!T29</f>
        <v>-741.61315127061903</v>
      </c>
      <c r="U21" s="70">
        <f>'IS (US$)'!U29</f>
        <v>-83.430956987422178</v>
      </c>
      <c r="V21" s="70">
        <f>'IS (US$)'!V29</f>
        <v>-185.5348392912168</v>
      </c>
      <c r="W21" s="70">
        <f>'IS (US$)'!W29</f>
        <v>-803.77195739849674</v>
      </c>
      <c r="X21" s="70">
        <f>'IS (US$)'!X29</f>
        <v>128.14468287681268</v>
      </c>
      <c r="Y21" s="70">
        <f>'IS (US$)'!Y29</f>
        <v>-1892.0100941217338</v>
      </c>
      <c r="Z21" s="70">
        <f>'IS (US$)'!Z29</f>
        <v>-514.46296352711079</v>
      </c>
      <c r="AA21" s="70">
        <f>'IS (US$)'!AA29</f>
        <v>-279.5077754896476</v>
      </c>
      <c r="AB21" s="70">
        <f>'IS (US$)'!AB29</f>
        <v>-1441.4137797667752</v>
      </c>
      <c r="AC21" s="70">
        <f>'IS (US$)'!AC29</f>
        <v>-893.72141892934383</v>
      </c>
      <c r="AD21" s="70">
        <f>'IS (US$)'!AD29</f>
        <v>-1051.5252388196132</v>
      </c>
      <c r="AE21" s="70">
        <f>'IS (US$)'!AE29</f>
        <v>486.72931378631665</v>
      </c>
      <c r="AF21" s="70">
        <f>'IS (US$)'!AF29</f>
        <v>-51.616939741133208</v>
      </c>
      <c r="AG21" s="70">
        <f>'IS (US$)'!AG29</f>
        <v>-580.80624492041386</v>
      </c>
      <c r="AH21" s="70">
        <f>'IS (US$)'!AH29</f>
        <v>-685</v>
      </c>
      <c r="AI21" s="70">
        <f>'IS (US$)'!AI29</f>
        <v>-1144.881630000001</v>
      </c>
      <c r="AJ21" s="70">
        <f>'IS (US$)'!AJ29</f>
        <v>-433.48665000000119</v>
      </c>
      <c r="AK21" s="70">
        <f>'IS (US$)'!AK29</f>
        <v>-16.482920000000831</v>
      </c>
      <c r="AL21" s="70">
        <f>'IS (US$)'!AL29</f>
        <v>-899.18374999999833</v>
      </c>
      <c r="AM21" s="70">
        <f>'IS (US$)'!AM29</f>
        <v>-1383.6114499999953</v>
      </c>
      <c r="AN21" s="70">
        <f>'IS (US$)'!AN29</f>
        <v>-2079.4642399999698</v>
      </c>
      <c r="AO21" s="70">
        <f>'IS (US$)'!AO29</f>
        <v>-1491.5017599999965</v>
      </c>
      <c r="AP21" s="70">
        <f>'IS (US$)'!AP29</f>
        <v>-2903.9485799999952</v>
      </c>
      <c r="AQ21" s="70">
        <f>'IS (US$)'!AQ29</f>
        <v>-2024</v>
      </c>
      <c r="AR21" s="70">
        <f>'IS (US$)'!AR29</f>
        <v>-572</v>
      </c>
      <c r="AS21" s="70">
        <f>'IS (US$)'!AS29</f>
        <v>-608.05142000000524</v>
      </c>
      <c r="AT21" s="70">
        <f>'IS (US$)'!AT29</f>
        <v>-334</v>
      </c>
      <c r="AU21" s="70">
        <f>'IS (US$)'!AU29</f>
        <v>2320</v>
      </c>
      <c r="AV21" s="70">
        <f>'IS (US$)'!AV29</f>
        <v>-1015</v>
      </c>
      <c r="AW21" s="70">
        <f>'IS (US$)'!AW29</f>
        <v>-3653</v>
      </c>
      <c r="AX21" s="70">
        <f>'IS (US$)'!AX29</f>
        <v>-2358</v>
      </c>
      <c r="AY21" s="70">
        <f>'IS (US$)'!AY29</f>
        <v>-2737</v>
      </c>
      <c r="AZ21" s="124"/>
      <c r="BA21" s="41">
        <f>SUM(B21:E21)</f>
        <v>-1864.1489222385148</v>
      </c>
      <c r="BB21" s="41">
        <f>SUM(F21:I21)</f>
        <v>-1590.7871433309483</v>
      </c>
      <c r="BC21" s="41">
        <f>SUM(J21:M21)</f>
        <v>-401.82842826591968</v>
      </c>
      <c r="BD21" s="41">
        <f>SUM(N21:Q21)</f>
        <v>-1139.297113571693</v>
      </c>
      <c r="BE21" s="41">
        <f>SUM(R21:U21)</f>
        <v>-1487.2299877066093</v>
      </c>
      <c r="BF21" s="41">
        <f>SUM(V21:Y21)</f>
        <v>-2753.1722079346346</v>
      </c>
      <c r="BG21" s="70">
        <f>SUM(Z21:AC21)</f>
        <v>-3129.1059377128777</v>
      </c>
      <c r="BH21" s="70">
        <f t="shared" si="31"/>
        <v>-1197.2191096948436</v>
      </c>
      <c r="BI21" s="70">
        <f t="shared" si="32"/>
        <v>-2279.8512000000032</v>
      </c>
      <c r="BJ21" s="70">
        <f t="shared" si="4"/>
        <v>-5853.7611999999599</v>
      </c>
      <c r="BK21" s="70">
        <f t="shared" si="5"/>
        <v>-6108</v>
      </c>
      <c r="BL21" s="70">
        <f t="shared" si="6"/>
        <v>-2682</v>
      </c>
    </row>
    <row r="22" spans="1:64" s="17" customFormat="1" ht="19.5" customHeight="1">
      <c r="A22" s="141" t="s">
        <v>70</v>
      </c>
      <c r="B22" s="41">
        <f>'IS (US$)'!B32</f>
        <v>0</v>
      </c>
      <c r="C22" s="41">
        <f>'IS (US$)'!C32</f>
        <v>0</v>
      </c>
      <c r="D22" s="41">
        <f>'IS (US$)'!D32</f>
        <v>1387.4477199260104</v>
      </c>
      <c r="E22" s="41">
        <f>'IS (US$)'!E32</f>
        <v>-2651.568933302508</v>
      </c>
      <c r="F22" s="41">
        <f>'IS (US$)'!F32</f>
        <v>0</v>
      </c>
      <c r="G22" s="41">
        <f>'IS (US$)'!G32</f>
        <v>5997.3235896364513</v>
      </c>
      <c r="H22" s="41">
        <f>'IS (US$)'!H32</f>
        <v>-5200.156450393556</v>
      </c>
      <c r="I22" s="41">
        <f>'IS (US$)'!I32</f>
        <v>49964.688478153381</v>
      </c>
      <c r="J22" s="41">
        <f>'IS (US$)'!J32</f>
        <v>0</v>
      </c>
      <c r="K22" s="41">
        <f>'IS (US$)'!K32</f>
        <v>-1916.5475084399166</v>
      </c>
      <c r="L22" s="41">
        <f>'IS (US$)'!L32</f>
        <v>0</v>
      </c>
      <c r="M22" s="41">
        <f>'IS (US$)'!M32</f>
        <v>0</v>
      </c>
      <c r="N22" s="41">
        <f>'IS (US$)'!N32</f>
        <v>0</v>
      </c>
      <c r="O22" s="41">
        <f>'IS (US$)'!O32</f>
        <v>0</v>
      </c>
      <c r="P22" s="41">
        <f>'IS (US$)'!P32</f>
        <v>0</v>
      </c>
      <c r="Q22" s="41">
        <f>'IS (US$)'!Q32</f>
        <v>0</v>
      </c>
      <c r="R22" s="41">
        <f>'IS (US$)'!R32</f>
        <v>0</v>
      </c>
      <c r="S22" s="41">
        <f>'IS (US$)'!S32</f>
        <v>0</v>
      </c>
      <c r="T22" s="41">
        <f>'IS (US$)'!T32</f>
        <v>0</v>
      </c>
      <c r="U22" s="41">
        <f>'IS (US$)'!U32</f>
        <v>-23.35017349647979</v>
      </c>
      <c r="V22" s="41">
        <f>'IS (US$)'!V32</f>
        <v>1.3269677584155675</v>
      </c>
      <c r="W22" s="41">
        <f>'IS (US$)'!W32</f>
        <v>1.2754236074238285</v>
      </c>
      <c r="X22" s="41">
        <f>'IS (US$)'!X32</f>
        <v>1.5918666233338215</v>
      </c>
      <c r="Y22" s="41">
        <f>'IS (US$)'!Y32</f>
        <v>-6716.9712989769041</v>
      </c>
      <c r="Z22" s="41">
        <f>'IS (US$)'!Z32</f>
        <v>-1421.8950030381852</v>
      </c>
      <c r="AA22" s="41">
        <f>'IS (US$)'!AA32</f>
        <v>1181.0581944864587</v>
      </c>
      <c r="AB22" s="41">
        <f>'IS (US$)'!AB32</f>
        <v>0</v>
      </c>
      <c r="AC22" s="41">
        <f>'IS (US$)'!AC32</f>
        <v>0</v>
      </c>
      <c r="AD22" s="41">
        <f>'IS (US$)'!AD32</f>
        <v>0</v>
      </c>
      <c r="AE22" s="41">
        <f>+'IS (US$)'!AE32</f>
        <v>0</v>
      </c>
      <c r="AF22" s="41">
        <f>+'IS (US$)'!AF32</f>
        <v>0</v>
      </c>
      <c r="AG22" s="41">
        <f>+'IS (US$)'!AG32</f>
        <v>0</v>
      </c>
      <c r="AH22" s="41">
        <f>+'IS (US$)'!AH32</f>
        <v>0</v>
      </c>
      <c r="AI22" s="41">
        <f>+'IS (US$)'!AI32</f>
        <v>0</v>
      </c>
      <c r="AJ22" s="41">
        <f>+'IS (US$)'!AJ32</f>
        <v>0</v>
      </c>
      <c r="AK22" s="41">
        <f>+'IS (US$)'!AK32</f>
        <v>0</v>
      </c>
      <c r="AL22" s="41">
        <f>+'IS (US$)'!AL32</f>
        <v>0</v>
      </c>
      <c r="AM22" s="299">
        <v>0</v>
      </c>
      <c r="AN22" s="299">
        <v>0</v>
      </c>
      <c r="AO22" s="299">
        <f>'IS (US$)'!AO32</f>
        <v>0</v>
      </c>
      <c r="AP22" s="299">
        <f>'IS (US$)'!AP32</f>
        <v>0</v>
      </c>
      <c r="AQ22" s="299">
        <f>'IS (US$)'!AQ32</f>
        <v>0</v>
      </c>
      <c r="AR22" s="299">
        <f>'IS (US$)'!AR32</f>
        <v>0</v>
      </c>
      <c r="AS22" s="299">
        <f>'IS (US$)'!AS32</f>
        <v>0</v>
      </c>
      <c r="AT22" s="299">
        <f>'IS (US$)'!AT32</f>
        <v>0</v>
      </c>
      <c r="AU22" s="299">
        <f>'IS (US$)'!AU32</f>
        <v>0</v>
      </c>
      <c r="AV22" s="299">
        <f>'IS (US$)'!AV32</f>
        <v>0</v>
      </c>
      <c r="AW22" s="299">
        <f>'IS (US$)'!AW32</f>
        <v>0</v>
      </c>
      <c r="AX22" s="299">
        <f>'IS (US$)'!AX32</f>
        <v>0</v>
      </c>
      <c r="AY22" s="299">
        <f>'IS (US$)'!AY32</f>
        <v>0</v>
      </c>
      <c r="AZ22" s="124"/>
      <c r="BA22" s="41">
        <f>SUM(B22:E22)</f>
        <v>-1264.1212133764975</v>
      </c>
      <c r="BB22" s="41">
        <f>SUM(F22:I22)</f>
        <v>50761.855617396279</v>
      </c>
      <c r="BC22" s="41">
        <f>SUM(J22:M22)</f>
        <v>-1916.5475084399166</v>
      </c>
      <c r="BD22" s="41">
        <f>SUM(N22:Q22)</f>
        <v>0</v>
      </c>
      <c r="BE22" s="41">
        <f>SUM(R22:U22)</f>
        <v>-23.35017349647979</v>
      </c>
      <c r="BF22" s="41">
        <f>SUM(V22:Y22)</f>
        <v>-6712.7770409877312</v>
      </c>
      <c r="BG22" s="70">
        <f>SUM(Z22:AC22)</f>
        <v>-240.83680855172656</v>
      </c>
      <c r="BH22" s="70">
        <f t="shared" si="31"/>
        <v>0</v>
      </c>
      <c r="BI22" s="70">
        <f t="shared" si="32"/>
        <v>0</v>
      </c>
      <c r="BJ22" s="70">
        <f t="shared" si="4"/>
        <v>0</v>
      </c>
      <c r="BK22" s="70">
        <f t="shared" si="5"/>
        <v>0</v>
      </c>
      <c r="BL22" s="70">
        <f t="shared" si="6"/>
        <v>0</v>
      </c>
    </row>
    <row r="23" spans="1:64" s="17" customFormat="1" ht="19.5" customHeight="1">
      <c r="A23" s="141" t="s">
        <v>69</v>
      </c>
      <c r="B23" s="41">
        <f>'IS (US$)'!B31</f>
        <v>0</v>
      </c>
      <c r="C23" s="41">
        <f>'IS (US$)'!C31</f>
        <v>0</v>
      </c>
      <c r="D23" s="41">
        <f>'IS (US$)'!D31</f>
        <v>0</v>
      </c>
      <c r="E23" s="41">
        <f>'IS (US$)'!E31</f>
        <v>0</v>
      </c>
      <c r="F23" s="41">
        <f>'IS (US$)'!F31</f>
        <v>0</v>
      </c>
      <c r="G23" s="41">
        <f>'IS (US$)'!G31</f>
        <v>0</v>
      </c>
      <c r="H23" s="41">
        <f>'IS (US$)'!H31</f>
        <v>0</v>
      </c>
      <c r="I23" s="41">
        <f>'IS (US$)'!I31</f>
        <v>0</v>
      </c>
      <c r="J23" s="41">
        <f>'IS (US$)'!J31</f>
        <v>0</v>
      </c>
      <c r="K23" s="41">
        <f>'IS (US$)'!K31</f>
        <v>0</v>
      </c>
      <c r="L23" s="41">
        <f>'IS (US$)'!L31</f>
        <v>0</v>
      </c>
      <c r="M23" s="41">
        <f>'IS (US$)'!M31</f>
        <v>0</v>
      </c>
      <c r="N23" s="41">
        <f>'IS (US$)'!N31</f>
        <v>0</v>
      </c>
      <c r="O23" s="41">
        <f>'IS (US$)'!O31</f>
        <v>0</v>
      </c>
      <c r="P23" s="41">
        <f>'IS (US$)'!P31</f>
        <v>0</v>
      </c>
      <c r="Q23" s="41">
        <f>'IS (US$)'!Q31</f>
        <v>0</v>
      </c>
      <c r="R23" s="41">
        <f>'IS (US$)'!R31</f>
        <v>0</v>
      </c>
      <c r="S23" s="41">
        <f>'IS (US$)'!S31</f>
        <v>-961.47820827011901</v>
      </c>
      <c r="T23" s="41">
        <f>'IS (US$)'!T31</f>
        <v>-349.41145399571673</v>
      </c>
      <c r="U23" s="41">
        <f>'IS (US$)'!U31</f>
        <v>0</v>
      </c>
      <c r="V23" s="41">
        <f>'IS (US$)'!V31</f>
        <v>0</v>
      </c>
      <c r="W23" s="41">
        <f>'IS (US$)'!W31</f>
        <v>0</v>
      </c>
      <c r="X23" s="41">
        <f>'IS (US$)'!X31</f>
        <v>0</v>
      </c>
      <c r="Y23" s="41">
        <f>'IS (US$)'!Y31</f>
        <v>138063.24957324978</v>
      </c>
      <c r="Z23" s="41">
        <f>'IS (US$)'!Z31</f>
        <v>6.7208864125390368</v>
      </c>
      <c r="AA23" s="41">
        <f>'IS (US$)'!AA31</f>
        <v>0</v>
      </c>
      <c r="AB23" s="41">
        <f>'IS (US$)'!AB31</f>
        <v>122.70515860261469</v>
      </c>
      <c r="AC23" s="41">
        <f>'IS (US$)'!AC31</f>
        <v>-10345.11437544913</v>
      </c>
      <c r="AD23" s="41">
        <f>'IS (US$)'!AD31</f>
        <v>0</v>
      </c>
      <c r="AE23" s="41">
        <f>+'IS (US$)'!AE31</f>
        <v>0</v>
      </c>
      <c r="AF23" s="41">
        <f>+'IS (US$)'!AF31</f>
        <v>0</v>
      </c>
      <c r="AG23" s="41">
        <f>+'IS (US$)'!AG31</f>
        <v>0</v>
      </c>
      <c r="AH23" s="41">
        <f>+'IS (US$)'!AH31</f>
        <v>0</v>
      </c>
      <c r="AI23" s="41">
        <f>+'IS (US$)'!AI31</f>
        <v>0</v>
      </c>
      <c r="AJ23" s="41">
        <f>+'IS (US$)'!AJ31</f>
        <v>0</v>
      </c>
      <c r="AK23" s="41">
        <f>+'IS (US$)'!AK31</f>
        <v>0</v>
      </c>
      <c r="AL23" s="41">
        <f>+'IS (US$)'!AL31</f>
        <v>0</v>
      </c>
      <c r="AM23" s="299">
        <v>0</v>
      </c>
      <c r="AN23" s="299">
        <v>0</v>
      </c>
      <c r="AO23" s="299">
        <f>'IS (US$)'!AO31</f>
        <v>0</v>
      </c>
      <c r="AP23" s="299">
        <f>'IS (US$)'!AP31</f>
        <v>0</v>
      </c>
      <c r="AQ23" s="299">
        <f>'IS (US$)'!AQ31</f>
        <v>0</v>
      </c>
      <c r="AR23" s="299">
        <f>'IS (US$)'!AR31</f>
        <v>0</v>
      </c>
      <c r="AS23" s="299">
        <f>'IS (US$)'!AS31</f>
        <v>0</v>
      </c>
      <c r="AT23" s="299">
        <f>'IS (US$)'!AT31</f>
        <v>0</v>
      </c>
      <c r="AU23" s="299">
        <f>'IS (US$)'!AU31</f>
        <v>0</v>
      </c>
      <c r="AV23" s="299">
        <f>'IS (US$)'!AV31</f>
        <v>0</v>
      </c>
      <c r="AW23" s="299">
        <f>'IS (US$)'!AW31</f>
        <v>0</v>
      </c>
      <c r="AX23" s="299">
        <f>'IS (US$)'!AX31</f>
        <v>0</v>
      </c>
      <c r="AY23" s="299">
        <f>'IS (US$)'!AY31</f>
        <v>0</v>
      </c>
      <c r="AZ23" s="124"/>
      <c r="BA23" s="41">
        <f>SUM(B23:E23)</f>
        <v>0</v>
      </c>
      <c r="BB23" s="41">
        <f>SUM(F23:I23)</f>
        <v>0</v>
      </c>
      <c r="BC23" s="41">
        <f>SUM(J23:M23)</f>
        <v>0</v>
      </c>
      <c r="BD23" s="41">
        <f>SUM(N23:Q23)</f>
        <v>0</v>
      </c>
      <c r="BE23" s="41">
        <f>SUM(R23:U23)</f>
        <v>-1310.8896622658358</v>
      </c>
      <c r="BF23" s="41">
        <f>SUM(V23:Y23)</f>
        <v>138063.24957324978</v>
      </c>
      <c r="BG23" s="70">
        <f>SUM(Z23:AC23)</f>
        <v>-10215.688330433975</v>
      </c>
      <c r="BH23" s="70">
        <f t="shared" si="31"/>
        <v>0</v>
      </c>
      <c r="BI23" s="70">
        <f t="shared" si="32"/>
        <v>0</v>
      </c>
      <c r="BJ23" s="70">
        <f t="shared" si="4"/>
        <v>0</v>
      </c>
      <c r="BK23" s="70">
        <f t="shared" si="5"/>
        <v>0</v>
      </c>
      <c r="BL23" s="70">
        <f t="shared" si="6"/>
        <v>0</v>
      </c>
    </row>
    <row r="24" spans="1:64" s="17" customFormat="1" ht="19.5" customHeight="1">
      <c r="A24" s="141" t="s">
        <v>71</v>
      </c>
      <c r="B24" s="70">
        <f>'IS (US$)'!B33</f>
        <v>9586.1923961381653</v>
      </c>
      <c r="C24" s="70">
        <f>'IS (US$)'!C33</f>
        <v>135.05267503006158</v>
      </c>
      <c r="D24" s="70">
        <f>'IS (US$)'!D33</f>
        <v>561.83719457079894</v>
      </c>
      <c r="E24" s="70">
        <f>'IS (US$)'!E33</f>
        <v>-6205.9103738513841</v>
      </c>
      <c r="F24" s="70">
        <f>'IS (US$)'!F33</f>
        <v>-6474.4343766906613</v>
      </c>
      <c r="G24" s="70">
        <f>'IS (US$)'!G33</f>
        <v>4757.2167135865157</v>
      </c>
      <c r="H24" s="70">
        <f>'IS (US$)'!H33</f>
        <v>8892.3106806251817</v>
      </c>
      <c r="I24" s="70">
        <f>'IS (US$)'!I33</f>
        <v>-2530.7325200481423</v>
      </c>
      <c r="J24" s="70">
        <f>'IS (US$)'!J33</f>
        <v>-556.42796307169408</v>
      </c>
      <c r="K24" s="70">
        <f>'IS (US$)'!K33</f>
        <v>4847.6202399857666</v>
      </c>
      <c r="L24" s="70">
        <f>'IS (US$)'!L33</f>
        <v>-5032.0578502404724</v>
      </c>
      <c r="M24" s="70">
        <f>'IS (US$)'!M33</f>
        <v>107157.00328410679</v>
      </c>
      <c r="N24" s="70">
        <f>'IS (US$)'!N33</f>
        <v>33.609044718969287</v>
      </c>
      <c r="O24" s="70">
        <f>'IS (US$)'!O33</f>
        <v>13162.191890142352</v>
      </c>
      <c r="P24" s="70">
        <f>'IS (US$)'!P33</f>
        <v>-584.44420873785941</v>
      </c>
      <c r="Q24" s="70">
        <f>'IS (US$)'!Q33</f>
        <v>272.47580862426474</v>
      </c>
      <c r="R24" s="70">
        <f>'IS (US$)'!R33</f>
        <v>1088.3293389931796</v>
      </c>
      <c r="S24" s="70">
        <f>'IS (US$)'!S33</f>
        <v>-180.10398713993584</v>
      </c>
      <c r="T24" s="70">
        <f>'IS (US$)'!T33</f>
        <v>-3677.1757582462274</v>
      </c>
      <c r="U24" s="70">
        <f>'IS (US$)'!U33</f>
        <v>-856.87265887082026</v>
      </c>
      <c r="V24" s="70">
        <f>'IS (US$)'!V33</f>
        <v>80.414246159983378</v>
      </c>
      <c r="W24" s="70">
        <f>'IS (US$)'!W33</f>
        <v>-8310.1500565306978</v>
      </c>
      <c r="X24" s="70">
        <f>'IS (US$)'!X33</f>
        <v>-7614.9159586934238</v>
      </c>
      <c r="Y24" s="70">
        <f>'IS (US$)'!Y33</f>
        <v>-14139.243536555879</v>
      </c>
      <c r="Z24" s="70">
        <f>'IS (US$)'!Z33</f>
        <v>27201.614718322249</v>
      </c>
      <c r="AA24" s="70">
        <f>'IS (US$)'!AA33</f>
        <v>19992.408725700312</v>
      </c>
      <c r="AB24" s="70">
        <f>'IS (US$)'!AB33</f>
        <v>6051.1688609593721</v>
      </c>
      <c r="AC24" s="70">
        <f>'IS (US$)'!AC33</f>
        <v>90019.582748264002</v>
      </c>
      <c r="AD24" s="70">
        <f>'IS (US$)'!AD33</f>
        <v>-3697.4103292406958</v>
      </c>
      <c r="AE24" s="70">
        <f>'IS (US$)'!AE33</f>
        <v>-11740.975886900573</v>
      </c>
      <c r="AF24" s="70">
        <f>'IS (US$)'!AF33</f>
        <v>3023.2232780232616</v>
      </c>
      <c r="AG24" s="70">
        <f>'IS (US$)'!AG33</f>
        <v>-1593.2782902425288</v>
      </c>
      <c r="AH24" s="70">
        <f>'IS (US$)'!AH33</f>
        <v>-3406</v>
      </c>
      <c r="AI24" s="70">
        <f>'IS (US$)'!AI33</f>
        <v>-20039.389446714387</v>
      </c>
      <c r="AJ24" s="70">
        <f>'IS (US$)'!AJ33</f>
        <v>-988.49725829323688</v>
      </c>
      <c r="AK24" s="70">
        <f>'IS (US$)'!AK33</f>
        <v>42089.749100239809</v>
      </c>
      <c r="AL24" s="70">
        <f>'IS (US$)'!AL33</f>
        <v>-27245.919482760663</v>
      </c>
      <c r="AM24" s="70">
        <f>'IS (US$)'!AM33</f>
        <v>-1483.0906072393482</v>
      </c>
      <c r="AN24" s="70">
        <f>'IS (US$)'!AN33</f>
        <v>-13241.982458106</v>
      </c>
      <c r="AO24" s="70">
        <f>'IS (US$)'!AO33</f>
        <v>61675.992548106013</v>
      </c>
      <c r="AP24" s="70">
        <f>'IS (US$)'!AP33</f>
        <v>4430</v>
      </c>
      <c r="AQ24" s="70">
        <f>'IS (US$)'!AQ33</f>
        <v>57136</v>
      </c>
      <c r="AR24" s="70">
        <f>'IS (US$)'!AR33</f>
        <v>-8361</v>
      </c>
      <c r="AS24" s="70">
        <f>'IS (US$)'!AS33</f>
        <v>-40990</v>
      </c>
      <c r="AT24" s="70">
        <f>'IS (US$)'!AT33</f>
        <v>-14388</v>
      </c>
      <c r="AU24" s="70">
        <f>'IS (US$)'!AU33</f>
        <v>-48616</v>
      </c>
      <c r="AV24" s="70">
        <f>'IS (US$)'!AV33</f>
        <v>-10840</v>
      </c>
      <c r="AW24" s="70">
        <f>'IS (US$)'!AW33</f>
        <v>-17147</v>
      </c>
      <c r="AX24" s="70">
        <f>'IS (US$)'!AX33</f>
        <v>-30266</v>
      </c>
      <c r="AY24" s="70">
        <f>'IS (US$)'!AY33</f>
        <v>-31398</v>
      </c>
      <c r="AZ24" s="124"/>
      <c r="BA24" s="41">
        <f>SUM(B24:E24)</f>
        <v>4077.1718918876413</v>
      </c>
      <c r="BB24" s="41">
        <f>SUM(F24:I24)</f>
        <v>4644.3604974728933</v>
      </c>
      <c r="BC24" s="41">
        <f>SUM(J24:M24)</f>
        <v>106416.13771078039</v>
      </c>
      <c r="BD24" s="41">
        <f>SUM(N24:Q24)</f>
        <v>12883.832534747728</v>
      </c>
      <c r="BE24" s="41">
        <f>SUM(R24:U24)</f>
        <v>-3625.823065263804</v>
      </c>
      <c r="BF24" s="41">
        <f>SUM(V24:Y24)</f>
        <v>-29983.895305620019</v>
      </c>
      <c r="BG24" s="41">
        <f>SUM(Z24:AC24)</f>
        <v>143264.77505324595</v>
      </c>
      <c r="BH24" s="41">
        <f t="shared" si="31"/>
        <v>-14008.441228360534</v>
      </c>
      <c r="BI24" s="41">
        <f t="shared" si="32"/>
        <v>17655.862395232187</v>
      </c>
      <c r="BJ24" s="70">
        <f t="shared" si="4"/>
        <v>19705</v>
      </c>
      <c r="BK24" s="70">
        <f t="shared" si="5"/>
        <v>12215</v>
      </c>
      <c r="BL24" s="70">
        <f t="shared" si="6"/>
        <v>-90991</v>
      </c>
    </row>
    <row r="25" spans="1:64" s="8" customFormat="1" ht="19.5" customHeight="1">
      <c r="A25" s="125" t="s">
        <v>82</v>
      </c>
      <c r="B25" s="126">
        <f t="shared" ref="B25:Z25" si="33">+B7+B8</f>
        <v>15143.819364973999</v>
      </c>
      <c r="C25" s="126">
        <f t="shared" si="33"/>
        <v>15264.53604694987</v>
      </c>
      <c r="D25" s="126">
        <f t="shared" si="33"/>
        <v>12225.682129023793</v>
      </c>
      <c r="E25" s="126">
        <f t="shared" si="33"/>
        <v>-28041.331624713923</v>
      </c>
      <c r="F25" s="126">
        <f t="shared" si="33"/>
        <v>-11627.69082074017</v>
      </c>
      <c r="G25" s="126">
        <f t="shared" si="33"/>
        <v>12185.482953791092</v>
      </c>
      <c r="H25" s="126">
        <f t="shared" si="33"/>
        <v>6633.0188882114453</v>
      </c>
      <c r="I25" s="126">
        <f t="shared" si="33"/>
        <v>31849.986770038253</v>
      </c>
      <c r="J25" s="126">
        <f t="shared" si="33"/>
        <v>-8014.5645769556249</v>
      </c>
      <c r="K25" s="126">
        <f t="shared" si="33"/>
        <v>1689.8283901888281</v>
      </c>
      <c r="L25" s="126">
        <f t="shared" si="33"/>
        <v>-202.724182052174</v>
      </c>
      <c r="M25" s="126">
        <f t="shared" si="33"/>
        <v>107665.24344474824</v>
      </c>
      <c r="N25" s="126">
        <f t="shared" si="33"/>
        <v>138.60601962420333</v>
      </c>
      <c r="O25" s="126">
        <f t="shared" si="33"/>
        <v>20605.653351501333</v>
      </c>
      <c r="P25" s="126">
        <f t="shared" si="33"/>
        <v>6580.3737290089994</v>
      </c>
      <c r="Q25" s="126">
        <f t="shared" si="33"/>
        <v>13588.841417715557</v>
      </c>
      <c r="R25" s="126">
        <f t="shared" si="33"/>
        <v>4561.2489449397071</v>
      </c>
      <c r="S25" s="126">
        <f t="shared" si="33"/>
        <v>24543.463035201908</v>
      </c>
      <c r="T25" s="126">
        <f t="shared" si="33"/>
        <v>22916.074251297337</v>
      </c>
      <c r="U25" s="126">
        <f t="shared" si="33"/>
        <v>17102.034374921735</v>
      </c>
      <c r="V25" s="126">
        <f t="shared" si="33"/>
        <v>14128.687068911437</v>
      </c>
      <c r="W25" s="126">
        <f t="shared" si="33"/>
        <v>77200.115533756907</v>
      </c>
      <c r="X25" s="126">
        <f t="shared" si="33"/>
        <v>47727.593050870841</v>
      </c>
      <c r="Y25" s="126">
        <f t="shared" si="33"/>
        <v>204471.33189013414</v>
      </c>
      <c r="Z25" s="126">
        <f t="shared" si="33"/>
        <v>40899.831132749925</v>
      </c>
      <c r="AA25" s="126">
        <f>+AA7+AA8</f>
        <v>59864.899159133332</v>
      </c>
      <c r="AB25" s="126">
        <f>+AB7+AB8</f>
        <v>2419.4969971884566</v>
      </c>
      <c r="AC25" s="126">
        <f t="shared" ref="AC25" si="34">+AC7+AC8</f>
        <v>142500.12524696731</v>
      </c>
      <c r="AD25" s="126">
        <f t="shared" ref="AD25:AI25" si="35">+AD7+AD8</f>
        <v>81931.508897178908</v>
      </c>
      <c r="AE25" s="126">
        <f t="shared" si="35"/>
        <v>125277.66836994332</v>
      </c>
      <c r="AF25" s="126">
        <f t="shared" si="35"/>
        <v>119234.93962816683</v>
      </c>
      <c r="AG25" s="126">
        <f t="shared" si="35"/>
        <v>224985.0342850202</v>
      </c>
      <c r="AH25" s="126">
        <f>+AH7+AH8</f>
        <v>228641</v>
      </c>
      <c r="AI25" s="126">
        <f t="shared" si="35"/>
        <v>257023.95784437133</v>
      </c>
      <c r="AJ25" s="126">
        <f t="shared" ref="AJ25:AQ25" si="36">+AJ7+AJ8</f>
        <v>293698.98460082919</v>
      </c>
      <c r="AK25" s="126">
        <f t="shared" si="36"/>
        <v>173263.27751523734</v>
      </c>
      <c r="AL25" s="126">
        <f t="shared" si="36"/>
        <v>361714.36833723937</v>
      </c>
      <c r="AM25" s="126">
        <f t="shared" si="36"/>
        <v>341207.42535201838</v>
      </c>
      <c r="AN25" s="126">
        <f t="shared" si="36"/>
        <v>629165.34888879396</v>
      </c>
      <c r="AO25" s="126">
        <f t="shared" si="36"/>
        <v>521049.08208633837</v>
      </c>
      <c r="AP25" s="126">
        <f t="shared" si="36"/>
        <v>477248.69075456489</v>
      </c>
      <c r="AQ25" s="126">
        <f t="shared" si="36"/>
        <v>598893.02863000007</v>
      </c>
      <c r="AR25" s="126">
        <f t="shared" ref="AR25:AS25" si="37">+AR7+AR8</f>
        <v>335113</v>
      </c>
      <c r="AS25" s="126">
        <f t="shared" si="37"/>
        <v>313362.28061543521</v>
      </c>
      <c r="AT25" s="126">
        <f t="shared" ref="AT25:AU25" si="38">+AT7+AT8</f>
        <v>444943</v>
      </c>
      <c r="AU25" s="126">
        <f t="shared" si="38"/>
        <v>237761</v>
      </c>
      <c r="AV25" s="126">
        <f t="shared" ref="AV25:AW25" si="39">+AV7+AV8</f>
        <v>323887</v>
      </c>
      <c r="AW25" s="126">
        <f t="shared" si="39"/>
        <v>342729</v>
      </c>
      <c r="AX25" s="126">
        <f t="shared" ref="AX25:AY25" si="40">+AX7+AX8</f>
        <v>848035</v>
      </c>
      <c r="AY25" s="126">
        <f t="shared" si="40"/>
        <v>869912</v>
      </c>
      <c r="AZ25" s="136"/>
      <c r="BA25" s="126">
        <f>+BA7+BA8</f>
        <v>14592.705916233739</v>
      </c>
      <c r="BB25" s="126">
        <f>+BB7+BB8</f>
        <v>39040.797791300611</v>
      </c>
      <c r="BC25" s="126">
        <f t="shared" ref="BC25:BD25" si="41">+BC7+BC8</f>
        <v>101137.78307592926</v>
      </c>
      <c r="BD25" s="126">
        <f t="shared" si="41"/>
        <v>40913.47451785006</v>
      </c>
      <c r="BE25" s="126">
        <f>+BE7+BE8</f>
        <v>69122.820606360707</v>
      </c>
      <c r="BF25" s="126">
        <f>+BF7+BF8</f>
        <v>343527.72754367336</v>
      </c>
      <c r="BG25" s="126">
        <f>+BG7+BG8</f>
        <v>245684.35253603905</v>
      </c>
      <c r="BH25" s="126">
        <f t="shared" si="31"/>
        <v>551429.15118030924</v>
      </c>
      <c r="BI25" s="126">
        <f t="shared" si="32"/>
        <v>952627.21996043785</v>
      </c>
      <c r="BJ25" s="126">
        <f t="shared" si="4"/>
        <v>1853136.2246643901</v>
      </c>
      <c r="BK25" s="126">
        <f t="shared" si="5"/>
        <v>1724617.0000000002</v>
      </c>
      <c r="BL25" s="126">
        <f t="shared" si="6"/>
        <v>1349320</v>
      </c>
    </row>
    <row r="26" spans="1:64" s="139" customFormat="1" ht="19.5" customHeight="1">
      <c r="A26" s="147" t="s">
        <v>83</v>
      </c>
      <c r="B26" s="148">
        <f t="shared" ref="B26:Z26" si="42">B25/B7</f>
        <v>0.24973470164616238</v>
      </c>
      <c r="C26" s="148">
        <f t="shared" si="42"/>
        <v>0.24724015726401308</v>
      </c>
      <c r="D26" s="148">
        <f t="shared" si="42"/>
        <v>0.21948067439584548</v>
      </c>
      <c r="E26" s="148">
        <f t="shared" si="42"/>
        <v>-0.90230601726684123</v>
      </c>
      <c r="F26" s="148">
        <f t="shared" si="42"/>
        <v>-6.8714197403667834</v>
      </c>
      <c r="G26" s="148">
        <f t="shared" si="42"/>
        <v>0.38651764316998599</v>
      </c>
      <c r="H26" s="148">
        <f t="shared" si="42"/>
        <v>0.18360019778139378</v>
      </c>
      <c r="I26" s="148">
        <f t="shared" si="42"/>
        <v>5.2192564678279822</v>
      </c>
      <c r="J26" s="148">
        <f t="shared" si="42"/>
        <v>-0.75229468308077785</v>
      </c>
      <c r="K26" s="148">
        <f t="shared" si="42"/>
        <v>5.7244561379750571E-2</v>
      </c>
      <c r="L26" s="148">
        <f t="shared" si="42"/>
        <v>-4.7255856709899711E-3</v>
      </c>
      <c r="M26" s="148">
        <f t="shared" si="42"/>
        <v>3.1178311748828462</v>
      </c>
      <c r="N26" s="148">
        <f t="shared" si="42"/>
        <v>5.825374572831281E-3</v>
      </c>
      <c r="O26" s="148">
        <f t="shared" si="42"/>
        <v>0.42608371327335759</v>
      </c>
      <c r="P26" s="148">
        <f t="shared" si="42"/>
        <v>0.18913047430327035</v>
      </c>
      <c r="Q26" s="148">
        <f t="shared" si="42"/>
        <v>0.22809452813471534</v>
      </c>
      <c r="R26" s="148">
        <f t="shared" si="42"/>
        <v>0.12638811830480967</v>
      </c>
      <c r="S26" s="148">
        <f t="shared" si="42"/>
        <v>0.36999227250892847</v>
      </c>
      <c r="T26" s="148">
        <f t="shared" si="42"/>
        <v>0.40292128728959553</v>
      </c>
      <c r="U26" s="148">
        <f t="shared" si="42"/>
        <v>0.24347017364314433</v>
      </c>
      <c r="V26" s="148">
        <f t="shared" si="42"/>
        <v>0.38279726883424081</v>
      </c>
      <c r="W26" s="148">
        <f t="shared" si="42"/>
        <v>0.55203718127146661</v>
      </c>
      <c r="X26" s="148">
        <f t="shared" si="42"/>
        <v>0.47507772429362821</v>
      </c>
      <c r="Y26" s="148">
        <f t="shared" si="42"/>
        <v>1.5085345418336762</v>
      </c>
      <c r="Z26" s="148">
        <f t="shared" si="42"/>
        <v>0.81808032682701382</v>
      </c>
      <c r="AA26" s="148">
        <f>AA25/AA7</f>
        <v>1.0304939018962835</v>
      </c>
      <c r="AB26" s="148">
        <f>AB25/AB7</f>
        <v>2.6629824618255419E-2</v>
      </c>
      <c r="AC26" s="148">
        <f t="shared" ref="AC26:AF26" si="43">AC25/AC7</f>
        <v>0.87435676826327458</v>
      </c>
      <c r="AD26" s="148">
        <f t="shared" si="43"/>
        <v>0.68472412540780736</v>
      </c>
      <c r="AE26" s="148">
        <f t="shared" si="43"/>
        <v>0.64872799869382902</v>
      </c>
      <c r="AF26" s="148">
        <f t="shared" si="43"/>
        <v>0.66385068072211573</v>
      </c>
      <c r="AG26" s="148">
        <f t="shared" ref="AG26:AK26" si="44">AG25/AG7</f>
        <v>0.70663405189973771</v>
      </c>
      <c r="AH26" s="148">
        <f t="shared" si="44"/>
        <v>0.73832327981503254</v>
      </c>
      <c r="AI26" s="148">
        <f t="shared" si="44"/>
        <v>0.68115264954409938</v>
      </c>
      <c r="AJ26" s="148">
        <f t="shared" si="44"/>
        <v>0.77666394088217705</v>
      </c>
      <c r="AK26" s="148">
        <f t="shared" si="44"/>
        <v>0.93913638281943024</v>
      </c>
      <c r="AL26" s="148">
        <f t="shared" ref="AL26:AQ26" si="45">AL25/AL7</f>
        <v>0.66593705853687335</v>
      </c>
      <c r="AM26" s="148">
        <f t="shared" si="45"/>
        <v>0.7037309768325225</v>
      </c>
      <c r="AN26" s="148">
        <f t="shared" si="45"/>
        <v>0.76346679232704429</v>
      </c>
      <c r="AO26" s="148">
        <f t="shared" si="45"/>
        <v>0.7594013569517517</v>
      </c>
      <c r="AP26" s="148">
        <f t="shared" si="45"/>
        <v>0.74643233385079333</v>
      </c>
      <c r="AQ26" s="148">
        <f t="shared" si="45"/>
        <v>0.82315276902248624</v>
      </c>
      <c r="AR26" s="148">
        <f t="shared" ref="AR26:AS26" si="46">AR25/AR7</f>
        <v>0.69837469026585552</v>
      </c>
      <c r="AS26" s="148">
        <f t="shared" si="46"/>
        <v>0.59518342691301174</v>
      </c>
      <c r="AT26" s="148">
        <f t="shared" ref="AT26:AU26" si="47">AT25/AT7</f>
        <v>0.61518328588671711</v>
      </c>
      <c r="AU26" s="148">
        <f t="shared" si="47"/>
        <v>0.45782257909229201</v>
      </c>
      <c r="AV26" s="148">
        <f t="shared" ref="AV26:AW26" si="48">AV25/AV7</f>
        <v>0.55853468003248907</v>
      </c>
      <c r="AW26" s="148">
        <f t="shared" si="48"/>
        <v>0.5293806909015083</v>
      </c>
      <c r="AX26" s="148">
        <f t="shared" ref="AX26:AY26" si="49">AX25/AX7</f>
        <v>0.70107554438584019</v>
      </c>
      <c r="AY26" s="148">
        <f t="shared" si="49"/>
        <v>0.65545400432492706</v>
      </c>
      <c r="AZ26" s="140"/>
      <c r="BA26" s="148">
        <f t="shared" ref="BA26:BG26" si="50">BA25/BA7</f>
        <v>6.9768308605750382E-2</v>
      </c>
      <c r="BB26" s="148">
        <f t="shared" si="50"/>
        <v>0.51745012671236346</v>
      </c>
      <c r="BC26" s="148">
        <f t="shared" si="50"/>
        <v>0.85998360731860379</v>
      </c>
      <c r="BD26" s="148">
        <f t="shared" si="50"/>
        <v>0.24569363013979528</v>
      </c>
      <c r="BE26" s="148">
        <f t="shared" si="50"/>
        <v>0.30113373026926016</v>
      </c>
      <c r="BF26" s="148">
        <f t="shared" si="50"/>
        <v>0.83226860066416197</v>
      </c>
      <c r="BG26" s="148">
        <f t="shared" si="50"/>
        <v>0.67883223896828171</v>
      </c>
      <c r="BH26" s="148">
        <f>BH25/BH7</f>
        <v>0.68013032071635637</v>
      </c>
      <c r="BI26" s="148">
        <f>BI25/BI7</f>
        <v>0.76230945484210588</v>
      </c>
      <c r="BJ26" s="148">
        <f>BJ25/BJ7</f>
        <v>0.73008642399112711</v>
      </c>
      <c r="BK26" s="148">
        <f>BK25/BK7</f>
        <v>0.726681714776657</v>
      </c>
      <c r="BL26" s="148">
        <f>BL25/BL7</f>
        <v>0.54630529725685362</v>
      </c>
    </row>
    <row r="27" spans="1:64" s="8" customFormat="1" ht="19.5" customHeight="1">
      <c r="A27" s="9" t="s">
        <v>84</v>
      </c>
      <c r="B27" s="68">
        <f>'IS (US$)'!B19+'IS (US$)'!B30</f>
        <v>-10762.5680852555</v>
      </c>
      <c r="C27" s="68">
        <f>'IS (US$)'!C19+'IS (US$)'!C30</f>
        <v>-10383.800857876129</v>
      </c>
      <c r="D27" s="68">
        <f>'IS (US$)'!D19+'IS (US$)'!D30</f>
        <v>-12426.801235471654</v>
      </c>
      <c r="E27" s="68">
        <f>'IS (US$)'!E19+'IS (US$)'!E30</f>
        <v>-39027.295792678691</v>
      </c>
      <c r="F27" s="68">
        <f>'IS (US$)'!F19+'IS (US$)'!F30</f>
        <v>-1691.4843365643255</v>
      </c>
      <c r="G27" s="68">
        <f>'IS (US$)'!G19+'IS (US$)'!G30</f>
        <v>-14226.057976198888</v>
      </c>
      <c r="H27" s="68">
        <f>'IS (US$)'!H19+'IS (US$)'!H30</f>
        <v>-15606.653298004929</v>
      </c>
      <c r="I27" s="68">
        <f>'IS (US$)'!I19+'IS (US$)'!I30</f>
        <v>9872.4443665259532</v>
      </c>
      <c r="J27" s="68">
        <f>'IS (US$)'!J19+'IS (US$)'!J30</f>
        <v>-2972.3211440651703</v>
      </c>
      <c r="K27" s="68">
        <f>'IS (US$)'!K19+'IS (US$)'!K30</f>
        <v>-6110.2801151826252</v>
      </c>
      <c r="L27" s="68">
        <f>'IS (US$)'!L19+'IS (US$)'!L30</f>
        <v>-4759.3969062949127</v>
      </c>
      <c r="M27" s="68">
        <f>'IS (US$)'!M19+'IS (US$)'!M30</f>
        <v>-6418.5813835846984</v>
      </c>
      <c r="N27" s="68">
        <f>'IS (US$)'!N19+'IS (US$)'!N30</f>
        <v>-4045.3296199037222</v>
      </c>
      <c r="O27" s="68">
        <f>'IS (US$)'!O19+'IS (US$)'!O30</f>
        <v>-8575.4522580728499</v>
      </c>
      <c r="P27" s="68">
        <f>'IS (US$)'!P19+'IS (US$)'!P30</f>
        <v>-6740.4001194967523</v>
      </c>
      <c r="Q27" s="68">
        <f>'IS (US$)'!Q19+'IS (US$)'!Q30</f>
        <v>-8570.0814507569903</v>
      </c>
      <c r="R27" s="68">
        <f>'IS (US$)'!R19+'IS (US$)'!R30</f>
        <v>-4842.1876251440108</v>
      </c>
      <c r="S27" s="68">
        <f>'IS (US$)'!S19+'IS (US$)'!S30</f>
        <v>-7000.5034386007364</v>
      </c>
      <c r="T27" s="68">
        <f>'IS (US$)'!T19+'IS (US$)'!T30</f>
        <v>-4843.3997851333806</v>
      </c>
      <c r="U27" s="68">
        <f>'IS (US$)'!U19+'IS (US$)'!U30</f>
        <v>-3239.9021630115612</v>
      </c>
      <c r="V27" s="68">
        <f>'IS (US$)'!V19+'IS (US$)'!V30</f>
        <v>-8291.0069142484408</v>
      </c>
      <c r="W27" s="68">
        <f>'IS (US$)'!W19+'IS (US$)'!W30</f>
        <v>-23096.135937395142</v>
      </c>
      <c r="X27" s="68">
        <f>'IS (US$)'!X19+'IS (US$)'!X30</f>
        <v>-21177.60821004834</v>
      </c>
      <c r="Y27" s="68">
        <f>'IS (US$)'!Y19+'IS (US$)'!Y30</f>
        <v>-73615.492919810713</v>
      </c>
      <c r="Z27" s="68">
        <f>'IS (US$)'!Z19+'IS (US$)'!Z30</f>
        <v>-29494.510945004495</v>
      </c>
      <c r="AA27" s="68">
        <f>'IS (US$)'!AA19+'IS (US$)'!AA30</f>
        <v>-40910.858775277986</v>
      </c>
      <c r="AB27" s="68">
        <f>'IS (US$)'!AB19+'IS (US$)'!AB30</f>
        <v>-37336.059228017912</v>
      </c>
      <c r="AC27" s="68">
        <f>'IS (US$)'!AC19+'IS (US$)'!AC30</f>
        <v>-53965.516719777537</v>
      </c>
      <c r="AD27" s="68">
        <f>'IS (US$)'!AD19+'IS (US$)'!AD30</f>
        <v>-24092.50829349678</v>
      </c>
      <c r="AE27" s="68">
        <f>'IS (US$)'!AE19+'IS (US$)'!AE30</f>
        <v>-45713.096059691372</v>
      </c>
      <c r="AF27" s="68">
        <f>'IS (US$)'!AF19+'IS (US$)'!AF30</f>
        <v>-36699.728908568031</v>
      </c>
      <c r="AG27" s="68">
        <f>'IS (US$)'!AG19+'IS (US$)'!AG30</f>
        <v>-54624.353272772605</v>
      </c>
      <c r="AH27" s="68">
        <f>'IS (US$)'!AH19+'IS (US$)'!AH30</f>
        <v>-33086</v>
      </c>
      <c r="AI27" s="68">
        <f>'IS (US$)'!AI19+'IS (US$)'!AI30</f>
        <v>-37350.250259999993</v>
      </c>
      <c r="AJ27" s="68">
        <f>'IS (US$)'!AJ19+'IS (US$)'!AJ30</f>
        <v>-47974.190374795486</v>
      </c>
      <c r="AK27" s="68">
        <f>'IS (US$)'!AK19+'IS (US$)'!AK30</f>
        <v>-28297.460150000003</v>
      </c>
      <c r="AL27" s="68">
        <f>'IS (US$)'!AL19+'IS (US$)'!AL30</f>
        <v>-68798.680479999981</v>
      </c>
      <c r="AM27" s="68">
        <f>'IS (US$)'!AM19+'IS (US$)'!AM30</f>
        <v>-95812.880680000017</v>
      </c>
      <c r="AN27" s="68">
        <f>'IS (US$)'!AN19+'IS (US$)'!AN30</f>
        <v>-162207.57248999999</v>
      </c>
      <c r="AO27" s="68">
        <f>'IS (US$)'!AO19+'IS (US$)'!AO30</f>
        <v>-65356.231390000146</v>
      </c>
      <c r="AP27" s="68">
        <f>'IS (US$)'!AP19+'IS (US$)'!AP30</f>
        <v>-122891.34732999999</v>
      </c>
      <c r="AQ27" s="68">
        <f>'IS (US$)'!AQ19+'IS (US$)'!AQ30</f>
        <v>-129555.54612000001</v>
      </c>
      <c r="AR27" s="68">
        <f>'IS (US$)'!AR19+'IS (US$)'!AR30</f>
        <v>-111374</v>
      </c>
      <c r="AS27" s="68">
        <f>'IS (US$)'!AS19+'IS (US$)'!AS30</f>
        <v>-135246.10655</v>
      </c>
      <c r="AT27" s="68">
        <f>'IS (US$)'!AT19+'IS (US$)'!AT30</f>
        <v>-265521</v>
      </c>
      <c r="AU27" s="68">
        <f>'IS (US$)'!AU19+'IS (US$)'!AU30</f>
        <v>-223516</v>
      </c>
      <c r="AV27" s="68">
        <f>'IS (US$)'!AV19+'IS (US$)'!AV30</f>
        <v>-213388</v>
      </c>
      <c r="AW27" s="68">
        <f>'IS (US$)'!AW19+'IS (US$)'!AW30</f>
        <v>-331021</v>
      </c>
      <c r="AX27" s="68">
        <f>'IS (US$)'!AX19+'IS (US$)'!AX30</f>
        <v>-381648</v>
      </c>
      <c r="AY27" s="68">
        <f>'IS (US$)'!AY19+'IS (US$)'!AY30</f>
        <v>-315521</v>
      </c>
      <c r="AZ27" s="74"/>
      <c r="BA27" s="42">
        <f>SUM(B27:E27)</f>
        <v>-72600.465971281985</v>
      </c>
      <c r="BB27" s="42">
        <f>SUM(F27:I27)</f>
        <v>-21651.751244242187</v>
      </c>
      <c r="BC27" s="42">
        <f>SUM(J27:M27)</f>
        <v>-20260.579549127408</v>
      </c>
      <c r="BD27" s="42">
        <f>SUM(N27:Q27)</f>
        <v>-27931.263448230318</v>
      </c>
      <c r="BE27" s="42">
        <f>SUM(R27:U27)</f>
        <v>-19925.993011889688</v>
      </c>
      <c r="BF27" s="42">
        <f>SUM(V27:Y27)</f>
        <v>-126180.24398150263</v>
      </c>
      <c r="BG27" s="68">
        <f>SUM(Z27:AC27)</f>
        <v>-161706.94566807794</v>
      </c>
      <c r="BH27" s="68">
        <f>SUM(AD27:AG27)</f>
        <v>-161129.6865345288</v>
      </c>
      <c r="BI27" s="68">
        <f>SUM(AH27:AK27)</f>
        <v>-146707.90078479549</v>
      </c>
      <c r="BJ27" s="68">
        <f>SUM(AL27:AO27)</f>
        <v>-392175.36504000012</v>
      </c>
      <c r="BK27" s="68">
        <f>SUM(AP27:AS27)</f>
        <v>-499067</v>
      </c>
      <c r="BL27" s="68">
        <f>SUM(AT27:AW27)</f>
        <v>-1033446</v>
      </c>
    </row>
    <row r="28" spans="1:64" s="8" customFormat="1" ht="19.5" customHeight="1">
      <c r="A28" s="9" t="s">
        <v>85</v>
      </c>
      <c r="B28" s="42">
        <f t="shared" ref="B28:Z28" si="51">B25+B27</f>
        <v>4381.2512797184991</v>
      </c>
      <c r="C28" s="42">
        <f t="shared" si="51"/>
        <v>4880.7351890737409</v>
      </c>
      <c r="D28" s="42">
        <f t="shared" si="51"/>
        <v>-201.11910644786076</v>
      </c>
      <c r="E28" s="42">
        <f t="shared" si="51"/>
        <v>-67068.627417392621</v>
      </c>
      <c r="F28" s="42">
        <f t="shared" si="51"/>
        <v>-13319.175157304497</v>
      </c>
      <c r="G28" s="42">
        <f t="shared" si="51"/>
        <v>-2040.5750224077965</v>
      </c>
      <c r="H28" s="42">
        <f t="shared" si="51"/>
        <v>-8973.6344097934834</v>
      </c>
      <c r="I28" s="42">
        <f t="shared" si="51"/>
        <v>41722.431136564206</v>
      </c>
      <c r="J28" s="42">
        <f t="shared" si="51"/>
        <v>-10986.885721020795</v>
      </c>
      <c r="K28" s="42">
        <f t="shared" si="51"/>
        <v>-4420.4517249937971</v>
      </c>
      <c r="L28" s="42">
        <f t="shared" si="51"/>
        <v>-4962.1210883470867</v>
      </c>
      <c r="M28" s="42">
        <f t="shared" si="51"/>
        <v>101246.66206116354</v>
      </c>
      <c r="N28" s="42">
        <f t="shared" si="51"/>
        <v>-3906.7236002795189</v>
      </c>
      <c r="O28" s="42">
        <f t="shared" si="51"/>
        <v>12030.201093428483</v>
      </c>
      <c r="P28" s="42">
        <f t="shared" si="51"/>
        <v>-160.02639048775291</v>
      </c>
      <c r="Q28" s="42">
        <f t="shared" si="51"/>
        <v>5018.759966958567</v>
      </c>
      <c r="R28" s="42">
        <f t="shared" si="51"/>
        <v>-280.93868020430364</v>
      </c>
      <c r="S28" s="42">
        <f t="shared" si="51"/>
        <v>17542.959596601173</v>
      </c>
      <c r="T28" s="42">
        <f t="shared" si="51"/>
        <v>18072.674466163957</v>
      </c>
      <c r="U28" s="42">
        <f t="shared" si="51"/>
        <v>13862.132211910175</v>
      </c>
      <c r="V28" s="42">
        <f t="shared" si="51"/>
        <v>5837.6801546629958</v>
      </c>
      <c r="W28" s="42">
        <f t="shared" si="51"/>
        <v>54103.979596361765</v>
      </c>
      <c r="X28" s="42">
        <f t="shared" si="51"/>
        <v>26549.984840822501</v>
      </c>
      <c r="Y28" s="42">
        <f t="shared" si="51"/>
        <v>130855.83897032343</v>
      </c>
      <c r="Z28" s="42">
        <f t="shared" si="51"/>
        <v>11405.32018774543</v>
      </c>
      <c r="AA28" s="42">
        <f>AA25+AA27</f>
        <v>18954.040383855347</v>
      </c>
      <c r="AB28" s="42">
        <f>AB25+AB27</f>
        <v>-34916.562230829455</v>
      </c>
      <c r="AC28" s="42">
        <f t="shared" ref="AC28:AH28" si="52">AC25+AC27</f>
        <v>88534.608527189761</v>
      </c>
      <c r="AD28" s="42">
        <f t="shared" si="52"/>
        <v>57839.000603682129</v>
      </c>
      <c r="AE28" s="42">
        <f t="shared" si="52"/>
        <v>79564.572310251941</v>
      </c>
      <c r="AF28" s="42">
        <f t="shared" si="52"/>
        <v>82535.210719598806</v>
      </c>
      <c r="AG28" s="42">
        <f t="shared" si="52"/>
        <v>170360.6810122476</v>
      </c>
      <c r="AH28" s="42">
        <f t="shared" si="52"/>
        <v>195555</v>
      </c>
      <c r="AI28" s="42">
        <f t="shared" ref="AI28:AQ28" si="53">AI25+AI27</f>
        <v>219673.70758437132</v>
      </c>
      <c r="AJ28" s="42">
        <f t="shared" si="53"/>
        <v>245724.7942260337</v>
      </c>
      <c r="AK28" s="42">
        <f t="shared" si="53"/>
        <v>144965.81736523734</v>
      </c>
      <c r="AL28" s="42">
        <f t="shared" si="53"/>
        <v>292915.68785723939</v>
      </c>
      <c r="AM28" s="42">
        <f t="shared" si="53"/>
        <v>245394.54467201838</v>
      </c>
      <c r="AN28" s="42">
        <f t="shared" si="53"/>
        <v>466957.77639879397</v>
      </c>
      <c r="AO28" s="42">
        <f t="shared" si="53"/>
        <v>455692.85069633822</v>
      </c>
      <c r="AP28" s="42">
        <f t="shared" si="53"/>
        <v>354357.34342456493</v>
      </c>
      <c r="AQ28" s="42">
        <f t="shared" si="53"/>
        <v>469337.48251000006</v>
      </c>
      <c r="AR28" s="42">
        <f t="shared" ref="AR28:AS28" si="54">AR25+AR27</f>
        <v>223739</v>
      </c>
      <c r="AS28" s="42">
        <f t="shared" si="54"/>
        <v>178116.17406543522</v>
      </c>
      <c r="AT28" s="42">
        <f t="shared" ref="AT28:AU28" si="55">AT25+AT27</f>
        <v>179422</v>
      </c>
      <c r="AU28" s="42">
        <f t="shared" si="55"/>
        <v>14245</v>
      </c>
      <c r="AV28" s="42">
        <f t="shared" ref="AV28:AW28" si="56">AV25+AV27</f>
        <v>110499</v>
      </c>
      <c r="AW28" s="42">
        <f t="shared" si="56"/>
        <v>11708</v>
      </c>
      <c r="AX28" s="42">
        <f t="shared" ref="AX28:AY28" si="57">AX25+AX27</f>
        <v>466387</v>
      </c>
      <c r="AY28" s="42">
        <f t="shared" si="57"/>
        <v>554391</v>
      </c>
      <c r="AZ28" s="67"/>
      <c r="BA28" s="42">
        <f t="shared" ref="BA28:BF28" si="58">BA25+BA27</f>
        <v>-58007.760055048246</v>
      </c>
      <c r="BB28" s="42">
        <f t="shared" si="58"/>
        <v>17389.046547058424</v>
      </c>
      <c r="BC28" s="42">
        <f t="shared" si="58"/>
        <v>80877.203526801852</v>
      </c>
      <c r="BD28" s="42">
        <f t="shared" si="58"/>
        <v>12982.211069619741</v>
      </c>
      <c r="BE28" s="42">
        <f t="shared" si="58"/>
        <v>49196.827594471019</v>
      </c>
      <c r="BF28" s="42">
        <f t="shared" si="58"/>
        <v>217347.48356217073</v>
      </c>
      <c r="BG28" s="42">
        <f>BG25+BG27</f>
        <v>83977.406867961108</v>
      </c>
      <c r="BH28" s="42">
        <f>SUM(AD28:AG28)</f>
        <v>390299.46464578051</v>
      </c>
      <c r="BI28" s="42">
        <f>SUM(AH28:AK28)</f>
        <v>805919.31917564245</v>
      </c>
      <c r="BJ28" s="68">
        <f>SUM(AL28:AO28)</f>
        <v>1460960.85962439</v>
      </c>
      <c r="BK28" s="68">
        <f>SUM(AP28:AS28)</f>
        <v>1225550.0000000002</v>
      </c>
      <c r="BL28" s="68">
        <f>SUM(AT28:AW28)</f>
        <v>315874</v>
      </c>
    </row>
    <row r="29" spans="1:64" s="139" customFormat="1" ht="19.5" customHeight="1" thickBot="1">
      <c r="A29" s="137" t="s">
        <v>86</v>
      </c>
      <c r="B29" s="144">
        <f t="shared" ref="B29:Z29" si="59">B28/B7</f>
        <v>7.2250629435531774E-2</v>
      </c>
      <c r="C29" s="144">
        <f t="shared" si="59"/>
        <v>7.9053417149335337E-2</v>
      </c>
      <c r="D29" s="144">
        <f t="shared" si="59"/>
        <v>-3.6105762158066988E-3</v>
      </c>
      <c r="E29" s="144">
        <f t="shared" si="59"/>
        <v>-2.1581152742120748</v>
      </c>
      <c r="F29" s="144">
        <f t="shared" si="59"/>
        <v>-7.8710076241500113</v>
      </c>
      <c r="G29" s="144">
        <f t="shared" si="59"/>
        <v>-6.4726055697876164E-2</v>
      </c>
      <c r="H29" s="144">
        <f t="shared" si="59"/>
        <v>-0.24838781258170961</v>
      </c>
      <c r="I29" s="144">
        <f t="shared" si="59"/>
        <v>6.8370536583038835</v>
      </c>
      <c r="J29" s="144">
        <f t="shared" si="59"/>
        <v>-1.0312944180780075</v>
      </c>
      <c r="K29" s="144">
        <f t="shared" si="59"/>
        <v>-0.14974705216625889</v>
      </c>
      <c r="L29" s="144">
        <f t="shared" si="59"/>
        <v>-0.11566912282213689</v>
      </c>
      <c r="M29" s="144">
        <f t="shared" si="59"/>
        <v>2.9319582553038099</v>
      </c>
      <c r="N29" s="144">
        <f t="shared" si="59"/>
        <v>-0.16419292889191497</v>
      </c>
      <c r="O29" s="144">
        <f t="shared" si="59"/>
        <v>0.24876050595793131</v>
      </c>
      <c r="P29" s="144">
        <f t="shared" si="59"/>
        <v>-4.5994146199576239E-3</v>
      </c>
      <c r="Q29" s="144">
        <f t="shared" si="59"/>
        <v>8.424203736695457E-2</v>
      </c>
      <c r="R29" s="144">
        <f t="shared" si="59"/>
        <v>-7.784558917673364E-3</v>
      </c>
      <c r="S29" s="144">
        <f t="shared" si="59"/>
        <v>0.26445980660387219</v>
      </c>
      <c r="T29" s="144">
        <f t="shared" si="59"/>
        <v>0.3177623348929558</v>
      </c>
      <c r="U29" s="144">
        <f t="shared" si="59"/>
        <v>0.19734586322941128</v>
      </c>
      <c r="V29" s="144">
        <f t="shared" si="59"/>
        <v>0.15816388378010943</v>
      </c>
      <c r="W29" s="144">
        <f t="shared" si="59"/>
        <v>0.3868829494028998</v>
      </c>
      <c r="X29" s="144">
        <f t="shared" si="59"/>
        <v>0.26427702659893798</v>
      </c>
      <c r="Y29" s="144">
        <f t="shared" si="59"/>
        <v>0.96541921678010467</v>
      </c>
      <c r="Z29" s="144">
        <f t="shared" si="59"/>
        <v>0.2281297454865599</v>
      </c>
      <c r="AA29" s="144">
        <f>AA28/AA7</f>
        <v>0.32626836938184184</v>
      </c>
      <c r="AB29" s="144">
        <f>AB28/AB7</f>
        <v>-0.38430381585919571</v>
      </c>
      <c r="AC29" s="144">
        <f t="shared" ref="AC29:AH29" si="60">AC28/AC7</f>
        <v>0.54323344668734075</v>
      </c>
      <c r="AD29" s="144">
        <f t="shared" si="60"/>
        <v>0.48337641569031981</v>
      </c>
      <c r="AE29" s="144">
        <f t="shared" si="60"/>
        <v>0.41201090691869757</v>
      </c>
      <c r="AF29" s="144">
        <f t="shared" si="60"/>
        <v>0.45952181458400015</v>
      </c>
      <c r="AG29" s="144">
        <f t="shared" si="60"/>
        <v>0.5350696267004923</v>
      </c>
      <c r="AH29" s="144">
        <f t="shared" si="60"/>
        <v>0.63148258179516659</v>
      </c>
      <c r="AI29" s="144">
        <f t="shared" ref="AI29:AQ29" si="61">AI28/AI7</f>
        <v>0.58216879551311096</v>
      </c>
      <c r="AJ29" s="144">
        <f t="shared" si="61"/>
        <v>0.64979995526860446</v>
      </c>
      <c r="AK29" s="144">
        <f t="shared" si="61"/>
        <v>0.78575607771749734</v>
      </c>
      <c r="AL29" s="144">
        <f t="shared" si="61"/>
        <v>0.53927471133546534</v>
      </c>
      <c r="AM29" s="144">
        <f t="shared" si="61"/>
        <v>0.50611953257830833</v>
      </c>
      <c r="AN29" s="144">
        <f t="shared" si="61"/>
        <v>0.56663444089698212</v>
      </c>
      <c r="AO29" s="144">
        <f t="shared" si="61"/>
        <v>0.6641481216824594</v>
      </c>
      <c r="AP29" s="144">
        <f t="shared" si="61"/>
        <v>0.55422630589382105</v>
      </c>
      <c r="AQ29" s="144">
        <f t="shared" si="61"/>
        <v>0.6450842301803289</v>
      </c>
      <c r="AR29" s="144">
        <f t="shared" ref="AR29:AS29" si="62">AR28/AR7</f>
        <v>0.46627154072027127</v>
      </c>
      <c r="AS29" s="144">
        <f t="shared" si="62"/>
        <v>0.33830426131918584</v>
      </c>
      <c r="AT29" s="144">
        <f t="shared" ref="AT29:AU29" si="63">AT28/AT7</f>
        <v>0.24807091137598875</v>
      </c>
      <c r="AU29" s="144">
        <f t="shared" si="63"/>
        <v>2.7429572718695241E-2</v>
      </c>
      <c r="AV29" s="144">
        <f t="shared" ref="AV29:AW29" si="64">AV28/AV7</f>
        <v>0.19055264215269527</v>
      </c>
      <c r="AW29" s="144">
        <f t="shared" si="64"/>
        <v>1.8084227273078318E-2</v>
      </c>
      <c r="AX29" s="144">
        <f t="shared" ref="AX29:AY29" si="65">AX28/AX7</f>
        <v>0.38556488814669071</v>
      </c>
      <c r="AY29" s="144">
        <f t="shared" si="65"/>
        <v>0.41771788515585562</v>
      </c>
      <c r="AZ29" s="70"/>
      <c r="BA29" s="144">
        <f t="shared" ref="BA29:BF29" si="66">BA28/BA7</f>
        <v>-0.2773374128335378</v>
      </c>
      <c r="BB29" s="144">
        <f t="shared" si="66"/>
        <v>0.23047593410572076</v>
      </c>
      <c r="BC29" s="144">
        <f t="shared" si="66"/>
        <v>0.68770608889659912</v>
      </c>
      <c r="BD29" s="144">
        <f t="shared" si="66"/>
        <v>7.7960784375433675E-2</v>
      </c>
      <c r="BE29" s="144">
        <f t="shared" si="66"/>
        <v>0.21432609492751897</v>
      </c>
      <c r="BF29" s="144">
        <f t="shared" si="66"/>
        <v>0.52657026347070535</v>
      </c>
      <c r="BG29" s="144">
        <f t="shared" ref="BG29:BL29" si="67">BG28/BG7</f>
        <v>0.23203175350194999</v>
      </c>
      <c r="BH29" s="144">
        <f t="shared" si="67"/>
        <v>0.4813936649826428</v>
      </c>
      <c r="BI29" s="144">
        <f t="shared" si="67"/>
        <v>0.64491115094634732</v>
      </c>
      <c r="BJ29" s="144">
        <f t="shared" si="67"/>
        <v>0.57557975252863247</v>
      </c>
      <c r="BK29" s="144">
        <f t="shared" si="67"/>
        <v>0.51639568411104153</v>
      </c>
      <c r="BL29" s="144">
        <f t="shared" si="67"/>
        <v>0.12788933645518585</v>
      </c>
    </row>
    <row r="30" spans="1:64" s="8" customFormat="1" ht="18.75" customHeight="1" thickBot="1">
      <c r="A30" s="145" t="s">
        <v>72</v>
      </c>
      <c r="B30" s="133">
        <f>'IS (US$)'!B34</f>
        <v>-3008.6442984259893</v>
      </c>
      <c r="C30" s="133">
        <f>'IS (US$)'!C34</f>
        <v>-734.48913297079991</v>
      </c>
      <c r="D30" s="133">
        <f>'IS (US$)'!D34</f>
        <v>9173.5968224638982</v>
      </c>
      <c r="E30" s="133">
        <f>'IS (US$)'!E34</f>
        <v>1064.1953633941473</v>
      </c>
      <c r="F30" s="133">
        <f>'IS (US$)'!F34</f>
        <v>-5510.6614007550197</v>
      </c>
      <c r="G30" s="133">
        <f>'IS (US$)'!G34</f>
        <v>-3949.2584259079736</v>
      </c>
      <c r="H30" s="133">
        <f>'IS (US$)'!H34</f>
        <v>8220.2551911238024</v>
      </c>
      <c r="I30" s="133">
        <f>'IS (US$)'!I34</f>
        <v>4033.1722653072075</v>
      </c>
      <c r="J30" s="133">
        <f>'IS (US$)'!J34</f>
        <v>-5702.6166565913145</v>
      </c>
      <c r="K30" s="133">
        <f>'IS (US$)'!K34</f>
        <v>-10244.334767624983</v>
      </c>
      <c r="L30" s="133">
        <f>'IS (US$)'!L34</f>
        <v>33888.212280619024</v>
      </c>
      <c r="M30" s="133">
        <f>'IS (US$)'!M34</f>
        <v>-19453.39310211466</v>
      </c>
      <c r="N30" s="133">
        <f>'IS (US$)'!N34</f>
        <v>6872.7652732332053</v>
      </c>
      <c r="O30" s="133">
        <f>'IS (US$)'!O34</f>
        <v>3325.0674721057089</v>
      </c>
      <c r="P30" s="133">
        <f>'IS (US$)'!P34</f>
        <v>4498.4493642247362</v>
      </c>
      <c r="Q30" s="133">
        <f>'IS (US$)'!Q34</f>
        <v>-18552.201669915667</v>
      </c>
      <c r="R30" s="133">
        <f>'IS (US$)'!R34</f>
        <v>-8581.8757585652384</v>
      </c>
      <c r="S30" s="133">
        <f>'IS (US$)'!S34</f>
        <v>3704.0463078256344</v>
      </c>
      <c r="T30" s="133">
        <f>'IS (US$)'!T34</f>
        <v>6847.4517114928713</v>
      </c>
      <c r="U30" s="133">
        <f>'IS (US$)'!U34</f>
        <v>10052.905593984451</v>
      </c>
      <c r="V30" s="133">
        <f>'IS (US$)'!V34</f>
        <v>-37192.053549482524</v>
      </c>
      <c r="W30" s="133">
        <f>'IS (US$)'!W34</f>
        <v>-2972.7570389248031</v>
      </c>
      <c r="X30" s="133">
        <f>'IS (US$)'!X34</f>
        <v>-42516.240825535038</v>
      </c>
      <c r="Y30" s="133">
        <f>'IS (US$)'!Y34</f>
        <v>-4028.1848084130761</v>
      </c>
      <c r="Z30" s="133">
        <f>'IS (US$)'!Z34</f>
        <v>-23183.221008632157</v>
      </c>
      <c r="AA30" s="133">
        <f>'IS (US$)'!AA34</f>
        <v>-41788.770345846846</v>
      </c>
      <c r="AB30" s="133">
        <f>'IS (US$)'!AB34</f>
        <v>-33870.632581854814</v>
      </c>
      <c r="AC30" s="133">
        <f>'IS (US$)'!AC34</f>
        <v>9563.3157660115394</v>
      </c>
      <c r="AD30" s="133">
        <f>'IS (US$)'!AD34</f>
        <v>-66105.627115156749</v>
      </c>
      <c r="AE30" s="133">
        <f>'IS (US$)'!AE34</f>
        <v>26511.643510934202</v>
      </c>
      <c r="AF30" s="133">
        <f>'IS (US$)'!AF34</f>
        <v>-50528.543804928151</v>
      </c>
      <c r="AG30" s="133">
        <f>'IS (US$)'!AG34</f>
        <v>-24418.933472464592</v>
      </c>
      <c r="AH30" s="133">
        <f>'IS (US$)'!AH34</f>
        <v>-6722</v>
      </c>
      <c r="AI30" s="133">
        <f>'IS (US$)'!AI34</f>
        <v>-36124.2576573814</v>
      </c>
      <c r="AJ30" s="133">
        <f>'IS (US$)'!AJ34</f>
        <v>-5184.4700674375345</v>
      </c>
      <c r="AK30" s="133">
        <f>'IS (US$)'!AK34</f>
        <v>4024.208397577022</v>
      </c>
      <c r="AL30" s="133">
        <f>'IS (US$)'!AL34</f>
        <v>-52129.656626289332</v>
      </c>
      <c r="AM30" s="133">
        <f>'IS (US$)'!AM34</f>
        <v>-69672.366762386722</v>
      </c>
      <c r="AN30" s="133">
        <f>'IS (US$)'!AN34</f>
        <v>-23091.131017239881</v>
      </c>
      <c r="AO30" s="133">
        <f>'IS (US$)'!AO34</f>
        <v>-67810.845594084065</v>
      </c>
      <c r="AP30" s="133">
        <f>'IS (US$)'!AP34</f>
        <v>-40549.386077401025</v>
      </c>
      <c r="AQ30" s="133">
        <f>'IS (US$)'!AQ34</f>
        <v>-13062</v>
      </c>
      <c r="AR30" s="133">
        <f>'IS (US$)'!AR34</f>
        <v>-38822</v>
      </c>
      <c r="AS30" s="133">
        <f>'IS (US$)'!AS34</f>
        <v>-5028.9425906070974</v>
      </c>
      <c r="AT30" s="133">
        <f>'IS (US$)'!AT34</f>
        <v>-80973</v>
      </c>
      <c r="AU30" s="133">
        <f>'IS (US$)'!AU34</f>
        <v>-88937</v>
      </c>
      <c r="AV30" s="133">
        <f>'IS (US$)'!AV34</f>
        <v>-139267</v>
      </c>
      <c r="AW30" s="133">
        <f>'IS (US$)'!AW34</f>
        <v>-55030</v>
      </c>
      <c r="AX30" s="133">
        <f>'IS (US$)'!AX34</f>
        <v>-140860</v>
      </c>
      <c r="AY30" s="133">
        <f>'IS (US$)'!AY34</f>
        <v>-132721</v>
      </c>
      <c r="AZ30" s="67"/>
      <c r="BA30" s="129">
        <f>SUM(B30:E30)</f>
        <v>6494.6587544612566</v>
      </c>
      <c r="BB30" s="129">
        <f>SUM(F30:I30)</f>
        <v>2793.5076297680162</v>
      </c>
      <c r="BC30" s="129">
        <f>SUM(J30:M30)</f>
        <v>-1512.132245711935</v>
      </c>
      <c r="BD30" s="129">
        <f>SUM(N30:Q30)</f>
        <v>-3855.9195603520166</v>
      </c>
      <c r="BE30" s="129">
        <f>SUM(R30:U30)</f>
        <v>12022.527854737718</v>
      </c>
      <c r="BF30" s="129">
        <f>SUM(V30:Y30)</f>
        <v>-86709.236222355437</v>
      </c>
      <c r="BG30" s="133">
        <f>SUM(Z30:AC30)</f>
        <v>-89279.308170322271</v>
      </c>
      <c r="BH30" s="129">
        <f>SUM(AD30:AG30)</f>
        <v>-114541.46088161529</v>
      </c>
      <c r="BI30" s="129">
        <f>SUM(AH30:AK30)</f>
        <v>-44006.519327241913</v>
      </c>
      <c r="BJ30" s="129">
        <f>SUM(AL30:AO30)</f>
        <v>-212704</v>
      </c>
      <c r="BK30" s="129">
        <f>SUM(AP30:AS30)</f>
        <v>-97462.328668008122</v>
      </c>
      <c r="BL30" s="129">
        <f>SUM(AT30:AW30)</f>
        <v>-364207</v>
      </c>
    </row>
    <row r="31" spans="1:64" s="8" customFormat="1" ht="19.5" customHeight="1" thickBot="1">
      <c r="A31" s="131" t="s">
        <v>87</v>
      </c>
      <c r="B31" s="132">
        <f t="shared" ref="B31:Z31" si="68">B28+B30</f>
        <v>1372.6069812925098</v>
      </c>
      <c r="C31" s="132">
        <f t="shared" si="68"/>
        <v>4146.2460561029411</v>
      </c>
      <c r="D31" s="132">
        <f t="shared" si="68"/>
        <v>8972.4777160160374</v>
      </c>
      <c r="E31" s="132">
        <f t="shared" si="68"/>
        <v>-66004.432053998476</v>
      </c>
      <c r="F31" s="132">
        <f t="shared" si="68"/>
        <v>-18829.836558059516</v>
      </c>
      <c r="G31" s="132">
        <f t="shared" si="68"/>
        <v>-5989.8334483157705</v>
      </c>
      <c r="H31" s="132">
        <f t="shared" si="68"/>
        <v>-753.37921866968099</v>
      </c>
      <c r="I31" s="132">
        <f t="shared" si="68"/>
        <v>45755.603401871413</v>
      </c>
      <c r="J31" s="132">
        <f t="shared" si="68"/>
        <v>-16689.502377612109</v>
      </c>
      <c r="K31" s="132">
        <f t="shared" si="68"/>
        <v>-14664.786492618779</v>
      </c>
      <c r="L31" s="132">
        <f t="shared" si="68"/>
        <v>28926.091192271939</v>
      </c>
      <c r="M31" s="132">
        <f t="shared" si="68"/>
        <v>81793.268959048888</v>
      </c>
      <c r="N31" s="132">
        <f t="shared" si="68"/>
        <v>2966.0416729536864</v>
      </c>
      <c r="O31" s="132">
        <f t="shared" si="68"/>
        <v>15355.268565534192</v>
      </c>
      <c r="P31" s="132">
        <f t="shared" si="68"/>
        <v>4338.4229737369833</v>
      </c>
      <c r="Q31" s="132">
        <f t="shared" si="68"/>
        <v>-13533.4417029571</v>
      </c>
      <c r="R31" s="132">
        <f t="shared" si="68"/>
        <v>-8862.8144387695429</v>
      </c>
      <c r="S31" s="132">
        <f t="shared" si="68"/>
        <v>21247.005904426806</v>
      </c>
      <c r="T31" s="132">
        <f t="shared" si="68"/>
        <v>24920.126177656828</v>
      </c>
      <c r="U31" s="132">
        <f t="shared" si="68"/>
        <v>23915.037805894626</v>
      </c>
      <c r="V31" s="132">
        <f t="shared" si="68"/>
        <v>-31354.373394819529</v>
      </c>
      <c r="W31" s="132">
        <f t="shared" si="68"/>
        <v>51131.222557436966</v>
      </c>
      <c r="X31" s="132">
        <f t="shared" si="68"/>
        <v>-15966.255984712538</v>
      </c>
      <c r="Y31" s="132">
        <f t="shared" si="68"/>
        <v>126827.65416191035</v>
      </c>
      <c r="Z31" s="132">
        <f t="shared" si="68"/>
        <v>-11777.900820886727</v>
      </c>
      <c r="AA31" s="132">
        <f>AA28+AA30</f>
        <v>-22834.729961991499</v>
      </c>
      <c r="AB31" s="132">
        <f>AB28+AB30</f>
        <v>-68787.194812684262</v>
      </c>
      <c r="AC31" s="132">
        <f t="shared" ref="AC31:AH31" si="69">AC28+AC30</f>
        <v>98097.9242932013</v>
      </c>
      <c r="AD31" s="132">
        <f t="shared" si="69"/>
        <v>-8266.6265114746202</v>
      </c>
      <c r="AE31" s="132">
        <f t="shared" si="69"/>
        <v>106076.21582118614</v>
      </c>
      <c r="AF31" s="132">
        <f t="shared" si="69"/>
        <v>32006.666914670655</v>
      </c>
      <c r="AG31" s="132">
        <f t="shared" si="69"/>
        <v>145941.74753978301</v>
      </c>
      <c r="AH31" s="132">
        <f t="shared" si="69"/>
        <v>188833</v>
      </c>
      <c r="AI31" s="132">
        <f t="shared" ref="AI31:AQ31" si="70">AI28+AI30</f>
        <v>183549.44992698991</v>
      </c>
      <c r="AJ31" s="132">
        <f t="shared" si="70"/>
        <v>240540.32415859617</v>
      </c>
      <c r="AK31" s="132">
        <f t="shared" si="70"/>
        <v>148990.02576281436</v>
      </c>
      <c r="AL31" s="132">
        <f t="shared" si="70"/>
        <v>240786.03123095006</v>
      </c>
      <c r="AM31" s="132">
        <f t="shared" si="70"/>
        <v>175722.17790963166</v>
      </c>
      <c r="AN31" s="132">
        <f t="shared" si="70"/>
        <v>443866.64538155409</v>
      </c>
      <c r="AO31" s="132">
        <f t="shared" si="70"/>
        <v>387882.00510225416</v>
      </c>
      <c r="AP31" s="132">
        <f t="shared" si="70"/>
        <v>313807.95734716393</v>
      </c>
      <c r="AQ31" s="132">
        <f t="shared" si="70"/>
        <v>456275.48251000006</v>
      </c>
      <c r="AR31" s="132">
        <f t="shared" ref="AR31:AS31" si="71">AR28+AR30</f>
        <v>184917</v>
      </c>
      <c r="AS31" s="132">
        <f t="shared" si="71"/>
        <v>173087.23147482812</v>
      </c>
      <c r="AT31" s="132">
        <f t="shared" ref="AT31:AU31" si="72">AT28+AT30</f>
        <v>98449</v>
      </c>
      <c r="AU31" s="132">
        <f t="shared" si="72"/>
        <v>-74692</v>
      </c>
      <c r="AV31" s="132">
        <f t="shared" ref="AV31:AW31" si="73">AV28+AV30</f>
        <v>-28768</v>
      </c>
      <c r="AW31" s="132">
        <f t="shared" si="73"/>
        <v>-43322</v>
      </c>
      <c r="AX31" s="132">
        <f t="shared" ref="AX31:AY31" si="74">AX28+AX30</f>
        <v>325527</v>
      </c>
      <c r="AY31" s="132">
        <f t="shared" si="74"/>
        <v>421670</v>
      </c>
      <c r="AZ31" s="67"/>
      <c r="BA31" s="132">
        <f t="shared" ref="BA31:BE31" si="75">+BA28+BA30</f>
        <v>-51513.10130058699</v>
      </c>
      <c r="BB31" s="132">
        <f t="shared" si="75"/>
        <v>20182.554176826441</v>
      </c>
      <c r="BC31" s="132">
        <f t="shared" si="75"/>
        <v>79365.071281089913</v>
      </c>
      <c r="BD31" s="132">
        <f t="shared" si="75"/>
        <v>9126.2915092677249</v>
      </c>
      <c r="BE31" s="132">
        <f t="shared" si="75"/>
        <v>61219.355449208735</v>
      </c>
      <c r="BF31" s="132">
        <f>SUM(V31:Y31)</f>
        <v>130638.24733981525</v>
      </c>
      <c r="BG31" s="132">
        <f>BG28+BG30</f>
        <v>-5301.9013023611624</v>
      </c>
      <c r="BH31" s="132">
        <f>SUM(AD31:AG31)</f>
        <v>275758.00376416522</v>
      </c>
      <c r="BI31" s="132">
        <f>SUM(AH31:AK31)</f>
        <v>761912.79984840041</v>
      </c>
      <c r="BJ31" s="132">
        <f>SUM(AL31:AO31)</f>
        <v>1248256.85962439</v>
      </c>
      <c r="BK31" s="132">
        <f>SUM(AP31:AS31)</f>
        <v>1128087.6713319921</v>
      </c>
      <c r="BL31" s="132">
        <f>SUM(AT31:AW31)</f>
        <v>-48333</v>
      </c>
    </row>
    <row r="32" spans="1:64" s="8" customFormat="1" ht="19.5" customHeight="1">
      <c r="A32" s="9" t="s">
        <v>76</v>
      </c>
      <c r="B32" s="128">
        <f>'IS (US$)'!B39</f>
        <v>-653.7771365777993</v>
      </c>
      <c r="C32" s="128">
        <f>'IS (US$)'!C39</f>
        <v>225.23735171126546</v>
      </c>
      <c r="D32" s="128">
        <f>'IS (US$)'!D39</f>
        <v>-1786.6246938464217</v>
      </c>
      <c r="E32" s="128">
        <f>'IS (US$)'!E39</f>
        <v>4171.2692570340441</v>
      </c>
      <c r="F32" s="128">
        <f>'IS (US$)'!F39</f>
        <v>161.4424341020991</v>
      </c>
      <c r="G32" s="128">
        <f>'IS (US$)'!G39</f>
        <v>702.77065087073538</v>
      </c>
      <c r="H32" s="128">
        <f>'IS (US$)'!H39</f>
        <v>759.59212889021433</v>
      </c>
      <c r="I32" s="128">
        <f>'IS (US$)'!I39</f>
        <v>56.164348482132475</v>
      </c>
      <c r="J32" s="128">
        <f>'IS (US$)'!J39</f>
        <v>-92.395787225927052</v>
      </c>
      <c r="K32" s="128">
        <f>'IS (US$)'!K39</f>
        <v>95.941591602474972</v>
      </c>
      <c r="L32" s="128">
        <f>'IS (US$)'!L39</f>
        <v>-6906.4863055679098</v>
      </c>
      <c r="M32" s="128">
        <f>'IS (US$)'!M39</f>
        <v>3373.6945430392684</v>
      </c>
      <c r="N32" s="128">
        <f>'IS (US$)'!N39</f>
        <v>-1687.4337704176196</v>
      </c>
      <c r="O32" s="128">
        <f>'IS (US$)'!O39</f>
        <v>-705.93931553310506</v>
      </c>
      <c r="P32" s="128">
        <f>'IS (US$)'!P39</f>
        <v>842.51048272600519</v>
      </c>
      <c r="Q32" s="128">
        <f>'IS (US$)'!Q39</f>
        <v>2185.59846850233</v>
      </c>
      <c r="R32" s="128">
        <f>'IS (US$)'!R39</f>
        <v>97.342788316400998</v>
      </c>
      <c r="S32" s="128">
        <f>'IS (US$)'!S39</f>
        <v>-90.329076627106275</v>
      </c>
      <c r="T32" s="128">
        <f>'IS (US$)'!T39</f>
        <v>-6520.8279610186146</v>
      </c>
      <c r="U32" s="128">
        <f>'IS (US$)'!U39</f>
        <v>-1423.3111372854255</v>
      </c>
      <c r="V32" s="128">
        <f>'IS (US$)'!V39</f>
        <v>-1263.5490419500125</v>
      </c>
      <c r="W32" s="128">
        <f>'IS (US$)'!W39</f>
        <v>-9102.8866794016503</v>
      </c>
      <c r="X32" s="128">
        <f>'IS (US$)'!X39</f>
        <v>-181.54296031101572</v>
      </c>
      <c r="Y32" s="128">
        <f>'IS (US$)'!Y39</f>
        <v>83199.857632002968</v>
      </c>
      <c r="Z32" s="128">
        <f>'IS (US$)'!Z39</f>
        <v>-1991.5158562943514</v>
      </c>
      <c r="AA32" s="128">
        <f>'IS (US$)'!AA39</f>
        <v>4269.742666197697</v>
      </c>
      <c r="AB32" s="128">
        <f>'IS (US$)'!AB39</f>
        <v>-6775.0748451160116</v>
      </c>
      <c r="AC32" s="128">
        <f>'IS (US$)'!AC39</f>
        <v>-1627.5992028438586</v>
      </c>
      <c r="AD32" s="128">
        <f>'IS (US$)'!AD39</f>
        <v>-3746.1280441575436</v>
      </c>
      <c r="AE32" s="128">
        <f>'IS (US$)'!AE39</f>
        <v>-26609.517715615973</v>
      </c>
      <c r="AF32" s="128">
        <f>'IS (US$)'!AF39</f>
        <v>-13442.702242004794</v>
      </c>
      <c r="AG32" s="128">
        <f>'IS (US$)'!AG39</f>
        <v>11762.574017201292</v>
      </c>
      <c r="AH32" s="128">
        <f>'IS (US$)'!AH39</f>
        <v>34569</v>
      </c>
      <c r="AI32" s="128">
        <f>'IS (US$)'!AI39</f>
        <v>-42278.718290379889</v>
      </c>
      <c r="AJ32" s="128">
        <f>'IS (US$)'!AJ39</f>
        <v>-85690.59263213852</v>
      </c>
      <c r="AK32" s="128">
        <f>'IS (US$)'!AK39</f>
        <v>47744.664118069006</v>
      </c>
      <c r="AL32" s="128">
        <f>'IS (US$)'!AL39</f>
        <v>-19001.943487076558</v>
      </c>
      <c r="AM32" s="128">
        <f>'IS (US$)'!AM39</f>
        <v>1065.42797373344</v>
      </c>
      <c r="AN32" s="128">
        <f>'IS (US$)'!AN39</f>
        <v>-98628.181194048273</v>
      </c>
      <c r="AO32" s="128">
        <f>'IS (US$)'!AO39</f>
        <v>-72491.511467579665</v>
      </c>
      <c r="AP32" s="128">
        <f>'IS (US$)'!AP39</f>
        <v>-96092.874928527919</v>
      </c>
      <c r="AQ32" s="128">
        <f>'IS (US$)'!AQ39</f>
        <v>-189733.85939835527</v>
      </c>
      <c r="AR32" s="128">
        <f>'IS (US$)'!AR39</f>
        <v>-28341</v>
      </c>
      <c r="AS32" s="128">
        <f>'IS (US$)'!AS39</f>
        <v>908228.81405711221</v>
      </c>
      <c r="AT32" s="128">
        <f>'IS (US$)'!AT39</f>
        <v>254474</v>
      </c>
      <c r="AU32" s="128">
        <f>'IS (US$)'!AU39</f>
        <v>197212</v>
      </c>
      <c r="AV32" s="128">
        <f>'IS (US$)'!AV39</f>
        <v>92764</v>
      </c>
      <c r="AW32" s="128">
        <f>'IS (US$)'!AW39</f>
        <v>-114321</v>
      </c>
      <c r="AX32" s="128">
        <f>'IS (US$)'!AX39</f>
        <v>132895</v>
      </c>
      <c r="AY32" s="128">
        <f>'IS (US$)'!AY39</f>
        <v>-28975</v>
      </c>
      <c r="AZ32" s="67"/>
      <c r="BA32" s="42">
        <f>SUM(B32:E32)</f>
        <v>1956.1047783210888</v>
      </c>
      <c r="BB32" s="42">
        <f>SUM(F32:I32)</f>
        <v>1679.9695623451812</v>
      </c>
      <c r="BC32" s="42">
        <f>SUM(J32:M32)</f>
        <v>-3529.2459581520939</v>
      </c>
      <c r="BD32" s="42">
        <f>SUM(N32:Q32)</f>
        <v>634.73586527761063</v>
      </c>
      <c r="BE32" s="42">
        <f>SUM(R32:U32)</f>
        <v>-7937.1253866147454</v>
      </c>
      <c r="BF32" s="42">
        <f>SUM(V32:Y32)</f>
        <v>72651.878950340295</v>
      </c>
      <c r="BG32" s="128">
        <f>SUM(Z32:AC32)</f>
        <v>-6124.4472380565248</v>
      </c>
      <c r="BH32" s="42">
        <f>SUM(AD32:AG32)</f>
        <v>-32035.773984577023</v>
      </c>
      <c r="BI32" s="42">
        <f>SUM(AH32:AK32)</f>
        <v>-45655.646804449396</v>
      </c>
      <c r="BJ32" s="42">
        <f>SUM(AL32:AO32)</f>
        <v>-189056.20817497105</v>
      </c>
      <c r="BK32" s="42">
        <f>SUM(AP32:AS32)</f>
        <v>594061.07973022899</v>
      </c>
      <c r="BL32" s="42">
        <f>SUM(AT32:AW32)</f>
        <v>430129</v>
      </c>
    </row>
    <row r="33" spans="1:64" s="8" customFormat="1" ht="19.5" customHeight="1">
      <c r="A33" s="134" t="s">
        <v>79</v>
      </c>
      <c r="B33" s="135">
        <f t="shared" ref="B33:AH33" si="76">+B31+B32</f>
        <v>718.82984471471048</v>
      </c>
      <c r="C33" s="135">
        <f t="shared" si="76"/>
        <v>4371.4834078142067</v>
      </c>
      <c r="D33" s="135">
        <f t="shared" si="76"/>
        <v>7185.8530221696155</v>
      </c>
      <c r="E33" s="135">
        <f t="shared" si="76"/>
        <v>-61833.162796964432</v>
      </c>
      <c r="F33" s="135">
        <f t="shared" si="76"/>
        <v>-18668.394123957416</v>
      </c>
      <c r="G33" s="135">
        <f t="shared" si="76"/>
        <v>-5287.0627974450354</v>
      </c>
      <c r="H33" s="135">
        <f t="shared" si="76"/>
        <v>6.2129102205333311</v>
      </c>
      <c r="I33" s="135">
        <f t="shared" si="76"/>
        <v>45811.767750353545</v>
      </c>
      <c r="J33" s="135">
        <f t="shared" si="76"/>
        <v>-16781.898164838036</v>
      </c>
      <c r="K33" s="135">
        <f t="shared" si="76"/>
        <v>-14568.844901016304</v>
      </c>
      <c r="L33" s="135">
        <f t="shared" si="76"/>
        <v>22019.60488670403</v>
      </c>
      <c r="M33" s="135">
        <f t="shared" si="76"/>
        <v>85166.963502088154</v>
      </c>
      <c r="N33" s="135">
        <f t="shared" si="76"/>
        <v>1278.6079025360668</v>
      </c>
      <c r="O33" s="135">
        <f t="shared" si="76"/>
        <v>14649.329250001087</v>
      </c>
      <c r="P33" s="135">
        <f t="shared" si="76"/>
        <v>5180.933456462988</v>
      </c>
      <c r="Q33" s="135">
        <f t="shared" si="76"/>
        <v>-11347.843234454769</v>
      </c>
      <c r="R33" s="135">
        <f t="shared" si="76"/>
        <v>-8765.4716504531425</v>
      </c>
      <c r="S33" s="135">
        <f t="shared" si="76"/>
        <v>21156.6768277997</v>
      </c>
      <c r="T33" s="135">
        <f t="shared" si="76"/>
        <v>18399.298216638213</v>
      </c>
      <c r="U33" s="135">
        <f t="shared" si="76"/>
        <v>22491.726668609201</v>
      </c>
      <c r="V33" s="135">
        <f t="shared" si="76"/>
        <v>-32617.922436769542</v>
      </c>
      <c r="W33" s="135">
        <f t="shared" si="76"/>
        <v>42028.335878035316</v>
      </c>
      <c r="X33" s="135">
        <f t="shared" si="76"/>
        <v>-16147.798945023553</v>
      </c>
      <c r="Y33" s="135">
        <f t="shared" si="76"/>
        <v>210027.51179391332</v>
      </c>
      <c r="Z33" s="135">
        <f t="shared" si="76"/>
        <v>-13769.416677181078</v>
      </c>
      <c r="AA33" s="135">
        <f t="shared" si="76"/>
        <v>-18564.987295793802</v>
      </c>
      <c r="AB33" s="135">
        <f t="shared" si="76"/>
        <v>-75562.26965780028</v>
      </c>
      <c r="AC33" s="135">
        <f t="shared" si="76"/>
        <v>96470.325090357437</v>
      </c>
      <c r="AD33" s="135">
        <f t="shared" si="76"/>
        <v>-12012.754555632164</v>
      </c>
      <c r="AE33" s="135">
        <f t="shared" si="76"/>
        <v>79466.698105570162</v>
      </c>
      <c r="AF33" s="135">
        <f t="shared" si="76"/>
        <v>18563.964672665861</v>
      </c>
      <c r="AG33" s="135">
        <f t="shared" si="76"/>
        <v>157704.3215569843</v>
      </c>
      <c r="AH33" s="135">
        <f t="shared" si="76"/>
        <v>223402</v>
      </c>
      <c r="AI33" s="135">
        <f t="shared" ref="AI33:AQ33" si="77">+AI31+AI32</f>
        <v>141270.73163661003</v>
      </c>
      <c r="AJ33" s="135">
        <f t="shared" si="77"/>
        <v>154849.73152645765</v>
      </c>
      <c r="AK33" s="135">
        <f t="shared" si="77"/>
        <v>196734.68988088338</v>
      </c>
      <c r="AL33" s="135">
        <f t="shared" si="77"/>
        <v>221784.0877438735</v>
      </c>
      <c r="AM33" s="135">
        <f t="shared" si="77"/>
        <v>176787.60588336509</v>
      </c>
      <c r="AN33" s="135">
        <f t="shared" si="77"/>
        <v>345238.46418750583</v>
      </c>
      <c r="AO33" s="135">
        <f t="shared" si="77"/>
        <v>315390.49363467447</v>
      </c>
      <c r="AP33" s="135">
        <f t="shared" si="77"/>
        <v>217715.08241863601</v>
      </c>
      <c r="AQ33" s="135">
        <f t="shared" si="77"/>
        <v>266541.62311164476</v>
      </c>
      <c r="AR33" s="135">
        <f t="shared" ref="AR33:AS33" si="78">+AR31+AR32</f>
        <v>156576</v>
      </c>
      <c r="AS33" s="135">
        <f t="shared" si="78"/>
        <v>1081316.0455319404</v>
      </c>
      <c r="AT33" s="135">
        <f t="shared" ref="AT33:AU33" si="79">+AT31+AT32</f>
        <v>352923</v>
      </c>
      <c r="AU33" s="135">
        <f t="shared" si="79"/>
        <v>122520</v>
      </c>
      <c r="AV33" s="135">
        <f t="shared" ref="AV33:AW33" si="80">+AV31+AV32</f>
        <v>63996</v>
      </c>
      <c r="AW33" s="135">
        <f t="shared" si="80"/>
        <v>-157643</v>
      </c>
      <c r="AX33" s="135">
        <f t="shared" ref="AX33:AY33" si="81">+AX31+AX32</f>
        <v>458422</v>
      </c>
      <c r="AY33" s="135">
        <f t="shared" si="81"/>
        <v>392695</v>
      </c>
      <c r="AZ33" s="127"/>
      <c r="BA33" s="135">
        <f t="shared" ref="BA33:BE33" si="82">+BA31+BA32</f>
        <v>-49556.996522265901</v>
      </c>
      <c r="BB33" s="135">
        <f t="shared" si="82"/>
        <v>21862.523739171622</v>
      </c>
      <c r="BC33" s="135">
        <f t="shared" si="82"/>
        <v>75835.825322937817</v>
      </c>
      <c r="BD33" s="135">
        <f t="shared" si="82"/>
        <v>9761.027374545336</v>
      </c>
      <c r="BE33" s="135">
        <f t="shared" si="82"/>
        <v>53282.23006259399</v>
      </c>
      <c r="BF33" s="135">
        <f>+BF31+BF32</f>
        <v>203290.12629015555</v>
      </c>
      <c r="BG33" s="135">
        <f>+BG31+BG32</f>
        <v>-11426.348540417686</v>
      </c>
      <c r="BH33" s="135">
        <f>SUM(AD33:AG33)</f>
        <v>243722.22977958818</v>
      </c>
      <c r="BI33" s="135">
        <f>SUM(AH33:AK33)</f>
        <v>716257.15304395102</v>
      </c>
      <c r="BJ33" s="135">
        <f>SUM(AL33:AO33)</f>
        <v>1059200.6514494189</v>
      </c>
      <c r="BK33" s="135">
        <f>SUM(AP33:AS33)</f>
        <v>1722148.7510622211</v>
      </c>
      <c r="BL33" s="135">
        <f>SUM(AT33:AW33)</f>
        <v>381796</v>
      </c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BA8:BH8 BA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A29F-9498-413F-BF7C-2EEB30886BC2}">
  <sheetPr>
    <pageSetUpPr fitToPage="1"/>
  </sheetPr>
  <dimension ref="A1:CY73"/>
  <sheetViews>
    <sheetView showGridLines="0" zoomScale="60" zoomScaleNormal="60" workbookViewId="0">
      <pane xSplit="1" ySplit="7" topLeftCell="AY8" activePane="bottomRight" state="frozen"/>
      <selection pane="topRight" activeCell="AR7" sqref="AR7"/>
      <selection pane="bottomLeft" activeCell="AR7" sqref="AR7"/>
      <selection pane="bottomRight" activeCell="AY6" sqref="AY6"/>
    </sheetView>
  </sheetViews>
  <sheetFormatPr defaultColWidth="12.5546875" defaultRowHeight="15.6" outlineLevelCol="1"/>
  <cols>
    <col min="1" max="1" width="46.6640625" style="23" bestFit="1" customWidth="1"/>
    <col min="2" max="10" width="12.44140625" style="23" hidden="1" customWidth="1"/>
    <col min="11" max="11" width="10.5546875" style="23" hidden="1" customWidth="1"/>
    <col min="12" max="25" width="12.44140625" style="23" hidden="1" customWidth="1"/>
    <col min="26" max="26" width="12.44140625" style="23" hidden="1" customWidth="1" outlineLevel="1" collapsed="1"/>
    <col min="27" max="30" width="12.44140625" style="23" hidden="1" customWidth="1" outlineLevel="1"/>
    <col min="31" max="36" width="14" style="23" hidden="1" customWidth="1" outlineLevel="1"/>
    <col min="37" max="37" width="17" style="23" hidden="1" customWidth="1" collapsed="1"/>
    <col min="38" max="40" width="17" style="23" hidden="1" customWidth="1"/>
    <col min="41" max="50" width="17" style="23" customWidth="1"/>
    <col min="51" max="51" width="18.77734375" style="23" customWidth="1"/>
    <col min="52" max="52" width="13.33203125" customWidth="1"/>
    <col min="53" max="53" width="71" style="23" customWidth="1"/>
    <col min="54" max="54" width="14.6640625" style="23" hidden="1" customWidth="1"/>
    <col min="55" max="59" width="13" style="23" hidden="1" customWidth="1"/>
    <col min="60" max="60" width="13" style="24" hidden="1" customWidth="1"/>
    <col min="61" max="77" width="13" style="23" hidden="1" customWidth="1"/>
    <col min="78" max="78" width="13" style="23" hidden="1" customWidth="1" outlineLevel="1" collapsed="1"/>
    <col min="79" max="80" width="13" style="23" hidden="1" customWidth="1" outlineLevel="1"/>
    <col min="81" max="81" width="12.33203125" style="23" hidden="1" customWidth="1" outlineLevel="1"/>
    <col min="82" max="82" width="11.6640625" style="23" hidden="1" customWidth="1" outlineLevel="1"/>
    <col min="83" max="87" width="13.44140625" style="23" hidden="1" customWidth="1" outlineLevel="1"/>
    <col min="88" max="88" width="12.5546875" style="23" hidden="1" customWidth="1" outlineLevel="1"/>
    <col min="89" max="89" width="19.109375" style="23" hidden="1" customWidth="1" collapsed="1"/>
    <col min="90" max="92" width="19.109375" style="23" hidden="1" customWidth="1"/>
    <col min="93" max="103" width="19.109375" style="23" customWidth="1"/>
    <col min="104" max="150" width="12.5546875" style="23"/>
    <col min="151" max="151" width="2.6640625" style="23" customWidth="1"/>
    <col min="152" max="152" width="53.5546875" style="23" customWidth="1"/>
    <col min="153" max="153" width="12.5546875" style="23" customWidth="1"/>
    <col min="154" max="154" width="3.5546875" style="23" customWidth="1"/>
    <col min="155" max="155" width="12.5546875" style="23" customWidth="1"/>
    <col min="156" max="156" width="1.6640625" style="23" customWidth="1"/>
    <col min="157" max="157" width="12.5546875" style="23" customWidth="1"/>
    <col min="158" max="158" width="1.6640625" style="23" customWidth="1"/>
    <col min="159" max="159" width="12.5546875" style="23" customWidth="1"/>
    <col min="160" max="160" width="1.6640625" style="23" customWidth="1"/>
    <col min="161" max="161" width="12.5546875" style="23" customWidth="1"/>
    <col min="162" max="162" width="1.6640625" style="23" customWidth="1"/>
    <col min="163" max="163" width="19.5546875" style="23" customWidth="1"/>
    <col min="164" max="164" width="3.5546875" style="23" customWidth="1"/>
    <col min="165" max="165" width="12.5546875" style="23" customWidth="1"/>
    <col min="166" max="166" width="3.5546875" style="23" customWidth="1"/>
    <col min="167" max="167" width="12.5546875" style="23" customWidth="1"/>
    <col min="168" max="168" width="1.6640625" style="23" customWidth="1"/>
    <col min="169" max="169" width="12.5546875" style="23" customWidth="1"/>
    <col min="170" max="170" width="1.6640625" style="23" customWidth="1"/>
    <col min="171" max="171" width="12.5546875" style="23" customWidth="1"/>
    <col min="172" max="172" width="1.6640625" style="23" customWidth="1"/>
    <col min="173" max="173" width="12.5546875" style="23" customWidth="1"/>
    <col min="174" max="174" width="1.6640625" style="23" customWidth="1"/>
    <col min="175" max="175" width="19.5546875" style="23" customWidth="1"/>
    <col min="176" max="177" width="12.5546875" style="23"/>
    <col min="178" max="178" width="1.6640625" style="23" customWidth="1"/>
    <col min="179" max="179" width="12.5546875" style="23"/>
    <col min="180" max="180" width="1.6640625" style="23" customWidth="1"/>
    <col min="181" max="181" width="12.5546875" style="23"/>
    <col min="182" max="182" width="1.6640625" style="23" customWidth="1"/>
    <col min="183" max="185" width="12.5546875" style="23"/>
    <col min="186" max="186" width="1.6640625" style="23" customWidth="1"/>
    <col min="187" max="187" width="12.5546875" style="23"/>
    <col min="188" max="188" width="1.6640625" style="23" customWidth="1"/>
    <col min="189" max="189" width="12.5546875" style="23"/>
    <col min="190" max="190" width="1.6640625" style="23" customWidth="1"/>
    <col min="191" max="406" width="12.5546875" style="23"/>
    <col min="407" max="407" width="2.6640625" style="23" customWidth="1"/>
    <col min="408" max="408" width="53.5546875" style="23" customWidth="1"/>
    <col min="409" max="409" width="12.5546875" style="23" customWidth="1"/>
    <col min="410" max="410" width="3.5546875" style="23" customWidth="1"/>
    <col min="411" max="411" width="12.5546875" style="23" customWidth="1"/>
    <col min="412" max="412" width="1.6640625" style="23" customWidth="1"/>
    <col min="413" max="413" width="12.5546875" style="23" customWidth="1"/>
    <col min="414" max="414" width="1.6640625" style="23" customWidth="1"/>
    <col min="415" max="415" width="12.5546875" style="23" customWidth="1"/>
    <col min="416" max="416" width="1.6640625" style="23" customWidth="1"/>
    <col min="417" max="417" width="12.5546875" style="23" customWidth="1"/>
    <col min="418" max="418" width="1.6640625" style="23" customWidth="1"/>
    <col min="419" max="419" width="19.5546875" style="23" customWidth="1"/>
    <col min="420" max="420" width="3.5546875" style="23" customWidth="1"/>
    <col min="421" max="421" width="12.5546875" style="23" customWidth="1"/>
    <col min="422" max="422" width="3.5546875" style="23" customWidth="1"/>
    <col min="423" max="423" width="12.5546875" style="23" customWidth="1"/>
    <col min="424" max="424" width="1.6640625" style="23" customWidth="1"/>
    <col min="425" max="425" width="12.5546875" style="23" customWidth="1"/>
    <col min="426" max="426" width="1.6640625" style="23" customWidth="1"/>
    <col min="427" max="427" width="12.5546875" style="23" customWidth="1"/>
    <col min="428" max="428" width="1.6640625" style="23" customWidth="1"/>
    <col min="429" max="429" width="12.5546875" style="23" customWidth="1"/>
    <col min="430" max="430" width="1.6640625" style="23" customWidth="1"/>
    <col min="431" max="431" width="19.5546875" style="23" customWidth="1"/>
    <col min="432" max="433" width="12.5546875" style="23"/>
    <col min="434" max="434" width="1.6640625" style="23" customWidth="1"/>
    <col min="435" max="435" width="12.5546875" style="23"/>
    <col min="436" max="436" width="1.6640625" style="23" customWidth="1"/>
    <col min="437" max="437" width="12.5546875" style="23"/>
    <col min="438" max="438" width="1.6640625" style="23" customWidth="1"/>
    <col min="439" max="441" width="12.5546875" style="23"/>
    <col min="442" max="442" width="1.6640625" style="23" customWidth="1"/>
    <col min="443" max="443" width="12.5546875" style="23"/>
    <col min="444" max="444" width="1.6640625" style="23" customWidth="1"/>
    <col min="445" max="445" width="12.5546875" style="23"/>
    <col min="446" max="446" width="1.6640625" style="23" customWidth="1"/>
    <col min="447" max="662" width="12.5546875" style="23"/>
    <col min="663" max="663" width="2.6640625" style="23" customWidth="1"/>
    <col min="664" max="664" width="53.5546875" style="23" customWidth="1"/>
    <col min="665" max="665" width="12.5546875" style="23" customWidth="1"/>
    <col min="666" max="666" width="3.5546875" style="23" customWidth="1"/>
    <col min="667" max="667" width="12.5546875" style="23" customWidth="1"/>
    <col min="668" max="668" width="1.6640625" style="23" customWidth="1"/>
    <col min="669" max="669" width="12.5546875" style="23" customWidth="1"/>
    <col min="670" max="670" width="1.6640625" style="23" customWidth="1"/>
    <col min="671" max="671" width="12.5546875" style="23" customWidth="1"/>
    <col min="672" max="672" width="1.6640625" style="23" customWidth="1"/>
    <col min="673" max="673" width="12.5546875" style="23" customWidth="1"/>
    <col min="674" max="674" width="1.6640625" style="23" customWidth="1"/>
    <col min="675" max="675" width="19.5546875" style="23" customWidth="1"/>
    <col min="676" max="676" width="3.5546875" style="23" customWidth="1"/>
    <col min="677" max="677" width="12.5546875" style="23" customWidth="1"/>
    <col min="678" max="678" width="3.5546875" style="23" customWidth="1"/>
    <col min="679" max="679" width="12.5546875" style="23" customWidth="1"/>
    <col min="680" max="680" width="1.6640625" style="23" customWidth="1"/>
    <col min="681" max="681" width="12.5546875" style="23" customWidth="1"/>
    <col min="682" max="682" width="1.6640625" style="23" customWidth="1"/>
    <col min="683" max="683" width="12.5546875" style="23" customWidth="1"/>
    <col min="684" max="684" width="1.6640625" style="23" customWidth="1"/>
    <col min="685" max="685" width="12.5546875" style="23" customWidth="1"/>
    <col min="686" max="686" width="1.6640625" style="23" customWidth="1"/>
    <col min="687" max="687" width="19.5546875" style="23" customWidth="1"/>
    <col min="688" max="689" width="12.5546875" style="23"/>
    <col min="690" max="690" width="1.6640625" style="23" customWidth="1"/>
    <col min="691" max="691" width="12.5546875" style="23"/>
    <col min="692" max="692" width="1.6640625" style="23" customWidth="1"/>
    <col min="693" max="693" width="12.5546875" style="23"/>
    <col min="694" max="694" width="1.6640625" style="23" customWidth="1"/>
    <col min="695" max="697" width="12.5546875" style="23"/>
    <col min="698" max="698" width="1.6640625" style="23" customWidth="1"/>
    <col min="699" max="699" width="12.5546875" style="23"/>
    <col min="700" max="700" width="1.6640625" style="23" customWidth="1"/>
    <col min="701" max="701" width="12.5546875" style="23"/>
    <col min="702" max="702" width="1.6640625" style="23" customWidth="1"/>
    <col min="703" max="918" width="12.5546875" style="23"/>
    <col min="919" max="919" width="2.6640625" style="23" customWidth="1"/>
    <col min="920" max="920" width="53.5546875" style="23" customWidth="1"/>
    <col min="921" max="921" width="12.5546875" style="23" customWidth="1"/>
    <col min="922" max="922" width="3.5546875" style="23" customWidth="1"/>
    <col min="923" max="923" width="12.5546875" style="23" customWidth="1"/>
    <col min="924" max="924" width="1.6640625" style="23" customWidth="1"/>
    <col min="925" max="925" width="12.5546875" style="23" customWidth="1"/>
    <col min="926" max="926" width="1.6640625" style="23" customWidth="1"/>
    <col min="927" max="927" width="12.5546875" style="23" customWidth="1"/>
    <col min="928" max="928" width="1.6640625" style="23" customWidth="1"/>
    <col min="929" max="929" width="12.5546875" style="23" customWidth="1"/>
    <col min="930" max="930" width="1.6640625" style="23" customWidth="1"/>
    <col min="931" max="931" width="19.5546875" style="23" customWidth="1"/>
    <col min="932" max="932" width="3.5546875" style="23" customWidth="1"/>
    <col min="933" max="933" width="12.5546875" style="23" customWidth="1"/>
    <col min="934" max="934" width="3.5546875" style="23" customWidth="1"/>
    <col min="935" max="935" width="12.5546875" style="23" customWidth="1"/>
    <col min="936" max="936" width="1.6640625" style="23" customWidth="1"/>
    <col min="937" max="937" width="12.5546875" style="23" customWidth="1"/>
    <col min="938" max="938" width="1.6640625" style="23" customWidth="1"/>
    <col min="939" max="939" width="12.5546875" style="23" customWidth="1"/>
    <col min="940" max="940" width="1.6640625" style="23" customWidth="1"/>
    <col min="941" max="941" width="12.5546875" style="23" customWidth="1"/>
    <col min="942" max="942" width="1.6640625" style="23" customWidth="1"/>
    <col min="943" max="943" width="19.5546875" style="23" customWidth="1"/>
    <col min="944" max="945" width="12.5546875" style="23"/>
    <col min="946" max="946" width="1.6640625" style="23" customWidth="1"/>
    <col min="947" max="947" width="12.5546875" style="23"/>
    <col min="948" max="948" width="1.6640625" style="23" customWidth="1"/>
    <col min="949" max="949" width="12.5546875" style="23"/>
    <col min="950" max="950" width="1.6640625" style="23" customWidth="1"/>
    <col min="951" max="953" width="12.5546875" style="23"/>
    <col min="954" max="954" width="1.6640625" style="23" customWidth="1"/>
    <col min="955" max="955" width="12.5546875" style="23"/>
    <col min="956" max="956" width="1.6640625" style="23" customWidth="1"/>
    <col min="957" max="957" width="12.5546875" style="23"/>
    <col min="958" max="958" width="1.6640625" style="23" customWidth="1"/>
    <col min="959" max="1174" width="12.5546875" style="23"/>
    <col min="1175" max="1175" width="2.6640625" style="23" customWidth="1"/>
    <col min="1176" max="1176" width="53.5546875" style="23" customWidth="1"/>
    <col min="1177" max="1177" width="12.5546875" style="23" customWidth="1"/>
    <col min="1178" max="1178" width="3.5546875" style="23" customWidth="1"/>
    <col min="1179" max="1179" width="12.5546875" style="23" customWidth="1"/>
    <col min="1180" max="1180" width="1.6640625" style="23" customWidth="1"/>
    <col min="1181" max="1181" width="12.5546875" style="23" customWidth="1"/>
    <col min="1182" max="1182" width="1.6640625" style="23" customWidth="1"/>
    <col min="1183" max="1183" width="12.5546875" style="23" customWidth="1"/>
    <col min="1184" max="1184" width="1.6640625" style="23" customWidth="1"/>
    <col min="1185" max="1185" width="12.5546875" style="23" customWidth="1"/>
    <col min="1186" max="1186" width="1.6640625" style="23" customWidth="1"/>
    <col min="1187" max="1187" width="19.5546875" style="23" customWidth="1"/>
    <col min="1188" max="1188" width="3.5546875" style="23" customWidth="1"/>
    <col min="1189" max="1189" width="12.5546875" style="23" customWidth="1"/>
    <col min="1190" max="1190" width="3.5546875" style="23" customWidth="1"/>
    <col min="1191" max="1191" width="12.5546875" style="23" customWidth="1"/>
    <col min="1192" max="1192" width="1.6640625" style="23" customWidth="1"/>
    <col min="1193" max="1193" width="12.5546875" style="23" customWidth="1"/>
    <col min="1194" max="1194" width="1.6640625" style="23" customWidth="1"/>
    <col min="1195" max="1195" width="12.5546875" style="23" customWidth="1"/>
    <col min="1196" max="1196" width="1.6640625" style="23" customWidth="1"/>
    <col min="1197" max="1197" width="12.5546875" style="23" customWidth="1"/>
    <col min="1198" max="1198" width="1.6640625" style="23" customWidth="1"/>
    <col min="1199" max="1199" width="19.5546875" style="23" customWidth="1"/>
    <col min="1200" max="1201" width="12.5546875" style="23"/>
    <col min="1202" max="1202" width="1.6640625" style="23" customWidth="1"/>
    <col min="1203" max="1203" width="12.5546875" style="23"/>
    <col min="1204" max="1204" width="1.6640625" style="23" customWidth="1"/>
    <col min="1205" max="1205" width="12.5546875" style="23"/>
    <col min="1206" max="1206" width="1.6640625" style="23" customWidth="1"/>
    <col min="1207" max="1209" width="12.5546875" style="23"/>
    <col min="1210" max="1210" width="1.6640625" style="23" customWidth="1"/>
    <col min="1211" max="1211" width="12.5546875" style="23"/>
    <col min="1212" max="1212" width="1.6640625" style="23" customWidth="1"/>
    <col min="1213" max="1213" width="12.5546875" style="23"/>
    <col min="1214" max="1214" width="1.6640625" style="23" customWidth="1"/>
    <col min="1215" max="1430" width="12.5546875" style="23"/>
    <col min="1431" max="1431" width="2.6640625" style="23" customWidth="1"/>
    <col min="1432" max="1432" width="53.5546875" style="23" customWidth="1"/>
    <col min="1433" max="1433" width="12.5546875" style="23" customWidth="1"/>
    <col min="1434" max="1434" width="3.5546875" style="23" customWidth="1"/>
    <col min="1435" max="1435" width="12.5546875" style="23" customWidth="1"/>
    <col min="1436" max="1436" width="1.6640625" style="23" customWidth="1"/>
    <col min="1437" max="1437" width="12.5546875" style="23" customWidth="1"/>
    <col min="1438" max="1438" width="1.6640625" style="23" customWidth="1"/>
    <col min="1439" max="1439" width="12.5546875" style="23" customWidth="1"/>
    <col min="1440" max="1440" width="1.6640625" style="23" customWidth="1"/>
    <col min="1441" max="1441" width="12.5546875" style="23" customWidth="1"/>
    <col min="1442" max="1442" width="1.6640625" style="23" customWidth="1"/>
    <col min="1443" max="1443" width="19.5546875" style="23" customWidth="1"/>
    <col min="1444" max="1444" width="3.5546875" style="23" customWidth="1"/>
    <col min="1445" max="1445" width="12.5546875" style="23" customWidth="1"/>
    <col min="1446" max="1446" width="3.5546875" style="23" customWidth="1"/>
    <col min="1447" max="1447" width="12.5546875" style="23" customWidth="1"/>
    <col min="1448" max="1448" width="1.6640625" style="23" customWidth="1"/>
    <col min="1449" max="1449" width="12.5546875" style="23" customWidth="1"/>
    <col min="1450" max="1450" width="1.6640625" style="23" customWidth="1"/>
    <col min="1451" max="1451" width="12.5546875" style="23" customWidth="1"/>
    <col min="1452" max="1452" width="1.6640625" style="23" customWidth="1"/>
    <col min="1453" max="1453" width="12.5546875" style="23" customWidth="1"/>
    <col min="1454" max="1454" width="1.6640625" style="23" customWidth="1"/>
    <col min="1455" max="1455" width="19.5546875" style="23" customWidth="1"/>
    <col min="1456" max="1457" width="12.5546875" style="23"/>
    <col min="1458" max="1458" width="1.6640625" style="23" customWidth="1"/>
    <col min="1459" max="1459" width="12.5546875" style="23"/>
    <col min="1460" max="1460" width="1.6640625" style="23" customWidth="1"/>
    <col min="1461" max="1461" width="12.5546875" style="23"/>
    <col min="1462" max="1462" width="1.6640625" style="23" customWidth="1"/>
    <col min="1463" max="1465" width="12.5546875" style="23"/>
    <col min="1466" max="1466" width="1.6640625" style="23" customWidth="1"/>
    <col min="1467" max="1467" width="12.5546875" style="23"/>
    <col min="1468" max="1468" width="1.6640625" style="23" customWidth="1"/>
    <col min="1469" max="1469" width="12.5546875" style="23"/>
    <col min="1470" max="1470" width="1.6640625" style="23" customWidth="1"/>
    <col min="1471" max="1686" width="12.5546875" style="23"/>
    <col min="1687" max="1687" width="2.6640625" style="23" customWidth="1"/>
    <col min="1688" max="1688" width="53.5546875" style="23" customWidth="1"/>
    <col min="1689" max="1689" width="12.5546875" style="23" customWidth="1"/>
    <col min="1690" max="1690" width="3.5546875" style="23" customWidth="1"/>
    <col min="1691" max="1691" width="12.5546875" style="23" customWidth="1"/>
    <col min="1692" max="1692" width="1.6640625" style="23" customWidth="1"/>
    <col min="1693" max="1693" width="12.5546875" style="23" customWidth="1"/>
    <col min="1694" max="1694" width="1.6640625" style="23" customWidth="1"/>
    <col min="1695" max="1695" width="12.5546875" style="23" customWidth="1"/>
    <col min="1696" max="1696" width="1.6640625" style="23" customWidth="1"/>
    <col min="1697" max="1697" width="12.5546875" style="23" customWidth="1"/>
    <col min="1698" max="1698" width="1.6640625" style="23" customWidth="1"/>
    <col min="1699" max="1699" width="19.5546875" style="23" customWidth="1"/>
    <col min="1700" max="1700" width="3.5546875" style="23" customWidth="1"/>
    <col min="1701" max="1701" width="12.5546875" style="23" customWidth="1"/>
    <col min="1702" max="1702" width="3.5546875" style="23" customWidth="1"/>
    <col min="1703" max="1703" width="12.5546875" style="23" customWidth="1"/>
    <col min="1704" max="1704" width="1.6640625" style="23" customWidth="1"/>
    <col min="1705" max="1705" width="12.5546875" style="23" customWidth="1"/>
    <col min="1706" max="1706" width="1.6640625" style="23" customWidth="1"/>
    <col min="1707" max="1707" width="12.5546875" style="23" customWidth="1"/>
    <col min="1708" max="1708" width="1.6640625" style="23" customWidth="1"/>
    <col min="1709" max="1709" width="12.5546875" style="23" customWidth="1"/>
    <col min="1710" max="1710" width="1.6640625" style="23" customWidth="1"/>
    <col min="1711" max="1711" width="19.5546875" style="23" customWidth="1"/>
    <col min="1712" max="1713" width="12.5546875" style="23"/>
    <col min="1714" max="1714" width="1.6640625" style="23" customWidth="1"/>
    <col min="1715" max="1715" width="12.5546875" style="23"/>
    <col min="1716" max="1716" width="1.6640625" style="23" customWidth="1"/>
    <col min="1717" max="1717" width="12.5546875" style="23"/>
    <col min="1718" max="1718" width="1.6640625" style="23" customWidth="1"/>
    <col min="1719" max="1721" width="12.5546875" style="23"/>
    <col min="1722" max="1722" width="1.6640625" style="23" customWidth="1"/>
    <col min="1723" max="1723" width="12.5546875" style="23"/>
    <col min="1724" max="1724" width="1.6640625" style="23" customWidth="1"/>
    <col min="1725" max="1725" width="12.5546875" style="23"/>
    <col min="1726" max="1726" width="1.6640625" style="23" customWidth="1"/>
    <col min="1727" max="1942" width="12.5546875" style="23"/>
    <col min="1943" max="1943" width="2.6640625" style="23" customWidth="1"/>
    <col min="1944" max="1944" width="53.5546875" style="23" customWidth="1"/>
    <col min="1945" max="1945" width="12.5546875" style="23" customWidth="1"/>
    <col min="1946" max="1946" width="3.5546875" style="23" customWidth="1"/>
    <col min="1947" max="1947" width="12.5546875" style="23" customWidth="1"/>
    <col min="1948" max="1948" width="1.6640625" style="23" customWidth="1"/>
    <col min="1949" max="1949" width="12.5546875" style="23" customWidth="1"/>
    <col min="1950" max="1950" width="1.6640625" style="23" customWidth="1"/>
    <col min="1951" max="1951" width="12.5546875" style="23" customWidth="1"/>
    <col min="1952" max="1952" width="1.6640625" style="23" customWidth="1"/>
    <col min="1953" max="1953" width="12.5546875" style="23" customWidth="1"/>
    <col min="1954" max="1954" width="1.6640625" style="23" customWidth="1"/>
    <col min="1955" max="1955" width="19.5546875" style="23" customWidth="1"/>
    <col min="1956" max="1956" width="3.5546875" style="23" customWidth="1"/>
    <col min="1957" max="1957" width="12.5546875" style="23" customWidth="1"/>
    <col min="1958" max="1958" width="3.5546875" style="23" customWidth="1"/>
    <col min="1959" max="1959" width="12.5546875" style="23" customWidth="1"/>
    <col min="1960" max="1960" width="1.6640625" style="23" customWidth="1"/>
    <col min="1961" max="1961" width="12.5546875" style="23" customWidth="1"/>
    <col min="1962" max="1962" width="1.6640625" style="23" customWidth="1"/>
    <col min="1963" max="1963" width="12.5546875" style="23" customWidth="1"/>
    <col min="1964" max="1964" width="1.6640625" style="23" customWidth="1"/>
    <col min="1965" max="1965" width="12.5546875" style="23" customWidth="1"/>
    <col min="1966" max="1966" width="1.6640625" style="23" customWidth="1"/>
    <col min="1967" max="1967" width="19.5546875" style="23" customWidth="1"/>
    <col min="1968" max="1969" width="12.5546875" style="23"/>
    <col min="1970" max="1970" width="1.6640625" style="23" customWidth="1"/>
    <col min="1971" max="1971" width="12.5546875" style="23"/>
    <col min="1972" max="1972" width="1.6640625" style="23" customWidth="1"/>
    <col min="1973" max="1973" width="12.5546875" style="23"/>
    <col min="1974" max="1974" width="1.6640625" style="23" customWidth="1"/>
    <col min="1975" max="1977" width="12.5546875" style="23"/>
    <col min="1978" max="1978" width="1.6640625" style="23" customWidth="1"/>
    <col min="1979" max="1979" width="12.5546875" style="23"/>
    <col min="1980" max="1980" width="1.6640625" style="23" customWidth="1"/>
    <col min="1981" max="1981" width="12.5546875" style="23"/>
    <col min="1982" max="1982" width="1.6640625" style="23" customWidth="1"/>
    <col min="1983" max="2198" width="12.5546875" style="23"/>
    <col min="2199" max="2199" width="2.6640625" style="23" customWidth="1"/>
    <col min="2200" max="2200" width="53.5546875" style="23" customWidth="1"/>
    <col min="2201" max="2201" width="12.5546875" style="23" customWidth="1"/>
    <col min="2202" max="2202" width="3.5546875" style="23" customWidth="1"/>
    <col min="2203" max="2203" width="12.5546875" style="23" customWidth="1"/>
    <col min="2204" max="2204" width="1.6640625" style="23" customWidth="1"/>
    <col min="2205" max="2205" width="12.5546875" style="23" customWidth="1"/>
    <col min="2206" max="2206" width="1.6640625" style="23" customWidth="1"/>
    <col min="2207" max="2207" width="12.5546875" style="23" customWidth="1"/>
    <col min="2208" max="2208" width="1.6640625" style="23" customWidth="1"/>
    <col min="2209" max="2209" width="12.5546875" style="23" customWidth="1"/>
    <col min="2210" max="2210" width="1.6640625" style="23" customWidth="1"/>
    <col min="2211" max="2211" width="19.5546875" style="23" customWidth="1"/>
    <col min="2212" max="2212" width="3.5546875" style="23" customWidth="1"/>
    <col min="2213" max="2213" width="12.5546875" style="23" customWidth="1"/>
    <col min="2214" max="2214" width="3.5546875" style="23" customWidth="1"/>
    <col min="2215" max="2215" width="12.5546875" style="23" customWidth="1"/>
    <col min="2216" max="2216" width="1.6640625" style="23" customWidth="1"/>
    <col min="2217" max="2217" width="12.5546875" style="23" customWidth="1"/>
    <col min="2218" max="2218" width="1.6640625" style="23" customWidth="1"/>
    <col min="2219" max="2219" width="12.5546875" style="23" customWidth="1"/>
    <col min="2220" max="2220" width="1.6640625" style="23" customWidth="1"/>
    <col min="2221" max="2221" width="12.5546875" style="23" customWidth="1"/>
    <col min="2222" max="2222" width="1.6640625" style="23" customWidth="1"/>
    <col min="2223" max="2223" width="19.5546875" style="23" customWidth="1"/>
    <col min="2224" max="2225" width="12.5546875" style="23"/>
    <col min="2226" max="2226" width="1.6640625" style="23" customWidth="1"/>
    <col min="2227" max="2227" width="12.5546875" style="23"/>
    <col min="2228" max="2228" width="1.6640625" style="23" customWidth="1"/>
    <col min="2229" max="2229" width="12.5546875" style="23"/>
    <col min="2230" max="2230" width="1.6640625" style="23" customWidth="1"/>
    <col min="2231" max="2233" width="12.5546875" style="23"/>
    <col min="2234" max="2234" width="1.6640625" style="23" customWidth="1"/>
    <col min="2235" max="2235" width="12.5546875" style="23"/>
    <col min="2236" max="2236" width="1.6640625" style="23" customWidth="1"/>
    <col min="2237" max="2237" width="12.5546875" style="23"/>
    <col min="2238" max="2238" width="1.6640625" style="23" customWidth="1"/>
    <col min="2239" max="2454" width="12.5546875" style="23"/>
    <col min="2455" max="2455" width="2.6640625" style="23" customWidth="1"/>
    <col min="2456" max="2456" width="53.5546875" style="23" customWidth="1"/>
    <col min="2457" max="2457" width="12.5546875" style="23" customWidth="1"/>
    <col min="2458" max="2458" width="3.5546875" style="23" customWidth="1"/>
    <col min="2459" max="2459" width="12.5546875" style="23" customWidth="1"/>
    <col min="2460" max="2460" width="1.6640625" style="23" customWidth="1"/>
    <col min="2461" max="2461" width="12.5546875" style="23" customWidth="1"/>
    <col min="2462" max="2462" width="1.6640625" style="23" customWidth="1"/>
    <col min="2463" max="2463" width="12.5546875" style="23" customWidth="1"/>
    <col min="2464" max="2464" width="1.6640625" style="23" customWidth="1"/>
    <col min="2465" max="2465" width="12.5546875" style="23" customWidth="1"/>
    <col min="2466" max="2466" width="1.6640625" style="23" customWidth="1"/>
    <col min="2467" max="2467" width="19.5546875" style="23" customWidth="1"/>
    <col min="2468" max="2468" width="3.5546875" style="23" customWidth="1"/>
    <col min="2469" max="2469" width="12.5546875" style="23" customWidth="1"/>
    <col min="2470" max="2470" width="3.5546875" style="23" customWidth="1"/>
    <col min="2471" max="2471" width="12.5546875" style="23" customWidth="1"/>
    <col min="2472" max="2472" width="1.6640625" style="23" customWidth="1"/>
    <col min="2473" max="2473" width="12.5546875" style="23" customWidth="1"/>
    <col min="2474" max="2474" width="1.6640625" style="23" customWidth="1"/>
    <col min="2475" max="2475" width="12.5546875" style="23" customWidth="1"/>
    <col min="2476" max="2476" width="1.6640625" style="23" customWidth="1"/>
    <col min="2477" max="2477" width="12.5546875" style="23" customWidth="1"/>
    <col min="2478" max="2478" width="1.6640625" style="23" customWidth="1"/>
    <col min="2479" max="2479" width="19.5546875" style="23" customWidth="1"/>
    <col min="2480" max="2481" width="12.5546875" style="23"/>
    <col min="2482" max="2482" width="1.6640625" style="23" customWidth="1"/>
    <col min="2483" max="2483" width="12.5546875" style="23"/>
    <col min="2484" max="2484" width="1.6640625" style="23" customWidth="1"/>
    <col min="2485" max="2485" width="12.5546875" style="23"/>
    <col min="2486" max="2486" width="1.6640625" style="23" customWidth="1"/>
    <col min="2487" max="2489" width="12.5546875" style="23"/>
    <col min="2490" max="2490" width="1.6640625" style="23" customWidth="1"/>
    <col min="2491" max="2491" width="12.5546875" style="23"/>
    <col min="2492" max="2492" width="1.6640625" style="23" customWidth="1"/>
    <col min="2493" max="2493" width="12.5546875" style="23"/>
    <col min="2494" max="2494" width="1.6640625" style="23" customWidth="1"/>
    <col min="2495" max="2710" width="12.5546875" style="23"/>
    <col min="2711" max="2711" width="2.6640625" style="23" customWidth="1"/>
    <col min="2712" max="2712" width="53.5546875" style="23" customWidth="1"/>
    <col min="2713" max="2713" width="12.5546875" style="23" customWidth="1"/>
    <col min="2714" max="2714" width="3.5546875" style="23" customWidth="1"/>
    <col min="2715" max="2715" width="12.5546875" style="23" customWidth="1"/>
    <col min="2716" max="2716" width="1.6640625" style="23" customWidth="1"/>
    <col min="2717" max="2717" width="12.5546875" style="23" customWidth="1"/>
    <col min="2718" max="2718" width="1.6640625" style="23" customWidth="1"/>
    <col min="2719" max="2719" width="12.5546875" style="23" customWidth="1"/>
    <col min="2720" max="2720" width="1.6640625" style="23" customWidth="1"/>
    <col min="2721" max="2721" width="12.5546875" style="23" customWidth="1"/>
    <col min="2722" max="2722" width="1.6640625" style="23" customWidth="1"/>
    <col min="2723" max="2723" width="19.5546875" style="23" customWidth="1"/>
    <col min="2724" max="2724" width="3.5546875" style="23" customWidth="1"/>
    <col min="2725" max="2725" width="12.5546875" style="23" customWidth="1"/>
    <col min="2726" max="2726" width="3.5546875" style="23" customWidth="1"/>
    <col min="2727" max="2727" width="12.5546875" style="23" customWidth="1"/>
    <col min="2728" max="2728" width="1.6640625" style="23" customWidth="1"/>
    <col min="2729" max="2729" width="12.5546875" style="23" customWidth="1"/>
    <col min="2730" max="2730" width="1.6640625" style="23" customWidth="1"/>
    <col min="2731" max="2731" width="12.5546875" style="23" customWidth="1"/>
    <col min="2732" max="2732" width="1.6640625" style="23" customWidth="1"/>
    <col min="2733" max="2733" width="12.5546875" style="23" customWidth="1"/>
    <col min="2734" max="2734" width="1.6640625" style="23" customWidth="1"/>
    <col min="2735" max="2735" width="19.5546875" style="23" customWidth="1"/>
    <col min="2736" max="2737" width="12.5546875" style="23"/>
    <col min="2738" max="2738" width="1.6640625" style="23" customWidth="1"/>
    <col min="2739" max="2739" width="12.5546875" style="23"/>
    <col min="2740" max="2740" width="1.6640625" style="23" customWidth="1"/>
    <col min="2741" max="2741" width="12.5546875" style="23"/>
    <col min="2742" max="2742" width="1.6640625" style="23" customWidth="1"/>
    <col min="2743" max="2745" width="12.5546875" style="23"/>
    <col min="2746" max="2746" width="1.6640625" style="23" customWidth="1"/>
    <col min="2747" max="2747" width="12.5546875" style="23"/>
    <col min="2748" max="2748" width="1.6640625" style="23" customWidth="1"/>
    <col min="2749" max="2749" width="12.5546875" style="23"/>
    <col min="2750" max="2750" width="1.6640625" style="23" customWidth="1"/>
    <col min="2751" max="2966" width="12.5546875" style="23"/>
    <col min="2967" max="2967" width="2.6640625" style="23" customWidth="1"/>
    <col min="2968" max="2968" width="53.5546875" style="23" customWidth="1"/>
    <col min="2969" max="2969" width="12.5546875" style="23" customWidth="1"/>
    <col min="2970" max="2970" width="3.5546875" style="23" customWidth="1"/>
    <col min="2971" max="2971" width="12.5546875" style="23" customWidth="1"/>
    <col min="2972" max="2972" width="1.6640625" style="23" customWidth="1"/>
    <col min="2973" max="2973" width="12.5546875" style="23" customWidth="1"/>
    <col min="2974" max="2974" width="1.6640625" style="23" customWidth="1"/>
    <col min="2975" max="2975" width="12.5546875" style="23" customWidth="1"/>
    <col min="2976" max="2976" width="1.6640625" style="23" customWidth="1"/>
    <col min="2977" max="2977" width="12.5546875" style="23" customWidth="1"/>
    <col min="2978" max="2978" width="1.6640625" style="23" customWidth="1"/>
    <col min="2979" max="2979" width="19.5546875" style="23" customWidth="1"/>
    <col min="2980" max="2980" width="3.5546875" style="23" customWidth="1"/>
    <col min="2981" max="2981" width="12.5546875" style="23" customWidth="1"/>
    <col min="2982" max="2982" width="3.5546875" style="23" customWidth="1"/>
    <col min="2983" max="2983" width="12.5546875" style="23" customWidth="1"/>
    <col min="2984" max="2984" width="1.6640625" style="23" customWidth="1"/>
    <col min="2985" max="2985" width="12.5546875" style="23" customWidth="1"/>
    <col min="2986" max="2986" width="1.6640625" style="23" customWidth="1"/>
    <col min="2987" max="2987" width="12.5546875" style="23" customWidth="1"/>
    <col min="2988" max="2988" width="1.6640625" style="23" customWidth="1"/>
    <col min="2989" max="2989" width="12.5546875" style="23" customWidth="1"/>
    <col min="2990" max="2990" width="1.6640625" style="23" customWidth="1"/>
    <col min="2991" max="2991" width="19.5546875" style="23" customWidth="1"/>
    <col min="2992" max="2993" width="12.5546875" style="23"/>
    <col min="2994" max="2994" width="1.6640625" style="23" customWidth="1"/>
    <col min="2995" max="2995" width="12.5546875" style="23"/>
    <col min="2996" max="2996" width="1.6640625" style="23" customWidth="1"/>
    <col min="2997" max="2997" width="12.5546875" style="23"/>
    <col min="2998" max="2998" width="1.6640625" style="23" customWidth="1"/>
    <col min="2999" max="3001" width="12.5546875" style="23"/>
    <col min="3002" max="3002" width="1.6640625" style="23" customWidth="1"/>
    <col min="3003" max="3003" width="12.5546875" style="23"/>
    <col min="3004" max="3004" width="1.6640625" style="23" customWidth="1"/>
    <col min="3005" max="3005" width="12.5546875" style="23"/>
    <col min="3006" max="3006" width="1.6640625" style="23" customWidth="1"/>
    <col min="3007" max="3222" width="12.5546875" style="23"/>
    <col min="3223" max="3223" width="2.6640625" style="23" customWidth="1"/>
    <col min="3224" max="3224" width="53.5546875" style="23" customWidth="1"/>
    <col min="3225" max="3225" width="12.5546875" style="23" customWidth="1"/>
    <col min="3226" max="3226" width="3.5546875" style="23" customWidth="1"/>
    <col min="3227" max="3227" width="12.5546875" style="23" customWidth="1"/>
    <col min="3228" max="3228" width="1.6640625" style="23" customWidth="1"/>
    <col min="3229" max="3229" width="12.5546875" style="23" customWidth="1"/>
    <col min="3230" max="3230" width="1.6640625" style="23" customWidth="1"/>
    <col min="3231" max="3231" width="12.5546875" style="23" customWidth="1"/>
    <col min="3232" max="3232" width="1.6640625" style="23" customWidth="1"/>
    <col min="3233" max="3233" width="12.5546875" style="23" customWidth="1"/>
    <col min="3234" max="3234" width="1.6640625" style="23" customWidth="1"/>
    <col min="3235" max="3235" width="19.5546875" style="23" customWidth="1"/>
    <col min="3236" max="3236" width="3.5546875" style="23" customWidth="1"/>
    <col min="3237" max="3237" width="12.5546875" style="23" customWidth="1"/>
    <col min="3238" max="3238" width="3.5546875" style="23" customWidth="1"/>
    <col min="3239" max="3239" width="12.5546875" style="23" customWidth="1"/>
    <col min="3240" max="3240" width="1.6640625" style="23" customWidth="1"/>
    <col min="3241" max="3241" width="12.5546875" style="23" customWidth="1"/>
    <col min="3242" max="3242" width="1.6640625" style="23" customWidth="1"/>
    <col min="3243" max="3243" width="12.5546875" style="23" customWidth="1"/>
    <col min="3244" max="3244" width="1.6640625" style="23" customWidth="1"/>
    <col min="3245" max="3245" width="12.5546875" style="23" customWidth="1"/>
    <col min="3246" max="3246" width="1.6640625" style="23" customWidth="1"/>
    <col min="3247" max="3247" width="19.5546875" style="23" customWidth="1"/>
    <col min="3248" max="3249" width="12.5546875" style="23"/>
    <col min="3250" max="3250" width="1.6640625" style="23" customWidth="1"/>
    <col min="3251" max="3251" width="12.5546875" style="23"/>
    <col min="3252" max="3252" width="1.6640625" style="23" customWidth="1"/>
    <col min="3253" max="3253" width="12.5546875" style="23"/>
    <col min="3254" max="3254" width="1.6640625" style="23" customWidth="1"/>
    <col min="3255" max="3257" width="12.5546875" style="23"/>
    <col min="3258" max="3258" width="1.6640625" style="23" customWidth="1"/>
    <col min="3259" max="3259" width="12.5546875" style="23"/>
    <col min="3260" max="3260" width="1.6640625" style="23" customWidth="1"/>
    <col min="3261" max="3261" width="12.5546875" style="23"/>
    <col min="3262" max="3262" width="1.6640625" style="23" customWidth="1"/>
    <col min="3263" max="3478" width="12.5546875" style="23"/>
    <col min="3479" max="3479" width="2.6640625" style="23" customWidth="1"/>
    <col min="3480" max="3480" width="53.5546875" style="23" customWidth="1"/>
    <col min="3481" max="3481" width="12.5546875" style="23" customWidth="1"/>
    <col min="3482" max="3482" width="3.5546875" style="23" customWidth="1"/>
    <col min="3483" max="3483" width="12.5546875" style="23" customWidth="1"/>
    <col min="3484" max="3484" width="1.6640625" style="23" customWidth="1"/>
    <col min="3485" max="3485" width="12.5546875" style="23" customWidth="1"/>
    <col min="3486" max="3486" width="1.6640625" style="23" customWidth="1"/>
    <col min="3487" max="3487" width="12.5546875" style="23" customWidth="1"/>
    <col min="3488" max="3488" width="1.6640625" style="23" customWidth="1"/>
    <col min="3489" max="3489" width="12.5546875" style="23" customWidth="1"/>
    <col min="3490" max="3490" width="1.6640625" style="23" customWidth="1"/>
    <col min="3491" max="3491" width="19.5546875" style="23" customWidth="1"/>
    <col min="3492" max="3492" width="3.5546875" style="23" customWidth="1"/>
    <col min="3493" max="3493" width="12.5546875" style="23" customWidth="1"/>
    <col min="3494" max="3494" width="3.5546875" style="23" customWidth="1"/>
    <col min="3495" max="3495" width="12.5546875" style="23" customWidth="1"/>
    <col min="3496" max="3496" width="1.6640625" style="23" customWidth="1"/>
    <col min="3497" max="3497" width="12.5546875" style="23" customWidth="1"/>
    <col min="3498" max="3498" width="1.6640625" style="23" customWidth="1"/>
    <col min="3499" max="3499" width="12.5546875" style="23" customWidth="1"/>
    <col min="3500" max="3500" width="1.6640625" style="23" customWidth="1"/>
    <col min="3501" max="3501" width="12.5546875" style="23" customWidth="1"/>
    <col min="3502" max="3502" width="1.6640625" style="23" customWidth="1"/>
    <col min="3503" max="3503" width="19.5546875" style="23" customWidth="1"/>
    <col min="3504" max="3505" width="12.5546875" style="23"/>
    <col min="3506" max="3506" width="1.6640625" style="23" customWidth="1"/>
    <col min="3507" max="3507" width="12.5546875" style="23"/>
    <col min="3508" max="3508" width="1.6640625" style="23" customWidth="1"/>
    <col min="3509" max="3509" width="12.5546875" style="23"/>
    <col min="3510" max="3510" width="1.6640625" style="23" customWidth="1"/>
    <col min="3511" max="3513" width="12.5546875" style="23"/>
    <col min="3514" max="3514" width="1.6640625" style="23" customWidth="1"/>
    <col min="3515" max="3515" width="12.5546875" style="23"/>
    <col min="3516" max="3516" width="1.6640625" style="23" customWidth="1"/>
    <col min="3517" max="3517" width="12.5546875" style="23"/>
    <col min="3518" max="3518" width="1.6640625" style="23" customWidth="1"/>
    <col min="3519" max="3734" width="12.5546875" style="23"/>
    <col min="3735" max="3735" width="2.6640625" style="23" customWidth="1"/>
    <col min="3736" max="3736" width="53.5546875" style="23" customWidth="1"/>
    <col min="3737" max="3737" width="12.5546875" style="23" customWidth="1"/>
    <col min="3738" max="3738" width="3.5546875" style="23" customWidth="1"/>
    <col min="3739" max="3739" width="12.5546875" style="23" customWidth="1"/>
    <col min="3740" max="3740" width="1.6640625" style="23" customWidth="1"/>
    <col min="3741" max="3741" width="12.5546875" style="23" customWidth="1"/>
    <col min="3742" max="3742" width="1.6640625" style="23" customWidth="1"/>
    <col min="3743" max="3743" width="12.5546875" style="23" customWidth="1"/>
    <col min="3744" max="3744" width="1.6640625" style="23" customWidth="1"/>
    <col min="3745" max="3745" width="12.5546875" style="23" customWidth="1"/>
    <col min="3746" max="3746" width="1.6640625" style="23" customWidth="1"/>
    <col min="3747" max="3747" width="19.5546875" style="23" customWidth="1"/>
    <col min="3748" max="3748" width="3.5546875" style="23" customWidth="1"/>
    <col min="3749" max="3749" width="12.5546875" style="23" customWidth="1"/>
    <col min="3750" max="3750" width="3.5546875" style="23" customWidth="1"/>
    <col min="3751" max="3751" width="12.5546875" style="23" customWidth="1"/>
    <col min="3752" max="3752" width="1.6640625" style="23" customWidth="1"/>
    <col min="3753" max="3753" width="12.5546875" style="23" customWidth="1"/>
    <col min="3754" max="3754" width="1.6640625" style="23" customWidth="1"/>
    <col min="3755" max="3755" width="12.5546875" style="23" customWidth="1"/>
    <col min="3756" max="3756" width="1.6640625" style="23" customWidth="1"/>
    <col min="3757" max="3757" width="12.5546875" style="23" customWidth="1"/>
    <col min="3758" max="3758" width="1.6640625" style="23" customWidth="1"/>
    <col min="3759" max="3759" width="19.5546875" style="23" customWidth="1"/>
    <col min="3760" max="3761" width="12.5546875" style="23"/>
    <col min="3762" max="3762" width="1.6640625" style="23" customWidth="1"/>
    <col min="3763" max="3763" width="12.5546875" style="23"/>
    <col min="3764" max="3764" width="1.6640625" style="23" customWidth="1"/>
    <col min="3765" max="3765" width="12.5546875" style="23"/>
    <col min="3766" max="3766" width="1.6640625" style="23" customWidth="1"/>
    <col min="3767" max="3769" width="12.5546875" style="23"/>
    <col min="3770" max="3770" width="1.6640625" style="23" customWidth="1"/>
    <col min="3771" max="3771" width="12.5546875" style="23"/>
    <col min="3772" max="3772" width="1.6640625" style="23" customWidth="1"/>
    <col min="3773" max="3773" width="12.5546875" style="23"/>
    <col min="3774" max="3774" width="1.6640625" style="23" customWidth="1"/>
    <col min="3775" max="3990" width="12.5546875" style="23"/>
    <col min="3991" max="3991" width="2.6640625" style="23" customWidth="1"/>
    <col min="3992" max="3992" width="53.5546875" style="23" customWidth="1"/>
    <col min="3993" max="3993" width="12.5546875" style="23" customWidth="1"/>
    <col min="3994" max="3994" width="3.5546875" style="23" customWidth="1"/>
    <col min="3995" max="3995" width="12.5546875" style="23" customWidth="1"/>
    <col min="3996" max="3996" width="1.6640625" style="23" customWidth="1"/>
    <col min="3997" max="3997" width="12.5546875" style="23" customWidth="1"/>
    <col min="3998" max="3998" width="1.6640625" style="23" customWidth="1"/>
    <col min="3999" max="3999" width="12.5546875" style="23" customWidth="1"/>
    <col min="4000" max="4000" width="1.6640625" style="23" customWidth="1"/>
    <col min="4001" max="4001" width="12.5546875" style="23" customWidth="1"/>
    <col min="4002" max="4002" width="1.6640625" style="23" customWidth="1"/>
    <col min="4003" max="4003" width="19.5546875" style="23" customWidth="1"/>
    <col min="4004" max="4004" width="3.5546875" style="23" customWidth="1"/>
    <col min="4005" max="4005" width="12.5546875" style="23" customWidth="1"/>
    <col min="4006" max="4006" width="3.5546875" style="23" customWidth="1"/>
    <col min="4007" max="4007" width="12.5546875" style="23" customWidth="1"/>
    <col min="4008" max="4008" width="1.6640625" style="23" customWidth="1"/>
    <col min="4009" max="4009" width="12.5546875" style="23" customWidth="1"/>
    <col min="4010" max="4010" width="1.6640625" style="23" customWidth="1"/>
    <col min="4011" max="4011" width="12.5546875" style="23" customWidth="1"/>
    <col min="4012" max="4012" width="1.6640625" style="23" customWidth="1"/>
    <col min="4013" max="4013" width="12.5546875" style="23" customWidth="1"/>
    <col min="4014" max="4014" width="1.6640625" style="23" customWidth="1"/>
    <col min="4015" max="4015" width="19.5546875" style="23" customWidth="1"/>
    <col min="4016" max="4017" width="12.5546875" style="23"/>
    <col min="4018" max="4018" width="1.6640625" style="23" customWidth="1"/>
    <col min="4019" max="4019" width="12.5546875" style="23"/>
    <col min="4020" max="4020" width="1.6640625" style="23" customWidth="1"/>
    <col min="4021" max="4021" width="12.5546875" style="23"/>
    <col min="4022" max="4022" width="1.6640625" style="23" customWidth="1"/>
    <col min="4023" max="4025" width="12.5546875" style="23"/>
    <col min="4026" max="4026" width="1.6640625" style="23" customWidth="1"/>
    <col min="4027" max="4027" width="12.5546875" style="23"/>
    <col min="4028" max="4028" width="1.6640625" style="23" customWidth="1"/>
    <col min="4029" max="4029" width="12.5546875" style="23"/>
    <col min="4030" max="4030" width="1.6640625" style="23" customWidth="1"/>
    <col min="4031" max="4246" width="12.5546875" style="23"/>
    <col min="4247" max="4247" width="2.6640625" style="23" customWidth="1"/>
    <col min="4248" max="4248" width="53.5546875" style="23" customWidth="1"/>
    <col min="4249" max="4249" width="12.5546875" style="23" customWidth="1"/>
    <col min="4250" max="4250" width="3.5546875" style="23" customWidth="1"/>
    <col min="4251" max="4251" width="12.5546875" style="23" customWidth="1"/>
    <col min="4252" max="4252" width="1.6640625" style="23" customWidth="1"/>
    <col min="4253" max="4253" width="12.5546875" style="23" customWidth="1"/>
    <col min="4254" max="4254" width="1.6640625" style="23" customWidth="1"/>
    <col min="4255" max="4255" width="12.5546875" style="23" customWidth="1"/>
    <col min="4256" max="4256" width="1.6640625" style="23" customWidth="1"/>
    <col min="4257" max="4257" width="12.5546875" style="23" customWidth="1"/>
    <col min="4258" max="4258" width="1.6640625" style="23" customWidth="1"/>
    <col min="4259" max="4259" width="19.5546875" style="23" customWidth="1"/>
    <col min="4260" max="4260" width="3.5546875" style="23" customWidth="1"/>
    <col min="4261" max="4261" width="12.5546875" style="23" customWidth="1"/>
    <col min="4262" max="4262" width="3.5546875" style="23" customWidth="1"/>
    <col min="4263" max="4263" width="12.5546875" style="23" customWidth="1"/>
    <col min="4264" max="4264" width="1.6640625" style="23" customWidth="1"/>
    <col min="4265" max="4265" width="12.5546875" style="23" customWidth="1"/>
    <col min="4266" max="4266" width="1.6640625" style="23" customWidth="1"/>
    <col min="4267" max="4267" width="12.5546875" style="23" customWidth="1"/>
    <col min="4268" max="4268" width="1.6640625" style="23" customWidth="1"/>
    <col min="4269" max="4269" width="12.5546875" style="23" customWidth="1"/>
    <col min="4270" max="4270" width="1.6640625" style="23" customWidth="1"/>
    <col min="4271" max="4271" width="19.5546875" style="23" customWidth="1"/>
    <col min="4272" max="4273" width="12.5546875" style="23"/>
    <col min="4274" max="4274" width="1.6640625" style="23" customWidth="1"/>
    <col min="4275" max="4275" width="12.5546875" style="23"/>
    <col min="4276" max="4276" width="1.6640625" style="23" customWidth="1"/>
    <col min="4277" max="4277" width="12.5546875" style="23"/>
    <col min="4278" max="4278" width="1.6640625" style="23" customWidth="1"/>
    <col min="4279" max="4281" width="12.5546875" style="23"/>
    <col min="4282" max="4282" width="1.6640625" style="23" customWidth="1"/>
    <col min="4283" max="4283" width="12.5546875" style="23"/>
    <col min="4284" max="4284" width="1.6640625" style="23" customWidth="1"/>
    <col min="4285" max="4285" width="12.5546875" style="23"/>
    <col min="4286" max="4286" width="1.6640625" style="23" customWidth="1"/>
    <col min="4287" max="4502" width="12.5546875" style="23"/>
    <col min="4503" max="4503" width="2.6640625" style="23" customWidth="1"/>
    <col min="4504" max="4504" width="53.5546875" style="23" customWidth="1"/>
    <col min="4505" max="4505" width="12.5546875" style="23" customWidth="1"/>
    <col min="4506" max="4506" width="3.5546875" style="23" customWidth="1"/>
    <col min="4507" max="4507" width="12.5546875" style="23" customWidth="1"/>
    <col min="4508" max="4508" width="1.6640625" style="23" customWidth="1"/>
    <col min="4509" max="4509" width="12.5546875" style="23" customWidth="1"/>
    <col min="4510" max="4510" width="1.6640625" style="23" customWidth="1"/>
    <col min="4511" max="4511" width="12.5546875" style="23" customWidth="1"/>
    <col min="4512" max="4512" width="1.6640625" style="23" customWidth="1"/>
    <col min="4513" max="4513" width="12.5546875" style="23" customWidth="1"/>
    <col min="4514" max="4514" width="1.6640625" style="23" customWidth="1"/>
    <col min="4515" max="4515" width="19.5546875" style="23" customWidth="1"/>
    <col min="4516" max="4516" width="3.5546875" style="23" customWidth="1"/>
    <col min="4517" max="4517" width="12.5546875" style="23" customWidth="1"/>
    <col min="4518" max="4518" width="3.5546875" style="23" customWidth="1"/>
    <col min="4519" max="4519" width="12.5546875" style="23" customWidth="1"/>
    <col min="4520" max="4520" width="1.6640625" style="23" customWidth="1"/>
    <col min="4521" max="4521" width="12.5546875" style="23" customWidth="1"/>
    <col min="4522" max="4522" width="1.6640625" style="23" customWidth="1"/>
    <col min="4523" max="4523" width="12.5546875" style="23" customWidth="1"/>
    <col min="4524" max="4524" width="1.6640625" style="23" customWidth="1"/>
    <col min="4525" max="4525" width="12.5546875" style="23" customWidth="1"/>
    <col min="4526" max="4526" width="1.6640625" style="23" customWidth="1"/>
    <col min="4527" max="4527" width="19.5546875" style="23" customWidth="1"/>
    <col min="4528" max="4529" width="12.5546875" style="23"/>
    <col min="4530" max="4530" width="1.6640625" style="23" customWidth="1"/>
    <col min="4531" max="4531" width="12.5546875" style="23"/>
    <col min="4532" max="4532" width="1.6640625" style="23" customWidth="1"/>
    <col min="4533" max="4533" width="12.5546875" style="23"/>
    <col min="4534" max="4534" width="1.6640625" style="23" customWidth="1"/>
    <col min="4535" max="4537" width="12.5546875" style="23"/>
    <col min="4538" max="4538" width="1.6640625" style="23" customWidth="1"/>
    <col min="4539" max="4539" width="12.5546875" style="23"/>
    <col min="4540" max="4540" width="1.6640625" style="23" customWidth="1"/>
    <col min="4541" max="4541" width="12.5546875" style="23"/>
    <col min="4542" max="4542" width="1.6640625" style="23" customWidth="1"/>
    <col min="4543" max="4758" width="12.5546875" style="23"/>
    <col min="4759" max="4759" width="2.6640625" style="23" customWidth="1"/>
    <col min="4760" max="4760" width="53.5546875" style="23" customWidth="1"/>
    <col min="4761" max="4761" width="12.5546875" style="23" customWidth="1"/>
    <col min="4762" max="4762" width="3.5546875" style="23" customWidth="1"/>
    <col min="4763" max="4763" width="12.5546875" style="23" customWidth="1"/>
    <col min="4764" max="4764" width="1.6640625" style="23" customWidth="1"/>
    <col min="4765" max="4765" width="12.5546875" style="23" customWidth="1"/>
    <col min="4766" max="4766" width="1.6640625" style="23" customWidth="1"/>
    <col min="4767" max="4767" width="12.5546875" style="23" customWidth="1"/>
    <col min="4768" max="4768" width="1.6640625" style="23" customWidth="1"/>
    <col min="4769" max="4769" width="12.5546875" style="23" customWidth="1"/>
    <col min="4770" max="4770" width="1.6640625" style="23" customWidth="1"/>
    <col min="4771" max="4771" width="19.5546875" style="23" customWidth="1"/>
    <col min="4772" max="4772" width="3.5546875" style="23" customWidth="1"/>
    <col min="4773" max="4773" width="12.5546875" style="23" customWidth="1"/>
    <col min="4774" max="4774" width="3.5546875" style="23" customWidth="1"/>
    <col min="4775" max="4775" width="12.5546875" style="23" customWidth="1"/>
    <col min="4776" max="4776" width="1.6640625" style="23" customWidth="1"/>
    <col min="4777" max="4777" width="12.5546875" style="23" customWidth="1"/>
    <col min="4778" max="4778" width="1.6640625" style="23" customWidth="1"/>
    <col min="4779" max="4779" width="12.5546875" style="23" customWidth="1"/>
    <col min="4780" max="4780" width="1.6640625" style="23" customWidth="1"/>
    <col min="4781" max="4781" width="12.5546875" style="23" customWidth="1"/>
    <col min="4782" max="4782" width="1.6640625" style="23" customWidth="1"/>
    <col min="4783" max="4783" width="19.5546875" style="23" customWidth="1"/>
    <col min="4784" max="4785" width="12.5546875" style="23"/>
    <col min="4786" max="4786" width="1.6640625" style="23" customWidth="1"/>
    <col min="4787" max="4787" width="12.5546875" style="23"/>
    <col min="4788" max="4788" width="1.6640625" style="23" customWidth="1"/>
    <col min="4789" max="4789" width="12.5546875" style="23"/>
    <col min="4790" max="4790" width="1.6640625" style="23" customWidth="1"/>
    <col min="4791" max="4793" width="12.5546875" style="23"/>
    <col min="4794" max="4794" width="1.6640625" style="23" customWidth="1"/>
    <col min="4795" max="4795" width="12.5546875" style="23"/>
    <col min="4796" max="4796" width="1.6640625" style="23" customWidth="1"/>
    <col min="4797" max="4797" width="12.5546875" style="23"/>
    <col min="4798" max="4798" width="1.6640625" style="23" customWidth="1"/>
    <col min="4799" max="5014" width="12.5546875" style="23"/>
    <col min="5015" max="5015" width="2.6640625" style="23" customWidth="1"/>
    <col min="5016" max="5016" width="53.5546875" style="23" customWidth="1"/>
    <col min="5017" max="5017" width="12.5546875" style="23" customWidth="1"/>
    <col min="5018" max="5018" width="3.5546875" style="23" customWidth="1"/>
    <col min="5019" max="5019" width="12.5546875" style="23" customWidth="1"/>
    <col min="5020" max="5020" width="1.6640625" style="23" customWidth="1"/>
    <col min="5021" max="5021" width="12.5546875" style="23" customWidth="1"/>
    <col min="5022" max="5022" width="1.6640625" style="23" customWidth="1"/>
    <col min="5023" max="5023" width="12.5546875" style="23" customWidth="1"/>
    <col min="5024" max="5024" width="1.6640625" style="23" customWidth="1"/>
    <col min="5025" max="5025" width="12.5546875" style="23" customWidth="1"/>
    <col min="5026" max="5026" width="1.6640625" style="23" customWidth="1"/>
    <col min="5027" max="5027" width="19.5546875" style="23" customWidth="1"/>
    <col min="5028" max="5028" width="3.5546875" style="23" customWidth="1"/>
    <col min="5029" max="5029" width="12.5546875" style="23" customWidth="1"/>
    <col min="5030" max="5030" width="3.5546875" style="23" customWidth="1"/>
    <col min="5031" max="5031" width="12.5546875" style="23" customWidth="1"/>
    <col min="5032" max="5032" width="1.6640625" style="23" customWidth="1"/>
    <col min="5033" max="5033" width="12.5546875" style="23" customWidth="1"/>
    <col min="5034" max="5034" width="1.6640625" style="23" customWidth="1"/>
    <col min="5035" max="5035" width="12.5546875" style="23" customWidth="1"/>
    <col min="5036" max="5036" width="1.6640625" style="23" customWidth="1"/>
    <col min="5037" max="5037" width="12.5546875" style="23" customWidth="1"/>
    <col min="5038" max="5038" width="1.6640625" style="23" customWidth="1"/>
    <col min="5039" max="5039" width="19.5546875" style="23" customWidth="1"/>
    <col min="5040" max="5041" width="12.5546875" style="23"/>
    <col min="5042" max="5042" width="1.6640625" style="23" customWidth="1"/>
    <col min="5043" max="5043" width="12.5546875" style="23"/>
    <col min="5044" max="5044" width="1.6640625" style="23" customWidth="1"/>
    <col min="5045" max="5045" width="12.5546875" style="23"/>
    <col min="5046" max="5046" width="1.6640625" style="23" customWidth="1"/>
    <col min="5047" max="5049" width="12.5546875" style="23"/>
    <col min="5050" max="5050" width="1.6640625" style="23" customWidth="1"/>
    <col min="5051" max="5051" width="12.5546875" style="23"/>
    <col min="5052" max="5052" width="1.6640625" style="23" customWidth="1"/>
    <col min="5053" max="5053" width="12.5546875" style="23"/>
    <col min="5054" max="5054" width="1.6640625" style="23" customWidth="1"/>
    <col min="5055" max="5270" width="12.5546875" style="23"/>
    <col min="5271" max="5271" width="2.6640625" style="23" customWidth="1"/>
    <col min="5272" max="5272" width="53.5546875" style="23" customWidth="1"/>
    <col min="5273" max="5273" width="12.5546875" style="23" customWidth="1"/>
    <col min="5274" max="5274" width="3.5546875" style="23" customWidth="1"/>
    <col min="5275" max="5275" width="12.5546875" style="23" customWidth="1"/>
    <col min="5276" max="5276" width="1.6640625" style="23" customWidth="1"/>
    <col min="5277" max="5277" width="12.5546875" style="23" customWidth="1"/>
    <col min="5278" max="5278" width="1.6640625" style="23" customWidth="1"/>
    <col min="5279" max="5279" width="12.5546875" style="23" customWidth="1"/>
    <col min="5280" max="5280" width="1.6640625" style="23" customWidth="1"/>
    <col min="5281" max="5281" width="12.5546875" style="23" customWidth="1"/>
    <col min="5282" max="5282" width="1.6640625" style="23" customWidth="1"/>
    <col min="5283" max="5283" width="19.5546875" style="23" customWidth="1"/>
    <col min="5284" max="5284" width="3.5546875" style="23" customWidth="1"/>
    <col min="5285" max="5285" width="12.5546875" style="23" customWidth="1"/>
    <col min="5286" max="5286" width="3.5546875" style="23" customWidth="1"/>
    <col min="5287" max="5287" width="12.5546875" style="23" customWidth="1"/>
    <col min="5288" max="5288" width="1.6640625" style="23" customWidth="1"/>
    <col min="5289" max="5289" width="12.5546875" style="23" customWidth="1"/>
    <col min="5290" max="5290" width="1.6640625" style="23" customWidth="1"/>
    <col min="5291" max="5291" width="12.5546875" style="23" customWidth="1"/>
    <col min="5292" max="5292" width="1.6640625" style="23" customWidth="1"/>
    <col min="5293" max="5293" width="12.5546875" style="23" customWidth="1"/>
    <col min="5294" max="5294" width="1.6640625" style="23" customWidth="1"/>
    <col min="5295" max="5295" width="19.5546875" style="23" customWidth="1"/>
    <col min="5296" max="5297" width="12.5546875" style="23"/>
    <col min="5298" max="5298" width="1.6640625" style="23" customWidth="1"/>
    <col min="5299" max="5299" width="12.5546875" style="23"/>
    <col min="5300" max="5300" width="1.6640625" style="23" customWidth="1"/>
    <col min="5301" max="5301" width="12.5546875" style="23"/>
    <col min="5302" max="5302" width="1.6640625" style="23" customWidth="1"/>
    <col min="5303" max="5305" width="12.5546875" style="23"/>
    <col min="5306" max="5306" width="1.6640625" style="23" customWidth="1"/>
    <col min="5307" max="5307" width="12.5546875" style="23"/>
    <col min="5308" max="5308" width="1.6640625" style="23" customWidth="1"/>
    <col min="5309" max="5309" width="12.5546875" style="23"/>
    <col min="5310" max="5310" width="1.6640625" style="23" customWidth="1"/>
    <col min="5311" max="5526" width="12.5546875" style="23"/>
    <col min="5527" max="5527" width="2.6640625" style="23" customWidth="1"/>
    <col min="5528" max="5528" width="53.5546875" style="23" customWidth="1"/>
    <col min="5529" max="5529" width="12.5546875" style="23" customWidth="1"/>
    <col min="5530" max="5530" width="3.5546875" style="23" customWidth="1"/>
    <col min="5531" max="5531" width="12.5546875" style="23" customWidth="1"/>
    <col min="5532" max="5532" width="1.6640625" style="23" customWidth="1"/>
    <col min="5533" max="5533" width="12.5546875" style="23" customWidth="1"/>
    <col min="5534" max="5534" width="1.6640625" style="23" customWidth="1"/>
    <col min="5535" max="5535" width="12.5546875" style="23" customWidth="1"/>
    <col min="5536" max="5536" width="1.6640625" style="23" customWidth="1"/>
    <col min="5537" max="5537" width="12.5546875" style="23" customWidth="1"/>
    <col min="5538" max="5538" width="1.6640625" style="23" customWidth="1"/>
    <col min="5539" max="5539" width="19.5546875" style="23" customWidth="1"/>
    <col min="5540" max="5540" width="3.5546875" style="23" customWidth="1"/>
    <col min="5541" max="5541" width="12.5546875" style="23" customWidth="1"/>
    <col min="5542" max="5542" width="3.5546875" style="23" customWidth="1"/>
    <col min="5543" max="5543" width="12.5546875" style="23" customWidth="1"/>
    <col min="5544" max="5544" width="1.6640625" style="23" customWidth="1"/>
    <col min="5545" max="5545" width="12.5546875" style="23" customWidth="1"/>
    <col min="5546" max="5546" width="1.6640625" style="23" customWidth="1"/>
    <col min="5547" max="5547" width="12.5546875" style="23" customWidth="1"/>
    <col min="5548" max="5548" width="1.6640625" style="23" customWidth="1"/>
    <col min="5549" max="5549" width="12.5546875" style="23" customWidth="1"/>
    <col min="5550" max="5550" width="1.6640625" style="23" customWidth="1"/>
    <col min="5551" max="5551" width="19.5546875" style="23" customWidth="1"/>
    <col min="5552" max="5553" width="12.5546875" style="23"/>
    <col min="5554" max="5554" width="1.6640625" style="23" customWidth="1"/>
    <col min="5555" max="5555" width="12.5546875" style="23"/>
    <col min="5556" max="5556" width="1.6640625" style="23" customWidth="1"/>
    <col min="5557" max="5557" width="12.5546875" style="23"/>
    <col min="5558" max="5558" width="1.6640625" style="23" customWidth="1"/>
    <col min="5559" max="5561" width="12.5546875" style="23"/>
    <col min="5562" max="5562" width="1.6640625" style="23" customWidth="1"/>
    <col min="5563" max="5563" width="12.5546875" style="23"/>
    <col min="5564" max="5564" width="1.6640625" style="23" customWidth="1"/>
    <col min="5565" max="5565" width="12.5546875" style="23"/>
    <col min="5566" max="5566" width="1.6640625" style="23" customWidth="1"/>
    <col min="5567" max="5782" width="12.5546875" style="23"/>
    <col min="5783" max="5783" width="2.6640625" style="23" customWidth="1"/>
    <col min="5784" max="5784" width="53.5546875" style="23" customWidth="1"/>
    <col min="5785" max="5785" width="12.5546875" style="23" customWidth="1"/>
    <col min="5786" max="5786" width="3.5546875" style="23" customWidth="1"/>
    <col min="5787" max="5787" width="12.5546875" style="23" customWidth="1"/>
    <col min="5788" max="5788" width="1.6640625" style="23" customWidth="1"/>
    <col min="5789" max="5789" width="12.5546875" style="23" customWidth="1"/>
    <col min="5790" max="5790" width="1.6640625" style="23" customWidth="1"/>
    <col min="5791" max="5791" width="12.5546875" style="23" customWidth="1"/>
    <col min="5792" max="5792" width="1.6640625" style="23" customWidth="1"/>
    <col min="5793" max="5793" width="12.5546875" style="23" customWidth="1"/>
    <col min="5794" max="5794" width="1.6640625" style="23" customWidth="1"/>
    <col min="5795" max="5795" width="19.5546875" style="23" customWidth="1"/>
    <col min="5796" max="5796" width="3.5546875" style="23" customWidth="1"/>
    <col min="5797" max="5797" width="12.5546875" style="23" customWidth="1"/>
    <col min="5798" max="5798" width="3.5546875" style="23" customWidth="1"/>
    <col min="5799" max="5799" width="12.5546875" style="23" customWidth="1"/>
    <col min="5800" max="5800" width="1.6640625" style="23" customWidth="1"/>
    <col min="5801" max="5801" width="12.5546875" style="23" customWidth="1"/>
    <col min="5802" max="5802" width="1.6640625" style="23" customWidth="1"/>
    <col min="5803" max="5803" width="12.5546875" style="23" customWidth="1"/>
    <col min="5804" max="5804" width="1.6640625" style="23" customWidth="1"/>
    <col min="5805" max="5805" width="12.5546875" style="23" customWidth="1"/>
    <col min="5806" max="5806" width="1.6640625" style="23" customWidth="1"/>
    <col min="5807" max="5807" width="19.5546875" style="23" customWidth="1"/>
    <col min="5808" max="5809" width="12.5546875" style="23"/>
    <col min="5810" max="5810" width="1.6640625" style="23" customWidth="1"/>
    <col min="5811" max="5811" width="12.5546875" style="23"/>
    <col min="5812" max="5812" width="1.6640625" style="23" customWidth="1"/>
    <col min="5813" max="5813" width="12.5546875" style="23"/>
    <col min="5814" max="5814" width="1.6640625" style="23" customWidth="1"/>
    <col min="5815" max="5817" width="12.5546875" style="23"/>
    <col min="5818" max="5818" width="1.6640625" style="23" customWidth="1"/>
    <col min="5819" max="5819" width="12.5546875" style="23"/>
    <col min="5820" max="5820" width="1.6640625" style="23" customWidth="1"/>
    <col min="5821" max="5821" width="12.5546875" style="23"/>
    <col min="5822" max="5822" width="1.6640625" style="23" customWidth="1"/>
    <col min="5823" max="6038" width="12.5546875" style="23"/>
    <col min="6039" max="6039" width="2.6640625" style="23" customWidth="1"/>
    <col min="6040" max="6040" width="53.5546875" style="23" customWidth="1"/>
    <col min="6041" max="6041" width="12.5546875" style="23" customWidth="1"/>
    <col min="6042" max="6042" width="3.5546875" style="23" customWidth="1"/>
    <col min="6043" max="6043" width="12.5546875" style="23" customWidth="1"/>
    <col min="6044" max="6044" width="1.6640625" style="23" customWidth="1"/>
    <col min="6045" max="6045" width="12.5546875" style="23" customWidth="1"/>
    <col min="6046" max="6046" width="1.6640625" style="23" customWidth="1"/>
    <col min="6047" max="6047" width="12.5546875" style="23" customWidth="1"/>
    <col min="6048" max="6048" width="1.6640625" style="23" customWidth="1"/>
    <col min="6049" max="6049" width="12.5546875" style="23" customWidth="1"/>
    <col min="6050" max="6050" width="1.6640625" style="23" customWidth="1"/>
    <col min="6051" max="6051" width="19.5546875" style="23" customWidth="1"/>
    <col min="6052" max="6052" width="3.5546875" style="23" customWidth="1"/>
    <col min="6053" max="6053" width="12.5546875" style="23" customWidth="1"/>
    <col min="6054" max="6054" width="3.5546875" style="23" customWidth="1"/>
    <col min="6055" max="6055" width="12.5546875" style="23" customWidth="1"/>
    <col min="6056" max="6056" width="1.6640625" style="23" customWidth="1"/>
    <col min="6057" max="6057" width="12.5546875" style="23" customWidth="1"/>
    <col min="6058" max="6058" width="1.6640625" style="23" customWidth="1"/>
    <col min="6059" max="6059" width="12.5546875" style="23" customWidth="1"/>
    <col min="6060" max="6060" width="1.6640625" style="23" customWidth="1"/>
    <col min="6061" max="6061" width="12.5546875" style="23" customWidth="1"/>
    <col min="6062" max="6062" width="1.6640625" style="23" customWidth="1"/>
    <col min="6063" max="6063" width="19.5546875" style="23" customWidth="1"/>
    <col min="6064" max="6065" width="12.5546875" style="23"/>
    <col min="6066" max="6066" width="1.6640625" style="23" customWidth="1"/>
    <col min="6067" max="6067" width="12.5546875" style="23"/>
    <col min="6068" max="6068" width="1.6640625" style="23" customWidth="1"/>
    <col min="6069" max="6069" width="12.5546875" style="23"/>
    <col min="6070" max="6070" width="1.6640625" style="23" customWidth="1"/>
    <col min="6071" max="6073" width="12.5546875" style="23"/>
    <col min="6074" max="6074" width="1.6640625" style="23" customWidth="1"/>
    <col min="6075" max="6075" width="12.5546875" style="23"/>
    <col min="6076" max="6076" width="1.6640625" style="23" customWidth="1"/>
    <col min="6077" max="6077" width="12.5546875" style="23"/>
    <col min="6078" max="6078" width="1.6640625" style="23" customWidth="1"/>
    <col min="6079" max="6294" width="12.5546875" style="23"/>
    <col min="6295" max="6295" width="2.6640625" style="23" customWidth="1"/>
    <col min="6296" max="6296" width="53.5546875" style="23" customWidth="1"/>
    <col min="6297" max="6297" width="12.5546875" style="23" customWidth="1"/>
    <col min="6298" max="6298" width="3.5546875" style="23" customWidth="1"/>
    <col min="6299" max="6299" width="12.5546875" style="23" customWidth="1"/>
    <col min="6300" max="6300" width="1.6640625" style="23" customWidth="1"/>
    <col min="6301" max="6301" width="12.5546875" style="23" customWidth="1"/>
    <col min="6302" max="6302" width="1.6640625" style="23" customWidth="1"/>
    <col min="6303" max="6303" width="12.5546875" style="23" customWidth="1"/>
    <col min="6304" max="6304" width="1.6640625" style="23" customWidth="1"/>
    <col min="6305" max="6305" width="12.5546875" style="23" customWidth="1"/>
    <col min="6306" max="6306" width="1.6640625" style="23" customWidth="1"/>
    <col min="6307" max="6307" width="19.5546875" style="23" customWidth="1"/>
    <col min="6308" max="6308" width="3.5546875" style="23" customWidth="1"/>
    <col min="6309" max="6309" width="12.5546875" style="23" customWidth="1"/>
    <col min="6310" max="6310" width="3.5546875" style="23" customWidth="1"/>
    <col min="6311" max="6311" width="12.5546875" style="23" customWidth="1"/>
    <col min="6312" max="6312" width="1.6640625" style="23" customWidth="1"/>
    <col min="6313" max="6313" width="12.5546875" style="23" customWidth="1"/>
    <col min="6314" max="6314" width="1.6640625" style="23" customWidth="1"/>
    <col min="6315" max="6315" width="12.5546875" style="23" customWidth="1"/>
    <col min="6316" max="6316" width="1.6640625" style="23" customWidth="1"/>
    <col min="6317" max="6317" width="12.5546875" style="23" customWidth="1"/>
    <col min="6318" max="6318" width="1.6640625" style="23" customWidth="1"/>
    <col min="6319" max="6319" width="19.5546875" style="23" customWidth="1"/>
    <col min="6320" max="6321" width="12.5546875" style="23"/>
    <col min="6322" max="6322" width="1.6640625" style="23" customWidth="1"/>
    <col min="6323" max="6323" width="12.5546875" style="23"/>
    <col min="6324" max="6324" width="1.6640625" style="23" customWidth="1"/>
    <col min="6325" max="6325" width="12.5546875" style="23"/>
    <col min="6326" max="6326" width="1.6640625" style="23" customWidth="1"/>
    <col min="6327" max="6329" width="12.5546875" style="23"/>
    <col min="6330" max="6330" width="1.6640625" style="23" customWidth="1"/>
    <col min="6331" max="6331" width="12.5546875" style="23"/>
    <col min="6332" max="6332" width="1.6640625" style="23" customWidth="1"/>
    <col min="6333" max="6333" width="12.5546875" style="23"/>
    <col min="6334" max="6334" width="1.6640625" style="23" customWidth="1"/>
    <col min="6335" max="6550" width="12.5546875" style="23"/>
    <col min="6551" max="6551" width="2.6640625" style="23" customWidth="1"/>
    <col min="6552" max="6552" width="53.5546875" style="23" customWidth="1"/>
    <col min="6553" max="6553" width="12.5546875" style="23" customWidth="1"/>
    <col min="6554" max="6554" width="3.5546875" style="23" customWidth="1"/>
    <col min="6555" max="6555" width="12.5546875" style="23" customWidth="1"/>
    <col min="6556" max="6556" width="1.6640625" style="23" customWidth="1"/>
    <col min="6557" max="6557" width="12.5546875" style="23" customWidth="1"/>
    <col min="6558" max="6558" width="1.6640625" style="23" customWidth="1"/>
    <col min="6559" max="6559" width="12.5546875" style="23" customWidth="1"/>
    <col min="6560" max="6560" width="1.6640625" style="23" customWidth="1"/>
    <col min="6561" max="6561" width="12.5546875" style="23" customWidth="1"/>
    <col min="6562" max="6562" width="1.6640625" style="23" customWidth="1"/>
    <col min="6563" max="6563" width="19.5546875" style="23" customWidth="1"/>
    <col min="6564" max="6564" width="3.5546875" style="23" customWidth="1"/>
    <col min="6565" max="6565" width="12.5546875" style="23" customWidth="1"/>
    <col min="6566" max="6566" width="3.5546875" style="23" customWidth="1"/>
    <col min="6567" max="6567" width="12.5546875" style="23" customWidth="1"/>
    <col min="6568" max="6568" width="1.6640625" style="23" customWidth="1"/>
    <col min="6569" max="6569" width="12.5546875" style="23" customWidth="1"/>
    <col min="6570" max="6570" width="1.6640625" style="23" customWidth="1"/>
    <col min="6571" max="6571" width="12.5546875" style="23" customWidth="1"/>
    <col min="6572" max="6572" width="1.6640625" style="23" customWidth="1"/>
    <col min="6573" max="6573" width="12.5546875" style="23" customWidth="1"/>
    <col min="6574" max="6574" width="1.6640625" style="23" customWidth="1"/>
    <col min="6575" max="6575" width="19.5546875" style="23" customWidth="1"/>
    <col min="6576" max="6577" width="12.5546875" style="23"/>
    <col min="6578" max="6578" width="1.6640625" style="23" customWidth="1"/>
    <col min="6579" max="6579" width="12.5546875" style="23"/>
    <col min="6580" max="6580" width="1.6640625" style="23" customWidth="1"/>
    <col min="6581" max="6581" width="12.5546875" style="23"/>
    <col min="6582" max="6582" width="1.6640625" style="23" customWidth="1"/>
    <col min="6583" max="6585" width="12.5546875" style="23"/>
    <col min="6586" max="6586" width="1.6640625" style="23" customWidth="1"/>
    <col min="6587" max="6587" width="12.5546875" style="23"/>
    <col min="6588" max="6588" width="1.6640625" style="23" customWidth="1"/>
    <col min="6589" max="6589" width="12.5546875" style="23"/>
    <col min="6590" max="6590" width="1.6640625" style="23" customWidth="1"/>
    <col min="6591" max="6806" width="12.5546875" style="23"/>
    <col min="6807" max="6807" width="2.6640625" style="23" customWidth="1"/>
    <col min="6808" max="6808" width="53.5546875" style="23" customWidth="1"/>
    <col min="6809" max="6809" width="12.5546875" style="23" customWidth="1"/>
    <col min="6810" max="6810" width="3.5546875" style="23" customWidth="1"/>
    <col min="6811" max="6811" width="12.5546875" style="23" customWidth="1"/>
    <col min="6812" max="6812" width="1.6640625" style="23" customWidth="1"/>
    <col min="6813" max="6813" width="12.5546875" style="23" customWidth="1"/>
    <col min="6814" max="6814" width="1.6640625" style="23" customWidth="1"/>
    <col min="6815" max="6815" width="12.5546875" style="23" customWidth="1"/>
    <col min="6816" max="6816" width="1.6640625" style="23" customWidth="1"/>
    <col min="6817" max="6817" width="12.5546875" style="23" customWidth="1"/>
    <col min="6818" max="6818" width="1.6640625" style="23" customWidth="1"/>
    <col min="6819" max="6819" width="19.5546875" style="23" customWidth="1"/>
    <col min="6820" max="6820" width="3.5546875" style="23" customWidth="1"/>
    <col min="6821" max="6821" width="12.5546875" style="23" customWidth="1"/>
    <col min="6822" max="6822" width="3.5546875" style="23" customWidth="1"/>
    <col min="6823" max="6823" width="12.5546875" style="23" customWidth="1"/>
    <col min="6824" max="6824" width="1.6640625" style="23" customWidth="1"/>
    <col min="6825" max="6825" width="12.5546875" style="23" customWidth="1"/>
    <col min="6826" max="6826" width="1.6640625" style="23" customWidth="1"/>
    <col min="6827" max="6827" width="12.5546875" style="23" customWidth="1"/>
    <col min="6828" max="6828" width="1.6640625" style="23" customWidth="1"/>
    <col min="6829" max="6829" width="12.5546875" style="23" customWidth="1"/>
    <col min="6830" max="6830" width="1.6640625" style="23" customWidth="1"/>
    <col min="6831" max="6831" width="19.5546875" style="23" customWidth="1"/>
    <col min="6832" max="6833" width="12.5546875" style="23"/>
    <col min="6834" max="6834" width="1.6640625" style="23" customWidth="1"/>
    <col min="6835" max="6835" width="12.5546875" style="23"/>
    <col min="6836" max="6836" width="1.6640625" style="23" customWidth="1"/>
    <col min="6837" max="6837" width="12.5546875" style="23"/>
    <col min="6838" max="6838" width="1.6640625" style="23" customWidth="1"/>
    <col min="6839" max="6841" width="12.5546875" style="23"/>
    <col min="6842" max="6842" width="1.6640625" style="23" customWidth="1"/>
    <col min="6843" max="6843" width="12.5546875" style="23"/>
    <col min="6844" max="6844" width="1.6640625" style="23" customWidth="1"/>
    <col min="6845" max="6845" width="12.5546875" style="23"/>
    <col min="6846" max="6846" width="1.6640625" style="23" customWidth="1"/>
    <col min="6847" max="7062" width="12.5546875" style="23"/>
    <col min="7063" max="7063" width="2.6640625" style="23" customWidth="1"/>
    <col min="7064" max="7064" width="53.5546875" style="23" customWidth="1"/>
    <col min="7065" max="7065" width="12.5546875" style="23" customWidth="1"/>
    <col min="7066" max="7066" width="3.5546875" style="23" customWidth="1"/>
    <col min="7067" max="7067" width="12.5546875" style="23" customWidth="1"/>
    <col min="7068" max="7068" width="1.6640625" style="23" customWidth="1"/>
    <col min="7069" max="7069" width="12.5546875" style="23" customWidth="1"/>
    <col min="7070" max="7070" width="1.6640625" style="23" customWidth="1"/>
    <col min="7071" max="7071" width="12.5546875" style="23" customWidth="1"/>
    <col min="7072" max="7072" width="1.6640625" style="23" customWidth="1"/>
    <col min="7073" max="7073" width="12.5546875" style="23" customWidth="1"/>
    <col min="7074" max="7074" width="1.6640625" style="23" customWidth="1"/>
    <col min="7075" max="7075" width="19.5546875" style="23" customWidth="1"/>
    <col min="7076" max="7076" width="3.5546875" style="23" customWidth="1"/>
    <col min="7077" max="7077" width="12.5546875" style="23" customWidth="1"/>
    <col min="7078" max="7078" width="3.5546875" style="23" customWidth="1"/>
    <col min="7079" max="7079" width="12.5546875" style="23" customWidth="1"/>
    <col min="7080" max="7080" width="1.6640625" style="23" customWidth="1"/>
    <col min="7081" max="7081" width="12.5546875" style="23" customWidth="1"/>
    <col min="7082" max="7082" width="1.6640625" style="23" customWidth="1"/>
    <col min="7083" max="7083" width="12.5546875" style="23" customWidth="1"/>
    <col min="7084" max="7084" width="1.6640625" style="23" customWidth="1"/>
    <col min="7085" max="7085" width="12.5546875" style="23" customWidth="1"/>
    <col min="7086" max="7086" width="1.6640625" style="23" customWidth="1"/>
    <col min="7087" max="7087" width="19.5546875" style="23" customWidth="1"/>
    <col min="7088" max="7089" width="12.5546875" style="23"/>
    <col min="7090" max="7090" width="1.6640625" style="23" customWidth="1"/>
    <col min="7091" max="7091" width="12.5546875" style="23"/>
    <col min="7092" max="7092" width="1.6640625" style="23" customWidth="1"/>
    <col min="7093" max="7093" width="12.5546875" style="23"/>
    <col min="7094" max="7094" width="1.6640625" style="23" customWidth="1"/>
    <col min="7095" max="7097" width="12.5546875" style="23"/>
    <col min="7098" max="7098" width="1.6640625" style="23" customWidth="1"/>
    <col min="7099" max="7099" width="12.5546875" style="23"/>
    <col min="7100" max="7100" width="1.6640625" style="23" customWidth="1"/>
    <col min="7101" max="7101" width="12.5546875" style="23"/>
    <col min="7102" max="7102" width="1.6640625" style="23" customWidth="1"/>
    <col min="7103" max="7318" width="12.5546875" style="23"/>
    <col min="7319" max="7319" width="2.6640625" style="23" customWidth="1"/>
    <col min="7320" max="7320" width="53.5546875" style="23" customWidth="1"/>
    <col min="7321" max="7321" width="12.5546875" style="23" customWidth="1"/>
    <col min="7322" max="7322" width="3.5546875" style="23" customWidth="1"/>
    <col min="7323" max="7323" width="12.5546875" style="23" customWidth="1"/>
    <col min="7324" max="7324" width="1.6640625" style="23" customWidth="1"/>
    <col min="7325" max="7325" width="12.5546875" style="23" customWidth="1"/>
    <col min="7326" max="7326" width="1.6640625" style="23" customWidth="1"/>
    <col min="7327" max="7327" width="12.5546875" style="23" customWidth="1"/>
    <col min="7328" max="7328" width="1.6640625" style="23" customWidth="1"/>
    <col min="7329" max="7329" width="12.5546875" style="23" customWidth="1"/>
    <col min="7330" max="7330" width="1.6640625" style="23" customWidth="1"/>
    <col min="7331" max="7331" width="19.5546875" style="23" customWidth="1"/>
    <col min="7332" max="7332" width="3.5546875" style="23" customWidth="1"/>
    <col min="7333" max="7333" width="12.5546875" style="23" customWidth="1"/>
    <col min="7334" max="7334" width="3.5546875" style="23" customWidth="1"/>
    <col min="7335" max="7335" width="12.5546875" style="23" customWidth="1"/>
    <col min="7336" max="7336" width="1.6640625" style="23" customWidth="1"/>
    <col min="7337" max="7337" width="12.5546875" style="23" customWidth="1"/>
    <col min="7338" max="7338" width="1.6640625" style="23" customWidth="1"/>
    <col min="7339" max="7339" width="12.5546875" style="23" customWidth="1"/>
    <col min="7340" max="7340" width="1.6640625" style="23" customWidth="1"/>
    <col min="7341" max="7341" width="12.5546875" style="23" customWidth="1"/>
    <col min="7342" max="7342" width="1.6640625" style="23" customWidth="1"/>
    <col min="7343" max="7343" width="19.5546875" style="23" customWidth="1"/>
    <col min="7344" max="7345" width="12.5546875" style="23"/>
    <col min="7346" max="7346" width="1.6640625" style="23" customWidth="1"/>
    <col min="7347" max="7347" width="12.5546875" style="23"/>
    <col min="7348" max="7348" width="1.6640625" style="23" customWidth="1"/>
    <col min="7349" max="7349" width="12.5546875" style="23"/>
    <col min="7350" max="7350" width="1.6640625" style="23" customWidth="1"/>
    <col min="7351" max="7353" width="12.5546875" style="23"/>
    <col min="7354" max="7354" width="1.6640625" style="23" customWidth="1"/>
    <col min="7355" max="7355" width="12.5546875" style="23"/>
    <col min="7356" max="7356" width="1.6640625" style="23" customWidth="1"/>
    <col min="7357" max="7357" width="12.5546875" style="23"/>
    <col min="7358" max="7358" width="1.6640625" style="23" customWidth="1"/>
    <col min="7359" max="7574" width="12.5546875" style="23"/>
    <col min="7575" max="7575" width="2.6640625" style="23" customWidth="1"/>
    <col min="7576" max="7576" width="53.5546875" style="23" customWidth="1"/>
    <col min="7577" max="7577" width="12.5546875" style="23" customWidth="1"/>
    <col min="7578" max="7578" width="3.5546875" style="23" customWidth="1"/>
    <col min="7579" max="7579" width="12.5546875" style="23" customWidth="1"/>
    <col min="7580" max="7580" width="1.6640625" style="23" customWidth="1"/>
    <col min="7581" max="7581" width="12.5546875" style="23" customWidth="1"/>
    <col min="7582" max="7582" width="1.6640625" style="23" customWidth="1"/>
    <col min="7583" max="7583" width="12.5546875" style="23" customWidth="1"/>
    <col min="7584" max="7584" width="1.6640625" style="23" customWidth="1"/>
    <col min="7585" max="7585" width="12.5546875" style="23" customWidth="1"/>
    <col min="7586" max="7586" width="1.6640625" style="23" customWidth="1"/>
    <col min="7587" max="7587" width="19.5546875" style="23" customWidth="1"/>
    <col min="7588" max="7588" width="3.5546875" style="23" customWidth="1"/>
    <col min="7589" max="7589" width="12.5546875" style="23" customWidth="1"/>
    <col min="7590" max="7590" width="3.5546875" style="23" customWidth="1"/>
    <col min="7591" max="7591" width="12.5546875" style="23" customWidth="1"/>
    <col min="7592" max="7592" width="1.6640625" style="23" customWidth="1"/>
    <col min="7593" max="7593" width="12.5546875" style="23" customWidth="1"/>
    <col min="7594" max="7594" width="1.6640625" style="23" customWidth="1"/>
    <col min="7595" max="7595" width="12.5546875" style="23" customWidth="1"/>
    <col min="7596" max="7596" width="1.6640625" style="23" customWidth="1"/>
    <col min="7597" max="7597" width="12.5546875" style="23" customWidth="1"/>
    <col min="7598" max="7598" width="1.6640625" style="23" customWidth="1"/>
    <col min="7599" max="7599" width="19.5546875" style="23" customWidth="1"/>
    <col min="7600" max="7601" width="12.5546875" style="23"/>
    <col min="7602" max="7602" width="1.6640625" style="23" customWidth="1"/>
    <col min="7603" max="7603" width="12.5546875" style="23"/>
    <col min="7604" max="7604" width="1.6640625" style="23" customWidth="1"/>
    <col min="7605" max="7605" width="12.5546875" style="23"/>
    <col min="7606" max="7606" width="1.6640625" style="23" customWidth="1"/>
    <col min="7607" max="7609" width="12.5546875" style="23"/>
    <col min="7610" max="7610" width="1.6640625" style="23" customWidth="1"/>
    <col min="7611" max="7611" width="12.5546875" style="23"/>
    <col min="7612" max="7612" width="1.6640625" style="23" customWidth="1"/>
    <col min="7613" max="7613" width="12.5546875" style="23"/>
    <col min="7614" max="7614" width="1.6640625" style="23" customWidth="1"/>
    <col min="7615" max="7830" width="12.5546875" style="23"/>
    <col min="7831" max="7831" width="2.6640625" style="23" customWidth="1"/>
    <col min="7832" max="7832" width="53.5546875" style="23" customWidth="1"/>
    <col min="7833" max="7833" width="12.5546875" style="23" customWidth="1"/>
    <col min="7834" max="7834" width="3.5546875" style="23" customWidth="1"/>
    <col min="7835" max="7835" width="12.5546875" style="23" customWidth="1"/>
    <col min="7836" max="7836" width="1.6640625" style="23" customWidth="1"/>
    <col min="7837" max="7837" width="12.5546875" style="23" customWidth="1"/>
    <col min="7838" max="7838" width="1.6640625" style="23" customWidth="1"/>
    <col min="7839" max="7839" width="12.5546875" style="23" customWidth="1"/>
    <col min="7840" max="7840" width="1.6640625" style="23" customWidth="1"/>
    <col min="7841" max="7841" width="12.5546875" style="23" customWidth="1"/>
    <col min="7842" max="7842" width="1.6640625" style="23" customWidth="1"/>
    <col min="7843" max="7843" width="19.5546875" style="23" customWidth="1"/>
    <col min="7844" max="7844" width="3.5546875" style="23" customWidth="1"/>
    <col min="7845" max="7845" width="12.5546875" style="23" customWidth="1"/>
    <col min="7846" max="7846" width="3.5546875" style="23" customWidth="1"/>
    <col min="7847" max="7847" width="12.5546875" style="23" customWidth="1"/>
    <col min="7848" max="7848" width="1.6640625" style="23" customWidth="1"/>
    <col min="7849" max="7849" width="12.5546875" style="23" customWidth="1"/>
    <col min="7850" max="7850" width="1.6640625" style="23" customWidth="1"/>
    <col min="7851" max="7851" width="12.5546875" style="23" customWidth="1"/>
    <col min="7852" max="7852" width="1.6640625" style="23" customWidth="1"/>
    <col min="7853" max="7853" width="12.5546875" style="23" customWidth="1"/>
    <col min="7854" max="7854" width="1.6640625" style="23" customWidth="1"/>
    <col min="7855" max="7855" width="19.5546875" style="23" customWidth="1"/>
    <col min="7856" max="7857" width="12.5546875" style="23"/>
    <col min="7858" max="7858" width="1.6640625" style="23" customWidth="1"/>
    <col min="7859" max="7859" width="12.5546875" style="23"/>
    <col min="7860" max="7860" width="1.6640625" style="23" customWidth="1"/>
    <col min="7861" max="7861" width="12.5546875" style="23"/>
    <col min="7862" max="7862" width="1.6640625" style="23" customWidth="1"/>
    <col min="7863" max="7865" width="12.5546875" style="23"/>
    <col min="7866" max="7866" width="1.6640625" style="23" customWidth="1"/>
    <col min="7867" max="7867" width="12.5546875" style="23"/>
    <col min="7868" max="7868" width="1.6640625" style="23" customWidth="1"/>
    <col min="7869" max="7869" width="12.5546875" style="23"/>
    <col min="7870" max="7870" width="1.6640625" style="23" customWidth="1"/>
    <col min="7871" max="8086" width="12.5546875" style="23"/>
    <col min="8087" max="8087" width="2.6640625" style="23" customWidth="1"/>
    <col min="8088" max="8088" width="53.5546875" style="23" customWidth="1"/>
    <col min="8089" max="8089" width="12.5546875" style="23" customWidth="1"/>
    <col min="8090" max="8090" width="3.5546875" style="23" customWidth="1"/>
    <col min="8091" max="8091" width="12.5546875" style="23" customWidth="1"/>
    <col min="8092" max="8092" width="1.6640625" style="23" customWidth="1"/>
    <col min="8093" max="8093" width="12.5546875" style="23" customWidth="1"/>
    <col min="8094" max="8094" width="1.6640625" style="23" customWidth="1"/>
    <col min="8095" max="8095" width="12.5546875" style="23" customWidth="1"/>
    <col min="8096" max="8096" width="1.6640625" style="23" customWidth="1"/>
    <col min="8097" max="8097" width="12.5546875" style="23" customWidth="1"/>
    <col min="8098" max="8098" width="1.6640625" style="23" customWidth="1"/>
    <col min="8099" max="8099" width="19.5546875" style="23" customWidth="1"/>
    <col min="8100" max="8100" width="3.5546875" style="23" customWidth="1"/>
    <col min="8101" max="8101" width="12.5546875" style="23" customWidth="1"/>
    <col min="8102" max="8102" width="3.5546875" style="23" customWidth="1"/>
    <col min="8103" max="8103" width="12.5546875" style="23" customWidth="1"/>
    <col min="8104" max="8104" width="1.6640625" style="23" customWidth="1"/>
    <col min="8105" max="8105" width="12.5546875" style="23" customWidth="1"/>
    <col min="8106" max="8106" width="1.6640625" style="23" customWidth="1"/>
    <col min="8107" max="8107" width="12.5546875" style="23" customWidth="1"/>
    <col min="8108" max="8108" width="1.6640625" style="23" customWidth="1"/>
    <col min="8109" max="8109" width="12.5546875" style="23" customWidth="1"/>
    <col min="8110" max="8110" width="1.6640625" style="23" customWidth="1"/>
    <col min="8111" max="8111" width="19.5546875" style="23" customWidth="1"/>
    <col min="8112" max="8113" width="12.5546875" style="23"/>
    <col min="8114" max="8114" width="1.6640625" style="23" customWidth="1"/>
    <col min="8115" max="8115" width="12.5546875" style="23"/>
    <col min="8116" max="8116" width="1.6640625" style="23" customWidth="1"/>
    <col min="8117" max="8117" width="12.5546875" style="23"/>
    <col min="8118" max="8118" width="1.6640625" style="23" customWidth="1"/>
    <col min="8119" max="8121" width="12.5546875" style="23"/>
    <col min="8122" max="8122" width="1.6640625" style="23" customWidth="1"/>
    <col min="8123" max="8123" width="12.5546875" style="23"/>
    <col min="8124" max="8124" width="1.6640625" style="23" customWidth="1"/>
    <col min="8125" max="8125" width="12.5546875" style="23"/>
    <col min="8126" max="8126" width="1.6640625" style="23" customWidth="1"/>
    <col min="8127" max="8342" width="12.5546875" style="23"/>
    <col min="8343" max="8343" width="2.6640625" style="23" customWidth="1"/>
    <col min="8344" max="8344" width="53.5546875" style="23" customWidth="1"/>
    <col min="8345" max="8345" width="12.5546875" style="23" customWidth="1"/>
    <col min="8346" max="8346" width="3.5546875" style="23" customWidth="1"/>
    <col min="8347" max="8347" width="12.5546875" style="23" customWidth="1"/>
    <col min="8348" max="8348" width="1.6640625" style="23" customWidth="1"/>
    <col min="8349" max="8349" width="12.5546875" style="23" customWidth="1"/>
    <col min="8350" max="8350" width="1.6640625" style="23" customWidth="1"/>
    <col min="8351" max="8351" width="12.5546875" style="23" customWidth="1"/>
    <col min="8352" max="8352" width="1.6640625" style="23" customWidth="1"/>
    <col min="8353" max="8353" width="12.5546875" style="23" customWidth="1"/>
    <col min="8354" max="8354" width="1.6640625" style="23" customWidth="1"/>
    <col min="8355" max="8355" width="19.5546875" style="23" customWidth="1"/>
    <col min="8356" max="8356" width="3.5546875" style="23" customWidth="1"/>
    <col min="8357" max="8357" width="12.5546875" style="23" customWidth="1"/>
    <col min="8358" max="8358" width="3.5546875" style="23" customWidth="1"/>
    <col min="8359" max="8359" width="12.5546875" style="23" customWidth="1"/>
    <col min="8360" max="8360" width="1.6640625" style="23" customWidth="1"/>
    <col min="8361" max="8361" width="12.5546875" style="23" customWidth="1"/>
    <col min="8362" max="8362" width="1.6640625" style="23" customWidth="1"/>
    <col min="8363" max="8363" width="12.5546875" style="23" customWidth="1"/>
    <col min="8364" max="8364" width="1.6640625" style="23" customWidth="1"/>
    <col min="8365" max="8365" width="12.5546875" style="23" customWidth="1"/>
    <col min="8366" max="8366" width="1.6640625" style="23" customWidth="1"/>
    <col min="8367" max="8367" width="19.5546875" style="23" customWidth="1"/>
    <col min="8368" max="8369" width="12.5546875" style="23"/>
    <col min="8370" max="8370" width="1.6640625" style="23" customWidth="1"/>
    <col min="8371" max="8371" width="12.5546875" style="23"/>
    <col min="8372" max="8372" width="1.6640625" style="23" customWidth="1"/>
    <col min="8373" max="8373" width="12.5546875" style="23"/>
    <col min="8374" max="8374" width="1.6640625" style="23" customWidth="1"/>
    <col min="8375" max="8377" width="12.5546875" style="23"/>
    <col min="8378" max="8378" width="1.6640625" style="23" customWidth="1"/>
    <col min="8379" max="8379" width="12.5546875" style="23"/>
    <col min="8380" max="8380" width="1.6640625" style="23" customWidth="1"/>
    <col min="8381" max="8381" width="12.5546875" style="23"/>
    <col min="8382" max="8382" width="1.6640625" style="23" customWidth="1"/>
    <col min="8383" max="8598" width="12.5546875" style="23"/>
    <col min="8599" max="8599" width="2.6640625" style="23" customWidth="1"/>
    <col min="8600" max="8600" width="53.5546875" style="23" customWidth="1"/>
    <col min="8601" max="8601" width="12.5546875" style="23" customWidth="1"/>
    <col min="8602" max="8602" width="3.5546875" style="23" customWidth="1"/>
    <col min="8603" max="8603" width="12.5546875" style="23" customWidth="1"/>
    <col min="8604" max="8604" width="1.6640625" style="23" customWidth="1"/>
    <col min="8605" max="8605" width="12.5546875" style="23" customWidth="1"/>
    <col min="8606" max="8606" width="1.6640625" style="23" customWidth="1"/>
    <col min="8607" max="8607" width="12.5546875" style="23" customWidth="1"/>
    <col min="8608" max="8608" width="1.6640625" style="23" customWidth="1"/>
    <col min="8609" max="8609" width="12.5546875" style="23" customWidth="1"/>
    <col min="8610" max="8610" width="1.6640625" style="23" customWidth="1"/>
    <col min="8611" max="8611" width="19.5546875" style="23" customWidth="1"/>
    <col min="8612" max="8612" width="3.5546875" style="23" customWidth="1"/>
    <col min="8613" max="8613" width="12.5546875" style="23" customWidth="1"/>
    <col min="8614" max="8614" width="3.5546875" style="23" customWidth="1"/>
    <col min="8615" max="8615" width="12.5546875" style="23" customWidth="1"/>
    <col min="8616" max="8616" width="1.6640625" style="23" customWidth="1"/>
    <col min="8617" max="8617" width="12.5546875" style="23" customWidth="1"/>
    <col min="8618" max="8618" width="1.6640625" style="23" customWidth="1"/>
    <col min="8619" max="8619" width="12.5546875" style="23" customWidth="1"/>
    <col min="8620" max="8620" width="1.6640625" style="23" customWidth="1"/>
    <col min="8621" max="8621" width="12.5546875" style="23" customWidth="1"/>
    <col min="8622" max="8622" width="1.6640625" style="23" customWidth="1"/>
    <col min="8623" max="8623" width="19.5546875" style="23" customWidth="1"/>
    <col min="8624" max="8625" width="12.5546875" style="23"/>
    <col min="8626" max="8626" width="1.6640625" style="23" customWidth="1"/>
    <col min="8627" max="8627" width="12.5546875" style="23"/>
    <col min="8628" max="8628" width="1.6640625" style="23" customWidth="1"/>
    <col min="8629" max="8629" width="12.5546875" style="23"/>
    <col min="8630" max="8630" width="1.6640625" style="23" customWidth="1"/>
    <col min="8631" max="8633" width="12.5546875" style="23"/>
    <col min="8634" max="8634" width="1.6640625" style="23" customWidth="1"/>
    <col min="8635" max="8635" width="12.5546875" style="23"/>
    <col min="8636" max="8636" width="1.6640625" style="23" customWidth="1"/>
    <col min="8637" max="8637" width="12.5546875" style="23"/>
    <col min="8638" max="8638" width="1.6640625" style="23" customWidth="1"/>
    <col min="8639" max="8854" width="12.5546875" style="23"/>
    <col min="8855" max="8855" width="2.6640625" style="23" customWidth="1"/>
    <col min="8856" max="8856" width="53.5546875" style="23" customWidth="1"/>
    <col min="8857" max="8857" width="12.5546875" style="23" customWidth="1"/>
    <col min="8858" max="8858" width="3.5546875" style="23" customWidth="1"/>
    <col min="8859" max="8859" width="12.5546875" style="23" customWidth="1"/>
    <col min="8860" max="8860" width="1.6640625" style="23" customWidth="1"/>
    <col min="8861" max="8861" width="12.5546875" style="23" customWidth="1"/>
    <col min="8862" max="8862" width="1.6640625" style="23" customWidth="1"/>
    <col min="8863" max="8863" width="12.5546875" style="23" customWidth="1"/>
    <col min="8864" max="8864" width="1.6640625" style="23" customWidth="1"/>
    <col min="8865" max="8865" width="12.5546875" style="23" customWidth="1"/>
    <col min="8866" max="8866" width="1.6640625" style="23" customWidth="1"/>
    <col min="8867" max="8867" width="19.5546875" style="23" customWidth="1"/>
    <col min="8868" max="8868" width="3.5546875" style="23" customWidth="1"/>
    <col min="8869" max="8869" width="12.5546875" style="23" customWidth="1"/>
    <col min="8870" max="8870" width="3.5546875" style="23" customWidth="1"/>
    <col min="8871" max="8871" width="12.5546875" style="23" customWidth="1"/>
    <col min="8872" max="8872" width="1.6640625" style="23" customWidth="1"/>
    <col min="8873" max="8873" width="12.5546875" style="23" customWidth="1"/>
    <col min="8874" max="8874" width="1.6640625" style="23" customWidth="1"/>
    <col min="8875" max="8875" width="12.5546875" style="23" customWidth="1"/>
    <col min="8876" max="8876" width="1.6640625" style="23" customWidth="1"/>
    <col min="8877" max="8877" width="12.5546875" style="23" customWidth="1"/>
    <col min="8878" max="8878" width="1.6640625" style="23" customWidth="1"/>
    <col min="8879" max="8879" width="19.5546875" style="23" customWidth="1"/>
    <col min="8880" max="8881" width="12.5546875" style="23"/>
    <col min="8882" max="8882" width="1.6640625" style="23" customWidth="1"/>
    <col min="8883" max="8883" width="12.5546875" style="23"/>
    <col min="8884" max="8884" width="1.6640625" style="23" customWidth="1"/>
    <col min="8885" max="8885" width="12.5546875" style="23"/>
    <col min="8886" max="8886" width="1.6640625" style="23" customWidth="1"/>
    <col min="8887" max="8889" width="12.5546875" style="23"/>
    <col min="8890" max="8890" width="1.6640625" style="23" customWidth="1"/>
    <col min="8891" max="8891" width="12.5546875" style="23"/>
    <col min="8892" max="8892" width="1.6640625" style="23" customWidth="1"/>
    <col min="8893" max="8893" width="12.5546875" style="23"/>
    <col min="8894" max="8894" width="1.6640625" style="23" customWidth="1"/>
    <col min="8895" max="9110" width="12.5546875" style="23"/>
    <col min="9111" max="9111" width="2.6640625" style="23" customWidth="1"/>
    <col min="9112" max="9112" width="53.5546875" style="23" customWidth="1"/>
    <col min="9113" max="9113" width="12.5546875" style="23" customWidth="1"/>
    <col min="9114" max="9114" width="3.5546875" style="23" customWidth="1"/>
    <col min="9115" max="9115" width="12.5546875" style="23" customWidth="1"/>
    <col min="9116" max="9116" width="1.6640625" style="23" customWidth="1"/>
    <col min="9117" max="9117" width="12.5546875" style="23" customWidth="1"/>
    <col min="9118" max="9118" width="1.6640625" style="23" customWidth="1"/>
    <col min="9119" max="9119" width="12.5546875" style="23" customWidth="1"/>
    <col min="9120" max="9120" width="1.6640625" style="23" customWidth="1"/>
    <col min="9121" max="9121" width="12.5546875" style="23" customWidth="1"/>
    <col min="9122" max="9122" width="1.6640625" style="23" customWidth="1"/>
    <col min="9123" max="9123" width="19.5546875" style="23" customWidth="1"/>
    <col min="9124" max="9124" width="3.5546875" style="23" customWidth="1"/>
    <col min="9125" max="9125" width="12.5546875" style="23" customWidth="1"/>
    <col min="9126" max="9126" width="3.5546875" style="23" customWidth="1"/>
    <col min="9127" max="9127" width="12.5546875" style="23" customWidth="1"/>
    <col min="9128" max="9128" width="1.6640625" style="23" customWidth="1"/>
    <col min="9129" max="9129" width="12.5546875" style="23" customWidth="1"/>
    <col min="9130" max="9130" width="1.6640625" style="23" customWidth="1"/>
    <col min="9131" max="9131" width="12.5546875" style="23" customWidth="1"/>
    <col min="9132" max="9132" width="1.6640625" style="23" customWidth="1"/>
    <col min="9133" max="9133" width="12.5546875" style="23" customWidth="1"/>
    <col min="9134" max="9134" width="1.6640625" style="23" customWidth="1"/>
    <col min="9135" max="9135" width="19.5546875" style="23" customWidth="1"/>
    <col min="9136" max="9137" width="12.5546875" style="23"/>
    <col min="9138" max="9138" width="1.6640625" style="23" customWidth="1"/>
    <col min="9139" max="9139" width="12.5546875" style="23"/>
    <col min="9140" max="9140" width="1.6640625" style="23" customWidth="1"/>
    <col min="9141" max="9141" width="12.5546875" style="23"/>
    <col min="9142" max="9142" width="1.6640625" style="23" customWidth="1"/>
    <col min="9143" max="9145" width="12.5546875" style="23"/>
    <col min="9146" max="9146" width="1.6640625" style="23" customWidth="1"/>
    <col min="9147" max="9147" width="12.5546875" style="23"/>
    <col min="9148" max="9148" width="1.6640625" style="23" customWidth="1"/>
    <col min="9149" max="9149" width="12.5546875" style="23"/>
    <col min="9150" max="9150" width="1.6640625" style="23" customWidth="1"/>
    <col min="9151" max="9366" width="12.5546875" style="23"/>
    <col min="9367" max="9367" width="2.6640625" style="23" customWidth="1"/>
    <col min="9368" max="9368" width="53.5546875" style="23" customWidth="1"/>
    <col min="9369" max="9369" width="12.5546875" style="23" customWidth="1"/>
    <col min="9370" max="9370" width="3.5546875" style="23" customWidth="1"/>
    <col min="9371" max="9371" width="12.5546875" style="23" customWidth="1"/>
    <col min="9372" max="9372" width="1.6640625" style="23" customWidth="1"/>
    <col min="9373" max="9373" width="12.5546875" style="23" customWidth="1"/>
    <col min="9374" max="9374" width="1.6640625" style="23" customWidth="1"/>
    <col min="9375" max="9375" width="12.5546875" style="23" customWidth="1"/>
    <col min="9376" max="9376" width="1.6640625" style="23" customWidth="1"/>
    <col min="9377" max="9377" width="12.5546875" style="23" customWidth="1"/>
    <col min="9378" max="9378" width="1.6640625" style="23" customWidth="1"/>
    <col min="9379" max="9379" width="19.5546875" style="23" customWidth="1"/>
    <col min="9380" max="9380" width="3.5546875" style="23" customWidth="1"/>
    <col min="9381" max="9381" width="12.5546875" style="23" customWidth="1"/>
    <col min="9382" max="9382" width="3.5546875" style="23" customWidth="1"/>
    <col min="9383" max="9383" width="12.5546875" style="23" customWidth="1"/>
    <col min="9384" max="9384" width="1.6640625" style="23" customWidth="1"/>
    <col min="9385" max="9385" width="12.5546875" style="23" customWidth="1"/>
    <col min="9386" max="9386" width="1.6640625" style="23" customWidth="1"/>
    <col min="9387" max="9387" width="12.5546875" style="23" customWidth="1"/>
    <col min="9388" max="9388" width="1.6640625" style="23" customWidth="1"/>
    <col min="9389" max="9389" width="12.5546875" style="23" customWidth="1"/>
    <col min="9390" max="9390" width="1.6640625" style="23" customWidth="1"/>
    <col min="9391" max="9391" width="19.5546875" style="23" customWidth="1"/>
    <col min="9392" max="9393" width="12.5546875" style="23"/>
    <col min="9394" max="9394" width="1.6640625" style="23" customWidth="1"/>
    <col min="9395" max="9395" width="12.5546875" style="23"/>
    <col min="9396" max="9396" width="1.6640625" style="23" customWidth="1"/>
    <col min="9397" max="9397" width="12.5546875" style="23"/>
    <col min="9398" max="9398" width="1.6640625" style="23" customWidth="1"/>
    <col min="9399" max="9401" width="12.5546875" style="23"/>
    <col min="9402" max="9402" width="1.6640625" style="23" customWidth="1"/>
    <col min="9403" max="9403" width="12.5546875" style="23"/>
    <col min="9404" max="9404" width="1.6640625" style="23" customWidth="1"/>
    <col min="9405" max="9405" width="12.5546875" style="23"/>
    <col min="9406" max="9406" width="1.6640625" style="23" customWidth="1"/>
    <col min="9407" max="9622" width="12.5546875" style="23"/>
    <col min="9623" max="9623" width="2.6640625" style="23" customWidth="1"/>
    <col min="9624" max="9624" width="53.5546875" style="23" customWidth="1"/>
    <col min="9625" max="9625" width="12.5546875" style="23" customWidth="1"/>
    <col min="9626" max="9626" width="3.5546875" style="23" customWidth="1"/>
    <col min="9627" max="9627" width="12.5546875" style="23" customWidth="1"/>
    <col min="9628" max="9628" width="1.6640625" style="23" customWidth="1"/>
    <col min="9629" max="9629" width="12.5546875" style="23" customWidth="1"/>
    <col min="9630" max="9630" width="1.6640625" style="23" customWidth="1"/>
    <col min="9631" max="9631" width="12.5546875" style="23" customWidth="1"/>
    <col min="9632" max="9632" width="1.6640625" style="23" customWidth="1"/>
    <col min="9633" max="9633" width="12.5546875" style="23" customWidth="1"/>
    <col min="9634" max="9634" width="1.6640625" style="23" customWidth="1"/>
    <col min="9635" max="9635" width="19.5546875" style="23" customWidth="1"/>
    <col min="9636" max="9636" width="3.5546875" style="23" customWidth="1"/>
    <col min="9637" max="9637" width="12.5546875" style="23" customWidth="1"/>
    <col min="9638" max="9638" width="3.5546875" style="23" customWidth="1"/>
    <col min="9639" max="9639" width="12.5546875" style="23" customWidth="1"/>
    <col min="9640" max="9640" width="1.6640625" style="23" customWidth="1"/>
    <col min="9641" max="9641" width="12.5546875" style="23" customWidth="1"/>
    <col min="9642" max="9642" width="1.6640625" style="23" customWidth="1"/>
    <col min="9643" max="9643" width="12.5546875" style="23" customWidth="1"/>
    <col min="9644" max="9644" width="1.6640625" style="23" customWidth="1"/>
    <col min="9645" max="9645" width="12.5546875" style="23" customWidth="1"/>
    <col min="9646" max="9646" width="1.6640625" style="23" customWidth="1"/>
    <col min="9647" max="9647" width="19.5546875" style="23" customWidth="1"/>
    <col min="9648" max="9649" width="12.5546875" style="23"/>
    <col min="9650" max="9650" width="1.6640625" style="23" customWidth="1"/>
    <col min="9651" max="9651" width="12.5546875" style="23"/>
    <col min="9652" max="9652" width="1.6640625" style="23" customWidth="1"/>
    <col min="9653" max="9653" width="12.5546875" style="23"/>
    <col min="9654" max="9654" width="1.6640625" style="23" customWidth="1"/>
    <col min="9655" max="9657" width="12.5546875" style="23"/>
    <col min="9658" max="9658" width="1.6640625" style="23" customWidth="1"/>
    <col min="9659" max="9659" width="12.5546875" style="23"/>
    <col min="9660" max="9660" width="1.6640625" style="23" customWidth="1"/>
    <col min="9661" max="9661" width="12.5546875" style="23"/>
    <col min="9662" max="9662" width="1.6640625" style="23" customWidth="1"/>
    <col min="9663" max="9878" width="12.5546875" style="23"/>
    <col min="9879" max="9879" width="2.6640625" style="23" customWidth="1"/>
    <col min="9880" max="9880" width="53.5546875" style="23" customWidth="1"/>
    <col min="9881" max="9881" width="12.5546875" style="23" customWidth="1"/>
    <col min="9882" max="9882" width="3.5546875" style="23" customWidth="1"/>
    <col min="9883" max="9883" width="12.5546875" style="23" customWidth="1"/>
    <col min="9884" max="9884" width="1.6640625" style="23" customWidth="1"/>
    <col min="9885" max="9885" width="12.5546875" style="23" customWidth="1"/>
    <col min="9886" max="9886" width="1.6640625" style="23" customWidth="1"/>
    <col min="9887" max="9887" width="12.5546875" style="23" customWidth="1"/>
    <col min="9888" max="9888" width="1.6640625" style="23" customWidth="1"/>
    <col min="9889" max="9889" width="12.5546875" style="23" customWidth="1"/>
    <col min="9890" max="9890" width="1.6640625" style="23" customWidth="1"/>
    <col min="9891" max="9891" width="19.5546875" style="23" customWidth="1"/>
    <col min="9892" max="9892" width="3.5546875" style="23" customWidth="1"/>
    <col min="9893" max="9893" width="12.5546875" style="23" customWidth="1"/>
    <col min="9894" max="9894" width="3.5546875" style="23" customWidth="1"/>
    <col min="9895" max="9895" width="12.5546875" style="23" customWidth="1"/>
    <col min="9896" max="9896" width="1.6640625" style="23" customWidth="1"/>
    <col min="9897" max="9897" width="12.5546875" style="23" customWidth="1"/>
    <col min="9898" max="9898" width="1.6640625" style="23" customWidth="1"/>
    <col min="9899" max="9899" width="12.5546875" style="23" customWidth="1"/>
    <col min="9900" max="9900" width="1.6640625" style="23" customWidth="1"/>
    <col min="9901" max="9901" width="12.5546875" style="23" customWidth="1"/>
    <col min="9902" max="9902" width="1.6640625" style="23" customWidth="1"/>
    <col min="9903" max="9903" width="19.5546875" style="23" customWidth="1"/>
    <col min="9904" max="9905" width="12.5546875" style="23"/>
    <col min="9906" max="9906" width="1.6640625" style="23" customWidth="1"/>
    <col min="9907" max="9907" width="12.5546875" style="23"/>
    <col min="9908" max="9908" width="1.6640625" style="23" customWidth="1"/>
    <col min="9909" max="9909" width="12.5546875" style="23"/>
    <col min="9910" max="9910" width="1.6640625" style="23" customWidth="1"/>
    <col min="9911" max="9913" width="12.5546875" style="23"/>
    <col min="9914" max="9914" width="1.6640625" style="23" customWidth="1"/>
    <col min="9915" max="9915" width="12.5546875" style="23"/>
    <col min="9916" max="9916" width="1.6640625" style="23" customWidth="1"/>
    <col min="9917" max="9917" width="12.5546875" style="23"/>
    <col min="9918" max="9918" width="1.6640625" style="23" customWidth="1"/>
    <col min="9919" max="10134" width="12.5546875" style="23"/>
    <col min="10135" max="10135" width="2.6640625" style="23" customWidth="1"/>
    <col min="10136" max="10136" width="53.5546875" style="23" customWidth="1"/>
    <col min="10137" max="10137" width="12.5546875" style="23" customWidth="1"/>
    <col min="10138" max="10138" width="3.5546875" style="23" customWidth="1"/>
    <col min="10139" max="10139" width="12.5546875" style="23" customWidth="1"/>
    <col min="10140" max="10140" width="1.6640625" style="23" customWidth="1"/>
    <col min="10141" max="10141" width="12.5546875" style="23" customWidth="1"/>
    <col min="10142" max="10142" width="1.6640625" style="23" customWidth="1"/>
    <col min="10143" max="10143" width="12.5546875" style="23" customWidth="1"/>
    <col min="10144" max="10144" width="1.6640625" style="23" customWidth="1"/>
    <col min="10145" max="10145" width="12.5546875" style="23" customWidth="1"/>
    <col min="10146" max="10146" width="1.6640625" style="23" customWidth="1"/>
    <col min="10147" max="10147" width="19.5546875" style="23" customWidth="1"/>
    <col min="10148" max="10148" width="3.5546875" style="23" customWidth="1"/>
    <col min="10149" max="10149" width="12.5546875" style="23" customWidth="1"/>
    <col min="10150" max="10150" width="3.5546875" style="23" customWidth="1"/>
    <col min="10151" max="10151" width="12.5546875" style="23" customWidth="1"/>
    <col min="10152" max="10152" width="1.6640625" style="23" customWidth="1"/>
    <col min="10153" max="10153" width="12.5546875" style="23" customWidth="1"/>
    <col min="10154" max="10154" width="1.6640625" style="23" customWidth="1"/>
    <col min="10155" max="10155" width="12.5546875" style="23" customWidth="1"/>
    <col min="10156" max="10156" width="1.6640625" style="23" customWidth="1"/>
    <col min="10157" max="10157" width="12.5546875" style="23" customWidth="1"/>
    <col min="10158" max="10158" width="1.6640625" style="23" customWidth="1"/>
    <col min="10159" max="10159" width="19.5546875" style="23" customWidth="1"/>
    <col min="10160" max="10161" width="12.5546875" style="23"/>
    <col min="10162" max="10162" width="1.6640625" style="23" customWidth="1"/>
    <col min="10163" max="10163" width="12.5546875" style="23"/>
    <col min="10164" max="10164" width="1.6640625" style="23" customWidth="1"/>
    <col min="10165" max="10165" width="12.5546875" style="23"/>
    <col min="10166" max="10166" width="1.6640625" style="23" customWidth="1"/>
    <col min="10167" max="10169" width="12.5546875" style="23"/>
    <col min="10170" max="10170" width="1.6640625" style="23" customWidth="1"/>
    <col min="10171" max="10171" width="12.5546875" style="23"/>
    <col min="10172" max="10172" width="1.6640625" style="23" customWidth="1"/>
    <col min="10173" max="10173" width="12.5546875" style="23"/>
    <col min="10174" max="10174" width="1.6640625" style="23" customWidth="1"/>
    <col min="10175" max="10390" width="12.5546875" style="23"/>
    <col min="10391" max="10391" width="2.6640625" style="23" customWidth="1"/>
    <col min="10392" max="10392" width="53.5546875" style="23" customWidth="1"/>
    <col min="10393" max="10393" width="12.5546875" style="23" customWidth="1"/>
    <col min="10394" max="10394" width="3.5546875" style="23" customWidth="1"/>
    <col min="10395" max="10395" width="12.5546875" style="23" customWidth="1"/>
    <col min="10396" max="10396" width="1.6640625" style="23" customWidth="1"/>
    <col min="10397" max="10397" width="12.5546875" style="23" customWidth="1"/>
    <col min="10398" max="10398" width="1.6640625" style="23" customWidth="1"/>
    <col min="10399" max="10399" width="12.5546875" style="23" customWidth="1"/>
    <col min="10400" max="10400" width="1.6640625" style="23" customWidth="1"/>
    <col min="10401" max="10401" width="12.5546875" style="23" customWidth="1"/>
    <col min="10402" max="10402" width="1.6640625" style="23" customWidth="1"/>
    <col min="10403" max="10403" width="19.5546875" style="23" customWidth="1"/>
    <col min="10404" max="10404" width="3.5546875" style="23" customWidth="1"/>
    <col min="10405" max="10405" width="12.5546875" style="23" customWidth="1"/>
    <col min="10406" max="10406" width="3.5546875" style="23" customWidth="1"/>
    <col min="10407" max="10407" width="12.5546875" style="23" customWidth="1"/>
    <col min="10408" max="10408" width="1.6640625" style="23" customWidth="1"/>
    <col min="10409" max="10409" width="12.5546875" style="23" customWidth="1"/>
    <col min="10410" max="10410" width="1.6640625" style="23" customWidth="1"/>
    <col min="10411" max="10411" width="12.5546875" style="23" customWidth="1"/>
    <col min="10412" max="10412" width="1.6640625" style="23" customWidth="1"/>
    <col min="10413" max="10413" width="12.5546875" style="23" customWidth="1"/>
    <col min="10414" max="10414" width="1.6640625" style="23" customWidth="1"/>
    <col min="10415" max="10415" width="19.5546875" style="23" customWidth="1"/>
    <col min="10416" max="10417" width="12.5546875" style="23"/>
    <col min="10418" max="10418" width="1.6640625" style="23" customWidth="1"/>
    <col min="10419" max="10419" width="12.5546875" style="23"/>
    <col min="10420" max="10420" width="1.6640625" style="23" customWidth="1"/>
    <col min="10421" max="10421" width="12.5546875" style="23"/>
    <col min="10422" max="10422" width="1.6640625" style="23" customWidth="1"/>
    <col min="10423" max="10425" width="12.5546875" style="23"/>
    <col min="10426" max="10426" width="1.6640625" style="23" customWidth="1"/>
    <col min="10427" max="10427" width="12.5546875" style="23"/>
    <col min="10428" max="10428" width="1.6640625" style="23" customWidth="1"/>
    <col min="10429" max="10429" width="12.5546875" style="23"/>
    <col min="10430" max="10430" width="1.6640625" style="23" customWidth="1"/>
    <col min="10431" max="10646" width="12.5546875" style="23"/>
    <col min="10647" max="10647" width="2.6640625" style="23" customWidth="1"/>
    <col min="10648" max="10648" width="53.5546875" style="23" customWidth="1"/>
    <col min="10649" max="10649" width="12.5546875" style="23" customWidth="1"/>
    <col min="10650" max="10650" width="3.5546875" style="23" customWidth="1"/>
    <col min="10651" max="10651" width="12.5546875" style="23" customWidth="1"/>
    <col min="10652" max="10652" width="1.6640625" style="23" customWidth="1"/>
    <col min="10653" max="10653" width="12.5546875" style="23" customWidth="1"/>
    <col min="10654" max="10654" width="1.6640625" style="23" customWidth="1"/>
    <col min="10655" max="10655" width="12.5546875" style="23" customWidth="1"/>
    <col min="10656" max="10656" width="1.6640625" style="23" customWidth="1"/>
    <col min="10657" max="10657" width="12.5546875" style="23" customWidth="1"/>
    <col min="10658" max="10658" width="1.6640625" style="23" customWidth="1"/>
    <col min="10659" max="10659" width="19.5546875" style="23" customWidth="1"/>
    <col min="10660" max="10660" width="3.5546875" style="23" customWidth="1"/>
    <col min="10661" max="10661" width="12.5546875" style="23" customWidth="1"/>
    <col min="10662" max="10662" width="3.5546875" style="23" customWidth="1"/>
    <col min="10663" max="10663" width="12.5546875" style="23" customWidth="1"/>
    <col min="10664" max="10664" width="1.6640625" style="23" customWidth="1"/>
    <col min="10665" max="10665" width="12.5546875" style="23" customWidth="1"/>
    <col min="10666" max="10666" width="1.6640625" style="23" customWidth="1"/>
    <col min="10667" max="10667" width="12.5546875" style="23" customWidth="1"/>
    <col min="10668" max="10668" width="1.6640625" style="23" customWidth="1"/>
    <col min="10669" max="10669" width="12.5546875" style="23" customWidth="1"/>
    <col min="10670" max="10670" width="1.6640625" style="23" customWidth="1"/>
    <col min="10671" max="10671" width="19.5546875" style="23" customWidth="1"/>
    <col min="10672" max="10673" width="12.5546875" style="23"/>
    <col min="10674" max="10674" width="1.6640625" style="23" customWidth="1"/>
    <col min="10675" max="10675" width="12.5546875" style="23"/>
    <col min="10676" max="10676" width="1.6640625" style="23" customWidth="1"/>
    <col min="10677" max="10677" width="12.5546875" style="23"/>
    <col min="10678" max="10678" width="1.6640625" style="23" customWidth="1"/>
    <col min="10679" max="10681" width="12.5546875" style="23"/>
    <col min="10682" max="10682" width="1.6640625" style="23" customWidth="1"/>
    <col min="10683" max="10683" width="12.5546875" style="23"/>
    <col min="10684" max="10684" width="1.6640625" style="23" customWidth="1"/>
    <col min="10685" max="10685" width="12.5546875" style="23"/>
    <col min="10686" max="10686" width="1.6640625" style="23" customWidth="1"/>
    <col min="10687" max="10902" width="12.5546875" style="23"/>
    <col min="10903" max="10903" width="2.6640625" style="23" customWidth="1"/>
    <col min="10904" max="10904" width="53.5546875" style="23" customWidth="1"/>
    <col min="10905" max="10905" width="12.5546875" style="23" customWidth="1"/>
    <col min="10906" max="10906" width="3.5546875" style="23" customWidth="1"/>
    <col min="10907" max="10907" width="12.5546875" style="23" customWidth="1"/>
    <col min="10908" max="10908" width="1.6640625" style="23" customWidth="1"/>
    <col min="10909" max="10909" width="12.5546875" style="23" customWidth="1"/>
    <col min="10910" max="10910" width="1.6640625" style="23" customWidth="1"/>
    <col min="10911" max="10911" width="12.5546875" style="23" customWidth="1"/>
    <col min="10912" max="10912" width="1.6640625" style="23" customWidth="1"/>
    <col min="10913" max="10913" width="12.5546875" style="23" customWidth="1"/>
    <col min="10914" max="10914" width="1.6640625" style="23" customWidth="1"/>
    <col min="10915" max="10915" width="19.5546875" style="23" customWidth="1"/>
    <col min="10916" max="10916" width="3.5546875" style="23" customWidth="1"/>
    <col min="10917" max="10917" width="12.5546875" style="23" customWidth="1"/>
    <col min="10918" max="10918" width="3.5546875" style="23" customWidth="1"/>
    <col min="10919" max="10919" width="12.5546875" style="23" customWidth="1"/>
    <col min="10920" max="10920" width="1.6640625" style="23" customWidth="1"/>
    <col min="10921" max="10921" width="12.5546875" style="23" customWidth="1"/>
    <col min="10922" max="10922" width="1.6640625" style="23" customWidth="1"/>
    <col min="10923" max="10923" width="12.5546875" style="23" customWidth="1"/>
    <col min="10924" max="10924" width="1.6640625" style="23" customWidth="1"/>
    <col min="10925" max="10925" width="12.5546875" style="23" customWidth="1"/>
    <col min="10926" max="10926" width="1.6640625" style="23" customWidth="1"/>
    <col min="10927" max="10927" width="19.5546875" style="23" customWidth="1"/>
    <col min="10928" max="10929" width="12.5546875" style="23"/>
    <col min="10930" max="10930" width="1.6640625" style="23" customWidth="1"/>
    <col min="10931" max="10931" width="12.5546875" style="23"/>
    <col min="10932" max="10932" width="1.6640625" style="23" customWidth="1"/>
    <col min="10933" max="10933" width="12.5546875" style="23"/>
    <col min="10934" max="10934" width="1.6640625" style="23" customWidth="1"/>
    <col min="10935" max="10937" width="12.5546875" style="23"/>
    <col min="10938" max="10938" width="1.6640625" style="23" customWidth="1"/>
    <col min="10939" max="10939" width="12.5546875" style="23"/>
    <col min="10940" max="10940" width="1.6640625" style="23" customWidth="1"/>
    <col min="10941" max="10941" width="12.5546875" style="23"/>
    <col min="10942" max="10942" width="1.6640625" style="23" customWidth="1"/>
    <col min="10943" max="11158" width="12.5546875" style="23"/>
    <col min="11159" max="11159" width="2.6640625" style="23" customWidth="1"/>
    <col min="11160" max="11160" width="53.5546875" style="23" customWidth="1"/>
    <col min="11161" max="11161" width="12.5546875" style="23" customWidth="1"/>
    <col min="11162" max="11162" width="3.5546875" style="23" customWidth="1"/>
    <col min="11163" max="11163" width="12.5546875" style="23" customWidth="1"/>
    <col min="11164" max="11164" width="1.6640625" style="23" customWidth="1"/>
    <col min="11165" max="11165" width="12.5546875" style="23" customWidth="1"/>
    <col min="11166" max="11166" width="1.6640625" style="23" customWidth="1"/>
    <col min="11167" max="11167" width="12.5546875" style="23" customWidth="1"/>
    <col min="11168" max="11168" width="1.6640625" style="23" customWidth="1"/>
    <col min="11169" max="11169" width="12.5546875" style="23" customWidth="1"/>
    <col min="11170" max="11170" width="1.6640625" style="23" customWidth="1"/>
    <col min="11171" max="11171" width="19.5546875" style="23" customWidth="1"/>
    <col min="11172" max="11172" width="3.5546875" style="23" customWidth="1"/>
    <col min="11173" max="11173" width="12.5546875" style="23" customWidth="1"/>
    <col min="11174" max="11174" width="3.5546875" style="23" customWidth="1"/>
    <col min="11175" max="11175" width="12.5546875" style="23" customWidth="1"/>
    <col min="11176" max="11176" width="1.6640625" style="23" customWidth="1"/>
    <col min="11177" max="11177" width="12.5546875" style="23" customWidth="1"/>
    <col min="11178" max="11178" width="1.6640625" style="23" customWidth="1"/>
    <col min="11179" max="11179" width="12.5546875" style="23" customWidth="1"/>
    <col min="11180" max="11180" width="1.6640625" style="23" customWidth="1"/>
    <col min="11181" max="11181" width="12.5546875" style="23" customWidth="1"/>
    <col min="11182" max="11182" width="1.6640625" style="23" customWidth="1"/>
    <col min="11183" max="11183" width="19.5546875" style="23" customWidth="1"/>
    <col min="11184" max="11185" width="12.5546875" style="23"/>
    <col min="11186" max="11186" width="1.6640625" style="23" customWidth="1"/>
    <col min="11187" max="11187" width="12.5546875" style="23"/>
    <col min="11188" max="11188" width="1.6640625" style="23" customWidth="1"/>
    <col min="11189" max="11189" width="12.5546875" style="23"/>
    <col min="11190" max="11190" width="1.6640625" style="23" customWidth="1"/>
    <col min="11191" max="11193" width="12.5546875" style="23"/>
    <col min="11194" max="11194" width="1.6640625" style="23" customWidth="1"/>
    <col min="11195" max="11195" width="12.5546875" style="23"/>
    <col min="11196" max="11196" width="1.6640625" style="23" customWidth="1"/>
    <col min="11197" max="11197" width="12.5546875" style="23"/>
    <col min="11198" max="11198" width="1.6640625" style="23" customWidth="1"/>
    <col min="11199" max="11414" width="12.5546875" style="23"/>
    <col min="11415" max="11415" width="2.6640625" style="23" customWidth="1"/>
    <col min="11416" max="11416" width="53.5546875" style="23" customWidth="1"/>
    <col min="11417" max="11417" width="12.5546875" style="23" customWidth="1"/>
    <col min="11418" max="11418" width="3.5546875" style="23" customWidth="1"/>
    <col min="11419" max="11419" width="12.5546875" style="23" customWidth="1"/>
    <col min="11420" max="11420" width="1.6640625" style="23" customWidth="1"/>
    <col min="11421" max="11421" width="12.5546875" style="23" customWidth="1"/>
    <col min="11422" max="11422" width="1.6640625" style="23" customWidth="1"/>
    <col min="11423" max="11423" width="12.5546875" style="23" customWidth="1"/>
    <col min="11424" max="11424" width="1.6640625" style="23" customWidth="1"/>
    <col min="11425" max="11425" width="12.5546875" style="23" customWidth="1"/>
    <col min="11426" max="11426" width="1.6640625" style="23" customWidth="1"/>
    <col min="11427" max="11427" width="19.5546875" style="23" customWidth="1"/>
    <col min="11428" max="11428" width="3.5546875" style="23" customWidth="1"/>
    <col min="11429" max="11429" width="12.5546875" style="23" customWidth="1"/>
    <col min="11430" max="11430" width="3.5546875" style="23" customWidth="1"/>
    <col min="11431" max="11431" width="12.5546875" style="23" customWidth="1"/>
    <col min="11432" max="11432" width="1.6640625" style="23" customWidth="1"/>
    <col min="11433" max="11433" width="12.5546875" style="23" customWidth="1"/>
    <col min="11434" max="11434" width="1.6640625" style="23" customWidth="1"/>
    <col min="11435" max="11435" width="12.5546875" style="23" customWidth="1"/>
    <col min="11436" max="11436" width="1.6640625" style="23" customWidth="1"/>
    <col min="11437" max="11437" width="12.5546875" style="23" customWidth="1"/>
    <col min="11438" max="11438" width="1.6640625" style="23" customWidth="1"/>
    <col min="11439" max="11439" width="19.5546875" style="23" customWidth="1"/>
    <col min="11440" max="11441" width="12.5546875" style="23"/>
    <col min="11442" max="11442" width="1.6640625" style="23" customWidth="1"/>
    <col min="11443" max="11443" width="12.5546875" style="23"/>
    <col min="11444" max="11444" width="1.6640625" style="23" customWidth="1"/>
    <col min="11445" max="11445" width="12.5546875" style="23"/>
    <col min="11446" max="11446" width="1.6640625" style="23" customWidth="1"/>
    <col min="11447" max="11449" width="12.5546875" style="23"/>
    <col min="11450" max="11450" width="1.6640625" style="23" customWidth="1"/>
    <col min="11451" max="11451" width="12.5546875" style="23"/>
    <col min="11452" max="11452" width="1.6640625" style="23" customWidth="1"/>
    <col min="11453" max="11453" width="12.5546875" style="23"/>
    <col min="11454" max="11454" width="1.6640625" style="23" customWidth="1"/>
    <col min="11455" max="11670" width="12.5546875" style="23"/>
    <col min="11671" max="11671" width="2.6640625" style="23" customWidth="1"/>
    <col min="11672" max="11672" width="53.5546875" style="23" customWidth="1"/>
    <col min="11673" max="11673" width="12.5546875" style="23" customWidth="1"/>
    <col min="11674" max="11674" width="3.5546875" style="23" customWidth="1"/>
    <col min="11675" max="11675" width="12.5546875" style="23" customWidth="1"/>
    <col min="11676" max="11676" width="1.6640625" style="23" customWidth="1"/>
    <col min="11677" max="11677" width="12.5546875" style="23" customWidth="1"/>
    <col min="11678" max="11678" width="1.6640625" style="23" customWidth="1"/>
    <col min="11679" max="11679" width="12.5546875" style="23" customWidth="1"/>
    <col min="11680" max="11680" width="1.6640625" style="23" customWidth="1"/>
    <col min="11681" max="11681" width="12.5546875" style="23" customWidth="1"/>
    <col min="11682" max="11682" width="1.6640625" style="23" customWidth="1"/>
    <col min="11683" max="11683" width="19.5546875" style="23" customWidth="1"/>
    <col min="11684" max="11684" width="3.5546875" style="23" customWidth="1"/>
    <col min="11685" max="11685" width="12.5546875" style="23" customWidth="1"/>
    <col min="11686" max="11686" width="3.5546875" style="23" customWidth="1"/>
    <col min="11687" max="11687" width="12.5546875" style="23" customWidth="1"/>
    <col min="11688" max="11688" width="1.6640625" style="23" customWidth="1"/>
    <col min="11689" max="11689" width="12.5546875" style="23" customWidth="1"/>
    <col min="11690" max="11690" width="1.6640625" style="23" customWidth="1"/>
    <col min="11691" max="11691" width="12.5546875" style="23" customWidth="1"/>
    <col min="11692" max="11692" width="1.6640625" style="23" customWidth="1"/>
    <col min="11693" max="11693" width="12.5546875" style="23" customWidth="1"/>
    <col min="11694" max="11694" width="1.6640625" style="23" customWidth="1"/>
    <col min="11695" max="11695" width="19.5546875" style="23" customWidth="1"/>
    <col min="11696" max="11697" width="12.5546875" style="23"/>
    <col min="11698" max="11698" width="1.6640625" style="23" customWidth="1"/>
    <col min="11699" max="11699" width="12.5546875" style="23"/>
    <col min="11700" max="11700" width="1.6640625" style="23" customWidth="1"/>
    <col min="11701" max="11701" width="12.5546875" style="23"/>
    <col min="11702" max="11702" width="1.6640625" style="23" customWidth="1"/>
    <col min="11703" max="11705" width="12.5546875" style="23"/>
    <col min="11706" max="11706" width="1.6640625" style="23" customWidth="1"/>
    <col min="11707" max="11707" width="12.5546875" style="23"/>
    <col min="11708" max="11708" width="1.6640625" style="23" customWidth="1"/>
    <col min="11709" max="11709" width="12.5546875" style="23"/>
    <col min="11710" max="11710" width="1.6640625" style="23" customWidth="1"/>
    <col min="11711" max="11926" width="12.5546875" style="23"/>
    <col min="11927" max="11927" width="2.6640625" style="23" customWidth="1"/>
    <col min="11928" max="11928" width="53.5546875" style="23" customWidth="1"/>
    <col min="11929" max="11929" width="12.5546875" style="23" customWidth="1"/>
    <col min="11930" max="11930" width="3.5546875" style="23" customWidth="1"/>
    <col min="11931" max="11931" width="12.5546875" style="23" customWidth="1"/>
    <col min="11932" max="11932" width="1.6640625" style="23" customWidth="1"/>
    <col min="11933" max="11933" width="12.5546875" style="23" customWidth="1"/>
    <col min="11934" max="11934" width="1.6640625" style="23" customWidth="1"/>
    <col min="11935" max="11935" width="12.5546875" style="23" customWidth="1"/>
    <col min="11936" max="11936" width="1.6640625" style="23" customWidth="1"/>
    <col min="11937" max="11937" width="12.5546875" style="23" customWidth="1"/>
    <col min="11938" max="11938" width="1.6640625" style="23" customWidth="1"/>
    <col min="11939" max="11939" width="19.5546875" style="23" customWidth="1"/>
    <col min="11940" max="11940" width="3.5546875" style="23" customWidth="1"/>
    <col min="11941" max="11941" width="12.5546875" style="23" customWidth="1"/>
    <col min="11942" max="11942" width="3.5546875" style="23" customWidth="1"/>
    <col min="11943" max="11943" width="12.5546875" style="23" customWidth="1"/>
    <col min="11944" max="11944" width="1.6640625" style="23" customWidth="1"/>
    <col min="11945" max="11945" width="12.5546875" style="23" customWidth="1"/>
    <col min="11946" max="11946" width="1.6640625" style="23" customWidth="1"/>
    <col min="11947" max="11947" width="12.5546875" style="23" customWidth="1"/>
    <col min="11948" max="11948" width="1.6640625" style="23" customWidth="1"/>
    <col min="11949" max="11949" width="12.5546875" style="23" customWidth="1"/>
    <col min="11950" max="11950" width="1.6640625" style="23" customWidth="1"/>
    <col min="11951" max="11951" width="19.5546875" style="23" customWidth="1"/>
    <col min="11952" max="11953" width="12.5546875" style="23"/>
    <col min="11954" max="11954" width="1.6640625" style="23" customWidth="1"/>
    <col min="11955" max="11955" width="12.5546875" style="23"/>
    <col min="11956" max="11956" width="1.6640625" style="23" customWidth="1"/>
    <col min="11957" max="11957" width="12.5546875" style="23"/>
    <col min="11958" max="11958" width="1.6640625" style="23" customWidth="1"/>
    <col min="11959" max="11961" width="12.5546875" style="23"/>
    <col min="11962" max="11962" width="1.6640625" style="23" customWidth="1"/>
    <col min="11963" max="11963" width="12.5546875" style="23"/>
    <col min="11964" max="11964" width="1.6640625" style="23" customWidth="1"/>
    <col min="11965" max="11965" width="12.5546875" style="23"/>
    <col min="11966" max="11966" width="1.6640625" style="23" customWidth="1"/>
    <col min="11967" max="12182" width="12.5546875" style="23"/>
    <col min="12183" max="12183" width="2.6640625" style="23" customWidth="1"/>
    <col min="12184" max="12184" width="53.5546875" style="23" customWidth="1"/>
    <col min="12185" max="12185" width="12.5546875" style="23" customWidth="1"/>
    <col min="12186" max="12186" width="3.5546875" style="23" customWidth="1"/>
    <col min="12187" max="12187" width="12.5546875" style="23" customWidth="1"/>
    <col min="12188" max="12188" width="1.6640625" style="23" customWidth="1"/>
    <col min="12189" max="12189" width="12.5546875" style="23" customWidth="1"/>
    <col min="12190" max="12190" width="1.6640625" style="23" customWidth="1"/>
    <col min="12191" max="12191" width="12.5546875" style="23" customWidth="1"/>
    <col min="12192" max="12192" width="1.6640625" style="23" customWidth="1"/>
    <col min="12193" max="12193" width="12.5546875" style="23" customWidth="1"/>
    <col min="12194" max="12194" width="1.6640625" style="23" customWidth="1"/>
    <col min="12195" max="12195" width="19.5546875" style="23" customWidth="1"/>
    <col min="12196" max="12196" width="3.5546875" style="23" customWidth="1"/>
    <col min="12197" max="12197" width="12.5546875" style="23" customWidth="1"/>
    <col min="12198" max="12198" width="3.5546875" style="23" customWidth="1"/>
    <col min="12199" max="12199" width="12.5546875" style="23" customWidth="1"/>
    <col min="12200" max="12200" width="1.6640625" style="23" customWidth="1"/>
    <col min="12201" max="12201" width="12.5546875" style="23" customWidth="1"/>
    <col min="12202" max="12202" width="1.6640625" style="23" customWidth="1"/>
    <col min="12203" max="12203" width="12.5546875" style="23" customWidth="1"/>
    <col min="12204" max="12204" width="1.6640625" style="23" customWidth="1"/>
    <col min="12205" max="12205" width="12.5546875" style="23" customWidth="1"/>
    <col min="12206" max="12206" width="1.6640625" style="23" customWidth="1"/>
    <col min="12207" max="12207" width="19.5546875" style="23" customWidth="1"/>
    <col min="12208" max="12209" width="12.5546875" style="23"/>
    <col min="12210" max="12210" width="1.6640625" style="23" customWidth="1"/>
    <col min="12211" max="12211" width="12.5546875" style="23"/>
    <col min="12212" max="12212" width="1.6640625" style="23" customWidth="1"/>
    <col min="12213" max="12213" width="12.5546875" style="23"/>
    <col min="12214" max="12214" width="1.6640625" style="23" customWidth="1"/>
    <col min="12215" max="12217" width="12.5546875" style="23"/>
    <col min="12218" max="12218" width="1.6640625" style="23" customWidth="1"/>
    <col min="12219" max="12219" width="12.5546875" style="23"/>
    <col min="12220" max="12220" width="1.6640625" style="23" customWidth="1"/>
    <col min="12221" max="12221" width="12.5546875" style="23"/>
    <col min="12222" max="12222" width="1.6640625" style="23" customWidth="1"/>
    <col min="12223" max="12438" width="12.5546875" style="23"/>
    <col min="12439" max="12439" width="2.6640625" style="23" customWidth="1"/>
    <col min="12440" max="12440" width="53.5546875" style="23" customWidth="1"/>
    <col min="12441" max="12441" width="12.5546875" style="23" customWidth="1"/>
    <col min="12442" max="12442" width="3.5546875" style="23" customWidth="1"/>
    <col min="12443" max="12443" width="12.5546875" style="23" customWidth="1"/>
    <col min="12444" max="12444" width="1.6640625" style="23" customWidth="1"/>
    <col min="12445" max="12445" width="12.5546875" style="23" customWidth="1"/>
    <col min="12446" max="12446" width="1.6640625" style="23" customWidth="1"/>
    <col min="12447" max="12447" width="12.5546875" style="23" customWidth="1"/>
    <col min="12448" max="12448" width="1.6640625" style="23" customWidth="1"/>
    <col min="12449" max="12449" width="12.5546875" style="23" customWidth="1"/>
    <col min="12450" max="12450" width="1.6640625" style="23" customWidth="1"/>
    <col min="12451" max="12451" width="19.5546875" style="23" customWidth="1"/>
    <col min="12452" max="12452" width="3.5546875" style="23" customWidth="1"/>
    <col min="12453" max="12453" width="12.5546875" style="23" customWidth="1"/>
    <col min="12454" max="12454" width="3.5546875" style="23" customWidth="1"/>
    <col min="12455" max="12455" width="12.5546875" style="23" customWidth="1"/>
    <col min="12456" max="12456" width="1.6640625" style="23" customWidth="1"/>
    <col min="12457" max="12457" width="12.5546875" style="23" customWidth="1"/>
    <col min="12458" max="12458" width="1.6640625" style="23" customWidth="1"/>
    <col min="12459" max="12459" width="12.5546875" style="23" customWidth="1"/>
    <col min="12460" max="12460" width="1.6640625" style="23" customWidth="1"/>
    <col min="12461" max="12461" width="12.5546875" style="23" customWidth="1"/>
    <col min="12462" max="12462" width="1.6640625" style="23" customWidth="1"/>
    <col min="12463" max="12463" width="19.5546875" style="23" customWidth="1"/>
    <col min="12464" max="12465" width="12.5546875" style="23"/>
    <col min="12466" max="12466" width="1.6640625" style="23" customWidth="1"/>
    <col min="12467" max="12467" width="12.5546875" style="23"/>
    <col min="12468" max="12468" width="1.6640625" style="23" customWidth="1"/>
    <col min="12469" max="12469" width="12.5546875" style="23"/>
    <col min="12470" max="12470" width="1.6640625" style="23" customWidth="1"/>
    <col min="12471" max="12473" width="12.5546875" style="23"/>
    <col min="12474" max="12474" width="1.6640625" style="23" customWidth="1"/>
    <col min="12475" max="12475" width="12.5546875" style="23"/>
    <col min="12476" max="12476" width="1.6640625" style="23" customWidth="1"/>
    <col min="12477" max="12477" width="12.5546875" style="23"/>
    <col min="12478" max="12478" width="1.6640625" style="23" customWidth="1"/>
    <col min="12479" max="12694" width="12.5546875" style="23"/>
    <col min="12695" max="12695" width="2.6640625" style="23" customWidth="1"/>
    <col min="12696" max="12696" width="53.5546875" style="23" customWidth="1"/>
    <col min="12697" max="12697" width="12.5546875" style="23" customWidth="1"/>
    <col min="12698" max="12698" width="3.5546875" style="23" customWidth="1"/>
    <col min="12699" max="12699" width="12.5546875" style="23" customWidth="1"/>
    <col min="12700" max="12700" width="1.6640625" style="23" customWidth="1"/>
    <col min="12701" max="12701" width="12.5546875" style="23" customWidth="1"/>
    <col min="12702" max="12702" width="1.6640625" style="23" customWidth="1"/>
    <col min="12703" max="12703" width="12.5546875" style="23" customWidth="1"/>
    <col min="12704" max="12704" width="1.6640625" style="23" customWidth="1"/>
    <col min="12705" max="12705" width="12.5546875" style="23" customWidth="1"/>
    <col min="12706" max="12706" width="1.6640625" style="23" customWidth="1"/>
    <col min="12707" max="12707" width="19.5546875" style="23" customWidth="1"/>
    <col min="12708" max="12708" width="3.5546875" style="23" customWidth="1"/>
    <col min="12709" max="12709" width="12.5546875" style="23" customWidth="1"/>
    <col min="12710" max="12710" width="3.5546875" style="23" customWidth="1"/>
    <col min="12711" max="12711" width="12.5546875" style="23" customWidth="1"/>
    <col min="12712" max="12712" width="1.6640625" style="23" customWidth="1"/>
    <col min="12713" max="12713" width="12.5546875" style="23" customWidth="1"/>
    <col min="12714" max="12714" width="1.6640625" style="23" customWidth="1"/>
    <col min="12715" max="12715" width="12.5546875" style="23" customWidth="1"/>
    <col min="12716" max="12716" width="1.6640625" style="23" customWidth="1"/>
    <col min="12717" max="12717" width="12.5546875" style="23" customWidth="1"/>
    <col min="12718" max="12718" width="1.6640625" style="23" customWidth="1"/>
    <col min="12719" max="12719" width="19.5546875" style="23" customWidth="1"/>
    <col min="12720" max="12721" width="12.5546875" style="23"/>
    <col min="12722" max="12722" width="1.6640625" style="23" customWidth="1"/>
    <col min="12723" max="12723" width="12.5546875" style="23"/>
    <col min="12724" max="12724" width="1.6640625" style="23" customWidth="1"/>
    <col min="12725" max="12725" width="12.5546875" style="23"/>
    <col min="12726" max="12726" width="1.6640625" style="23" customWidth="1"/>
    <col min="12727" max="12729" width="12.5546875" style="23"/>
    <col min="12730" max="12730" width="1.6640625" style="23" customWidth="1"/>
    <col min="12731" max="12731" width="12.5546875" style="23"/>
    <col min="12732" max="12732" width="1.6640625" style="23" customWidth="1"/>
    <col min="12733" max="12733" width="12.5546875" style="23"/>
    <col min="12734" max="12734" width="1.6640625" style="23" customWidth="1"/>
    <col min="12735" max="12950" width="12.5546875" style="23"/>
    <col min="12951" max="12951" width="2.6640625" style="23" customWidth="1"/>
    <col min="12952" max="12952" width="53.5546875" style="23" customWidth="1"/>
    <col min="12953" max="12953" width="12.5546875" style="23" customWidth="1"/>
    <col min="12954" max="12954" width="3.5546875" style="23" customWidth="1"/>
    <col min="12955" max="12955" width="12.5546875" style="23" customWidth="1"/>
    <col min="12956" max="12956" width="1.6640625" style="23" customWidth="1"/>
    <col min="12957" max="12957" width="12.5546875" style="23" customWidth="1"/>
    <col min="12958" max="12958" width="1.6640625" style="23" customWidth="1"/>
    <col min="12959" max="12959" width="12.5546875" style="23" customWidth="1"/>
    <col min="12960" max="12960" width="1.6640625" style="23" customWidth="1"/>
    <col min="12961" max="12961" width="12.5546875" style="23" customWidth="1"/>
    <col min="12962" max="12962" width="1.6640625" style="23" customWidth="1"/>
    <col min="12963" max="12963" width="19.5546875" style="23" customWidth="1"/>
    <col min="12964" max="12964" width="3.5546875" style="23" customWidth="1"/>
    <col min="12965" max="12965" width="12.5546875" style="23" customWidth="1"/>
    <col min="12966" max="12966" width="3.5546875" style="23" customWidth="1"/>
    <col min="12967" max="12967" width="12.5546875" style="23" customWidth="1"/>
    <col min="12968" max="12968" width="1.6640625" style="23" customWidth="1"/>
    <col min="12969" max="12969" width="12.5546875" style="23" customWidth="1"/>
    <col min="12970" max="12970" width="1.6640625" style="23" customWidth="1"/>
    <col min="12971" max="12971" width="12.5546875" style="23" customWidth="1"/>
    <col min="12972" max="12972" width="1.6640625" style="23" customWidth="1"/>
    <col min="12973" max="12973" width="12.5546875" style="23" customWidth="1"/>
    <col min="12974" max="12974" width="1.6640625" style="23" customWidth="1"/>
    <col min="12975" max="12975" width="19.5546875" style="23" customWidth="1"/>
    <col min="12976" max="12977" width="12.5546875" style="23"/>
    <col min="12978" max="12978" width="1.6640625" style="23" customWidth="1"/>
    <col min="12979" max="12979" width="12.5546875" style="23"/>
    <col min="12980" max="12980" width="1.6640625" style="23" customWidth="1"/>
    <col min="12981" max="12981" width="12.5546875" style="23"/>
    <col min="12982" max="12982" width="1.6640625" style="23" customWidth="1"/>
    <col min="12983" max="12985" width="12.5546875" style="23"/>
    <col min="12986" max="12986" width="1.6640625" style="23" customWidth="1"/>
    <col min="12987" max="12987" width="12.5546875" style="23"/>
    <col min="12988" max="12988" width="1.6640625" style="23" customWidth="1"/>
    <col min="12989" max="12989" width="12.5546875" style="23"/>
    <col min="12990" max="12990" width="1.6640625" style="23" customWidth="1"/>
    <col min="12991" max="13206" width="12.5546875" style="23"/>
    <col min="13207" max="13207" width="2.6640625" style="23" customWidth="1"/>
    <col min="13208" max="13208" width="53.5546875" style="23" customWidth="1"/>
    <col min="13209" max="13209" width="12.5546875" style="23" customWidth="1"/>
    <col min="13210" max="13210" width="3.5546875" style="23" customWidth="1"/>
    <col min="13211" max="13211" width="12.5546875" style="23" customWidth="1"/>
    <col min="13212" max="13212" width="1.6640625" style="23" customWidth="1"/>
    <col min="13213" max="13213" width="12.5546875" style="23" customWidth="1"/>
    <col min="13214" max="13214" width="1.6640625" style="23" customWidth="1"/>
    <col min="13215" max="13215" width="12.5546875" style="23" customWidth="1"/>
    <col min="13216" max="13216" width="1.6640625" style="23" customWidth="1"/>
    <col min="13217" max="13217" width="12.5546875" style="23" customWidth="1"/>
    <col min="13218" max="13218" width="1.6640625" style="23" customWidth="1"/>
    <col min="13219" max="13219" width="19.5546875" style="23" customWidth="1"/>
    <col min="13220" max="13220" width="3.5546875" style="23" customWidth="1"/>
    <col min="13221" max="13221" width="12.5546875" style="23" customWidth="1"/>
    <col min="13222" max="13222" width="3.5546875" style="23" customWidth="1"/>
    <col min="13223" max="13223" width="12.5546875" style="23" customWidth="1"/>
    <col min="13224" max="13224" width="1.6640625" style="23" customWidth="1"/>
    <col min="13225" max="13225" width="12.5546875" style="23" customWidth="1"/>
    <col min="13226" max="13226" width="1.6640625" style="23" customWidth="1"/>
    <col min="13227" max="13227" width="12.5546875" style="23" customWidth="1"/>
    <col min="13228" max="13228" width="1.6640625" style="23" customWidth="1"/>
    <col min="13229" max="13229" width="12.5546875" style="23" customWidth="1"/>
    <col min="13230" max="13230" width="1.6640625" style="23" customWidth="1"/>
    <col min="13231" max="13231" width="19.5546875" style="23" customWidth="1"/>
    <col min="13232" max="13233" width="12.5546875" style="23"/>
    <col min="13234" max="13234" width="1.6640625" style="23" customWidth="1"/>
    <col min="13235" max="13235" width="12.5546875" style="23"/>
    <col min="13236" max="13236" width="1.6640625" style="23" customWidth="1"/>
    <col min="13237" max="13237" width="12.5546875" style="23"/>
    <col min="13238" max="13238" width="1.6640625" style="23" customWidth="1"/>
    <col min="13239" max="13241" width="12.5546875" style="23"/>
    <col min="13242" max="13242" width="1.6640625" style="23" customWidth="1"/>
    <col min="13243" max="13243" width="12.5546875" style="23"/>
    <col min="13244" max="13244" width="1.6640625" style="23" customWidth="1"/>
    <col min="13245" max="13245" width="12.5546875" style="23"/>
    <col min="13246" max="13246" width="1.6640625" style="23" customWidth="1"/>
    <col min="13247" max="13462" width="12.5546875" style="23"/>
    <col min="13463" max="13463" width="2.6640625" style="23" customWidth="1"/>
    <col min="13464" max="13464" width="53.5546875" style="23" customWidth="1"/>
    <col min="13465" max="13465" width="12.5546875" style="23" customWidth="1"/>
    <col min="13466" max="13466" width="3.5546875" style="23" customWidth="1"/>
    <col min="13467" max="13467" width="12.5546875" style="23" customWidth="1"/>
    <col min="13468" max="13468" width="1.6640625" style="23" customWidth="1"/>
    <col min="13469" max="13469" width="12.5546875" style="23" customWidth="1"/>
    <col min="13470" max="13470" width="1.6640625" style="23" customWidth="1"/>
    <col min="13471" max="13471" width="12.5546875" style="23" customWidth="1"/>
    <col min="13472" max="13472" width="1.6640625" style="23" customWidth="1"/>
    <col min="13473" max="13473" width="12.5546875" style="23" customWidth="1"/>
    <col min="13474" max="13474" width="1.6640625" style="23" customWidth="1"/>
    <col min="13475" max="13475" width="19.5546875" style="23" customWidth="1"/>
    <col min="13476" max="13476" width="3.5546875" style="23" customWidth="1"/>
    <col min="13477" max="13477" width="12.5546875" style="23" customWidth="1"/>
    <col min="13478" max="13478" width="3.5546875" style="23" customWidth="1"/>
    <col min="13479" max="13479" width="12.5546875" style="23" customWidth="1"/>
    <col min="13480" max="13480" width="1.6640625" style="23" customWidth="1"/>
    <col min="13481" max="13481" width="12.5546875" style="23" customWidth="1"/>
    <col min="13482" max="13482" width="1.6640625" style="23" customWidth="1"/>
    <col min="13483" max="13483" width="12.5546875" style="23" customWidth="1"/>
    <col min="13484" max="13484" width="1.6640625" style="23" customWidth="1"/>
    <col min="13485" max="13485" width="12.5546875" style="23" customWidth="1"/>
    <col min="13486" max="13486" width="1.6640625" style="23" customWidth="1"/>
    <col min="13487" max="13487" width="19.5546875" style="23" customWidth="1"/>
    <col min="13488" max="13489" width="12.5546875" style="23"/>
    <col min="13490" max="13490" width="1.6640625" style="23" customWidth="1"/>
    <col min="13491" max="13491" width="12.5546875" style="23"/>
    <col min="13492" max="13492" width="1.6640625" style="23" customWidth="1"/>
    <col min="13493" max="13493" width="12.5546875" style="23"/>
    <col min="13494" max="13494" width="1.6640625" style="23" customWidth="1"/>
    <col min="13495" max="13497" width="12.5546875" style="23"/>
    <col min="13498" max="13498" width="1.6640625" style="23" customWidth="1"/>
    <col min="13499" max="13499" width="12.5546875" style="23"/>
    <col min="13500" max="13500" width="1.6640625" style="23" customWidth="1"/>
    <col min="13501" max="13501" width="12.5546875" style="23"/>
    <col min="13502" max="13502" width="1.6640625" style="23" customWidth="1"/>
    <col min="13503" max="13718" width="12.5546875" style="23"/>
    <col min="13719" max="13719" width="2.6640625" style="23" customWidth="1"/>
    <col min="13720" max="13720" width="53.5546875" style="23" customWidth="1"/>
    <col min="13721" max="13721" width="12.5546875" style="23" customWidth="1"/>
    <col min="13722" max="13722" width="3.5546875" style="23" customWidth="1"/>
    <col min="13723" max="13723" width="12.5546875" style="23" customWidth="1"/>
    <col min="13724" max="13724" width="1.6640625" style="23" customWidth="1"/>
    <col min="13725" max="13725" width="12.5546875" style="23" customWidth="1"/>
    <col min="13726" max="13726" width="1.6640625" style="23" customWidth="1"/>
    <col min="13727" max="13727" width="12.5546875" style="23" customWidth="1"/>
    <col min="13728" max="13728" width="1.6640625" style="23" customWidth="1"/>
    <col min="13729" max="13729" width="12.5546875" style="23" customWidth="1"/>
    <col min="13730" max="13730" width="1.6640625" style="23" customWidth="1"/>
    <col min="13731" max="13731" width="19.5546875" style="23" customWidth="1"/>
    <col min="13732" max="13732" width="3.5546875" style="23" customWidth="1"/>
    <col min="13733" max="13733" width="12.5546875" style="23" customWidth="1"/>
    <col min="13734" max="13734" width="3.5546875" style="23" customWidth="1"/>
    <col min="13735" max="13735" width="12.5546875" style="23" customWidth="1"/>
    <col min="13736" max="13736" width="1.6640625" style="23" customWidth="1"/>
    <col min="13737" max="13737" width="12.5546875" style="23" customWidth="1"/>
    <col min="13738" max="13738" width="1.6640625" style="23" customWidth="1"/>
    <col min="13739" max="13739" width="12.5546875" style="23" customWidth="1"/>
    <col min="13740" max="13740" width="1.6640625" style="23" customWidth="1"/>
    <col min="13741" max="13741" width="12.5546875" style="23" customWidth="1"/>
    <col min="13742" max="13742" width="1.6640625" style="23" customWidth="1"/>
    <col min="13743" max="13743" width="19.5546875" style="23" customWidth="1"/>
    <col min="13744" max="13745" width="12.5546875" style="23"/>
    <col min="13746" max="13746" width="1.6640625" style="23" customWidth="1"/>
    <col min="13747" max="13747" width="12.5546875" style="23"/>
    <col min="13748" max="13748" width="1.6640625" style="23" customWidth="1"/>
    <col min="13749" max="13749" width="12.5546875" style="23"/>
    <col min="13750" max="13750" width="1.6640625" style="23" customWidth="1"/>
    <col min="13751" max="13753" width="12.5546875" style="23"/>
    <col min="13754" max="13754" width="1.6640625" style="23" customWidth="1"/>
    <col min="13755" max="13755" width="12.5546875" style="23"/>
    <col min="13756" max="13756" width="1.6640625" style="23" customWidth="1"/>
    <col min="13757" max="13757" width="12.5546875" style="23"/>
    <col min="13758" max="13758" width="1.6640625" style="23" customWidth="1"/>
    <col min="13759" max="13974" width="12.5546875" style="23"/>
    <col min="13975" max="13975" width="2.6640625" style="23" customWidth="1"/>
    <col min="13976" max="13976" width="53.5546875" style="23" customWidth="1"/>
    <col min="13977" max="13977" width="12.5546875" style="23" customWidth="1"/>
    <col min="13978" max="13978" width="3.5546875" style="23" customWidth="1"/>
    <col min="13979" max="13979" width="12.5546875" style="23" customWidth="1"/>
    <col min="13980" max="13980" width="1.6640625" style="23" customWidth="1"/>
    <col min="13981" max="13981" width="12.5546875" style="23" customWidth="1"/>
    <col min="13982" max="13982" width="1.6640625" style="23" customWidth="1"/>
    <col min="13983" max="13983" width="12.5546875" style="23" customWidth="1"/>
    <col min="13984" max="13984" width="1.6640625" style="23" customWidth="1"/>
    <col min="13985" max="13985" width="12.5546875" style="23" customWidth="1"/>
    <col min="13986" max="13986" width="1.6640625" style="23" customWidth="1"/>
    <col min="13987" max="13987" width="19.5546875" style="23" customWidth="1"/>
    <col min="13988" max="13988" width="3.5546875" style="23" customWidth="1"/>
    <col min="13989" max="13989" width="12.5546875" style="23" customWidth="1"/>
    <col min="13990" max="13990" width="3.5546875" style="23" customWidth="1"/>
    <col min="13991" max="13991" width="12.5546875" style="23" customWidth="1"/>
    <col min="13992" max="13992" width="1.6640625" style="23" customWidth="1"/>
    <col min="13993" max="13993" width="12.5546875" style="23" customWidth="1"/>
    <col min="13994" max="13994" width="1.6640625" style="23" customWidth="1"/>
    <col min="13995" max="13995" width="12.5546875" style="23" customWidth="1"/>
    <col min="13996" max="13996" width="1.6640625" style="23" customWidth="1"/>
    <col min="13997" max="13997" width="12.5546875" style="23" customWidth="1"/>
    <col min="13998" max="13998" width="1.6640625" style="23" customWidth="1"/>
    <col min="13999" max="13999" width="19.5546875" style="23" customWidth="1"/>
    <col min="14000" max="14001" width="12.5546875" style="23"/>
    <col min="14002" max="14002" width="1.6640625" style="23" customWidth="1"/>
    <col min="14003" max="14003" width="12.5546875" style="23"/>
    <col min="14004" max="14004" width="1.6640625" style="23" customWidth="1"/>
    <col min="14005" max="14005" width="12.5546875" style="23"/>
    <col min="14006" max="14006" width="1.6640625" style="23" customWidth="1"/>
    <col min="14007" max="14009" width="12.5546875" style="23"/>
    <col min="14010" max="14010" width="1.6640625" style="23" customWidth="1"/>
    <col min="14011" max="14011" width="12.5546875" style="23"/>
    <col min="14012" max="14012" width="1.6640625" style="23" customWidth="1"/>
    <col min="14013" max="14013" width="12.5546875" style="23"/>
    <col min="14014" max="14014" width="1.6640625" style="23" customWidth="1"/>
    <col min="14015" max="14230" width="12.5546875" style="23"/>
    <col min="14231" max="14231" width="2.6640625" style="23" customWidth="1"/>
    <col min="14232" max="14232" width="53.5546875" style="23" customWidth="1"/>
    <col min="14233" max="14233" width="12.5546875" style="23" customWidth="1"/>
    <col min="14234" max="14234" width="3.5546875" style="23" customWidth="1"/>
    <col min="14235" max="14235" width="12.5546875" style="23" customWidth="1"/>
    <col min="14236" max="14236" width="1.6640625" style="23" customWidth="1"/>
    <col min="14237" max="14237" width="12.5546875" style="23" customWidth="1"/>
    <col min="14238" max="14238" width="1.6640625" style="23" customWidth="1"/>
    <col min="14239" max="14239" width="12.5546875" style="23" customWidth="1"/>
    <col min="14240" max="14240" width="1.6640625" style="23" customWidth="1"/>
    <col min="14241" max="14241" width="12.5546875" style="23" customWidth="1"/>
    <col min="14242" max="14242" width="1.6640625" style="23" customWidth="1"/>
    <col min="14243" max="14243" width="19.5546875" style="23" customWidth="1"/>
    <col min="14244" max="14244" width="3.5546875" style="23" customWidth="1"/>
    <col min="14245" max="14245" width="12.5546875" style="23" customWidth="1"/>
    <col min="14246" max="14246" width="3.5546875" style="23" customWidth="1"/>
    <col min="14247" max="14247" width="12.5546875" style="23" customWidth="1"/>
    <col min="14248" max="14248" width="1.6640625" style="23" customWidth="1"/>
    <col min="14249" max="14249" width="12.5546875" style="23" customWidth="1"/>
    <col min="14250" max="14250" width="1.6640625" style="23" customWidth="1"/>
    <col min="14251" max="14251" width="12.5546875" style="23" customWidth="1"/>
    <col min="14252" max="14252" width="1.6640625" style="23" customWidth="1"/>
    <col min="14253" max="14253" width="12.5546875" style="23" customWidth="1"/>
    <col min="14254" max="14254" width="1.6640625" style="23" customWidth="1"/>
    <col min="14255" max="14255" width="19.5546875" style="23" customWidth="1"/>
    <col min="14256" max="14257" width="12.5546875" style="23"/>
    <col min="14258" max="14258" width="1.6640625" style="23" customWidth="1"/>
    <col min="14259" max="14259" width="12.5546875" style="23"/>
    <col min="14260" max="14260" width="1.6640625" style="23" customWidth="1"/>
    <col min="14261" max="14261" width="12.5546875" style="23"/>
    <col min="14262" max="14262" width="1.6640625" style="23" customWidth="1"/>
    <col min="14263" max="14265" width="12.5546875" style="23"/>
    <col min="14266" max="14266" width="1.6640625" style="23" customWidth="1"/>
    <col min="14267" max="14267" width="12.5546875" style="23"/>
    <col min="14268" max="14268" width="1.6640625" style="23" customWidth="1"/>
    <col min="14269" max="14269" width="12.5546875" style="23"/>
    <col min="14270" max="14270" width="1.6640625" style="23" customWidth="1"/>
    <col min="14271" max="14486" width="12.5546875" style="23"/>
    <col min="14487" max="14487" width="2.6640625" style="23" customWidth="1"/>
    <col min="14488" max="14488" width="53.5546875" style="23" customWidth="1"/>
    <col min="14489" max="14489" width="12.5546875" style="23" customWidth="1"/>
    <col min="14490" max="14490" width="3.5546875" style="23" customWidth="1"/>
    <col min="14491" max="14491" width="12.5546875" style="23" customWidth="1"/>
    <col min="14492" max="14492" width="1.6640625" style="23" customWidth="1"/>
    <col min="14493" max="14493" width="12.5546875" style="23" customWidth="1"/>
    <col min="14494" max="14494" width="1.6640625" style="23" customWidth="1"/>
    <col min="14495" max="14495" width="12.5546875" style="23" customWidth="1"/>
    <col min="14496" max="14496" width="1.6640625" style="23" customWidth="1"/>
    <col min="14497" max="14497" width="12.5546875" style="23" customWidth="1"/>
    <col min="14498" max="14498" width="1.6640625" style="23" customWidth="1"/>
    <col min="14499" max="14499" width="19.5546875" style="23" customWidth="1"/>
    <col min="14500" max="14500" width="3.5546875" style="23" customWidth="1"/>
    <col min="14501" max="14501" width="12.5546875" style="23" customWidth="1"/>
    <col min="14502" max="14502" width="3.5546875" style="23" customWidth="1"/>
    <col min="14503" max="14503" width="12.5546875" style="23" customWidth="1"/>
    <col min="14504" max="14504" width="1.6640625" style="23" customWidth="1"/>
    <col min="14505" max="14505" width="12.5546875" style="23" customWidth="1"/>
    <col min="14506" max="14506" width="1.6640625" style="23" customWidth="1"/>
    <col min="14507" max="14507" width="12.5546875" style="23" customWidth="1"/>
    <col min="14508" max="14508" width="1.6640625" style="23" customWidth="1"/>
    <col min="14509" max="14509" width="12.5546875" style="23" customWidth="1"/>
    <col min="14510" max="14510" width="1.6640625" style="23" customWidth="1"/>
    <col min="14511" max="14511" width="19.5546875" style="23" customWidth="1"/>
    <col min="14512" max="14513" width="12.5546875" style="23"/>
    <col min="14514" max="14514" width="1.6640625" style="23" customWidth="1"/>
    <col min="14515" max="14515" width="12.5546875" style="23"/>
    <col min="14516" max="14516" width="1.6640625" style="23" customWidth="1"/>
    <col min="14517" max="14517" width="12.5546875" style="23"/>
    <col min="14518" max="14518" width="1.6640625" style="23" customWidth="1"/>
    <col min="14519" max="14521" width="12.5546875" style="23"/>
    <col min="14522" max="14522" width="1.6640625" style="23" customWidth="1"/>
    <col min="14523" max="14523" width="12.5546875" style="23"/>
    <col min="14524" max="14524" width="1.6640625" style="23" customWidth="1"/>
    <col min="14525" max="14525" width="12.5546875" style="23"/>
    <col min="14526" max="14526" width="1.6640625" style="23" customWidth="1"/>
    <col min="14527" max="14742" width="12.5546875" style="23"/>
    <col min="14743" max="14743" width="2.6640625" style="23" customWidth="1"/>
    <col min="14744" max="14744" width="53.5546875" style="23" customWidth="1"/>
    <col min="14745" max="14745" width="12.5546875" style="23" customWidth="1"/>
    <col min="14746" max="14746" width="3.5546875" style="23" customWidth="1"/>
    <col min="14747" max="14747" width="12.5546875" style="23" customWidth="1"/>
    <col min="14748" max="14748" width="1.6640625" style="23" customWidth="1"/>
    <col min="14749" max="14749" width="12.5546875" style="23" customWidth="1"/>
    <col min="14750" max="14750" width="1.6640625" style="23" customWidth="1"/>
    <col min="14751" max="14751" width="12.5546875" style="23" customWidth="1"/>
    <col min="14752" max="14752" width="1.6640625" style="23" customWidth="1"/>
    <col min="14753" max="14753" width="12.5546875" style="23" customWidth="1"/>
    <col min="14754" max="14754" width="1.6640625" style="23" customWidth="1"/>
    <col min="14755" max="14755" width="19.5546875" style="23" customWidth="1"/>
    <col min="14756" max="14756" width="3.5546875" style="23" customWidth="1"/>
    <col min="14757" max="14757" width="12.5546875" style="23" customWidth="1"/>
    <col min="14758" max="14758" width="3.5546875" style="23" customWidth="1"/>
    <col min="14759" max="14759" width="12.5546875" style="23" customWidth="1"/>
    <col min="14760" max="14760" width="1.6640625" style="23" customWidth="1"/>
    <col min="14761" max="14761" width="12.5546875" style="23" customWidth="1"/>
    <col min="14762" max="14762" width="1.6640625" style="23" customWidth="1"/>
    <col min="14763" max="14763" width="12.5546875" style="23" customWidth="1"/>
    <col min="14764" max="14764" width="1.6640625" style="23" customWidth="1"/>
    <col min="14765" max="14765" width="12.5546875" style="23" customWidth="1"/>
    <col min="14766" max="14766" width="1.6640625" style="23" customWidth="1"/>
    <col min="14767" max="14767" width="19.5546875" style="23" customWidth="1"/>
    <col min="14768" max="14769" width="12.5546875" style="23"/>
    <col min="14770" max="14770" width="1.6640625" style="23" customWidth="1"/>
    <col min="14771" max="14771" width="12.5546875" style="23"/>
    <col min="14772" max="14772" width="1.6640625" style="23" customWidth="1"/>
    <col min="14773" max="14773" width="12.5546875" style="23"/>
    <col min="14774" max="14774" width="1.6640625" style="23" customWidth="1"/>
    <col min="14775" max="14777" width="12.5546875" style="23"/>
    <col min="14778" max="14778" width="1.6640625" style="23" customWidth="1"/>
    <col min="14779" max="14779" width="12.5546875" style="23"/>
    <col min="14780" max="14780" width="1.6640625" style="23" customWidth="1"/>
    <col min="14781" max="14781" width="12.5546875" style="23"/>
    <col min="14782" max="14782" width="1.6640625" style="23" customWidth="1"/>
    <col min="14783" max="14998" width="12.5546875" style="23"/>
    <col min="14999" max="14999" width="2.6640625" style="23" customWidth="1"/>
    <col min="15000" max="15000" width="53.5546875" style="23" customWidth="1"/>
    <col min="15001" max="15001" width="12.5546875" style="23" customWidth="1"/>
    <col min="15002" max="15002" width="3.5546875" style="23" customWidth="1"/>
    <col min="15003" max="15003" width="12.5546875" style="23" customWidth="1"/>
    <col min="15004" max="15004" width="1.6640625" style="23" customWidth="1"/>
    <col min="15005" max="15005" width="12.5546875" style="23" customWidth="1"/>
    <col min="15006" max="15006" width="1.6640625" style="23" customWidth="1"/>
    <col min="15007" max="15007" width="12.5546875" style="23" customWidth="1"/>
    <col min="15008" max="15008" width="1.6640625" style="23" customWidth="1"/>
    <col min="15009" max="15009" width="12.5546875" style="23" customWidth="1"/>
    <col min="15010" max="15010" width="1.6640625" style="23" customWidth="1"/>
    <col min="15011" max="15011" width="19.5546875" style="23" customWidth="1"/>
    <col min="15012" max="15012" width="3.5546875" style="23" customWidth="1"/>
    <col min="15013" max="15013" width="12.5546875" style="23" customWidth="1"/>
    <col min="15014" max="15014" width="3.5546875" style="23" customWidth="1"/>
    <col min="15015" max="15015" width="12.5546875" style="23" customWidth="1"/>
    <col min="15016" max="15016" width="1.6640625" style="23" customWidth="1"/>
    <col min="15017" max="15017" width="12.5546875" style="23" customWidth="1"/>
    <col min="15018" max="15018" width="1.6640625" style="23" customWidth="1"/>
    <col min="15019" max="15019" width="12.5546875" style="23" customWidth="1"/>
    <col min="15020" max="15020" width="1.6640625" style="23" customWidth="1"/>
    <col min="15021" max="15021" width="12.5546875" style="23" customWidth="1"/>
    <col min="15022" max="15022" width="1.6640625" style="23" customWidth="1"/>
    <col min="15023" max="15023" width="19.5546875" style="23" customWidth="1"/>
    <col min="15024" max="15025" width="12.5546875" style="23"/>
    <col min="15026" max="15026" width="1.6640625" style="23" customWidth="1"/>
    <col min="15027" max="15027" width="12.5546875" style="23"/>
    <col min="15028" max="15028" width="1.6640625" style="23" customWidth="1"/>
    <col min="15029" max="15029" width="12.5546875" style="23"/>
    <col min="15030" max="15030" width="1.6640625" style="23" customWidth="1"/>
    <col min="15031" max="15033" width="12.5546875" style="23"/>
    <col min="15034" max="15034" width="1.6640625" style="23" customWidth="1"/>
    <col min="15035" max="15035" width="12.5546875" style="23"/>
    <col min="15036" max="15036" width="1.6640625" style="23" customWidth="1"/>
    <col min="15037" max="15037" width="12.5546875" style="23"/>
    <col min="15038" max="15038" width="1.6640625" style="23" customWidth="1"/>
    <col min="15039" max="15254" width="12.5546875" style="23"/>
    <col min="15255" max="15255" width="2.6640625" style="23" customWidth="1"/>
    <col min="15256" max="15256" width="53.5546875" style="23" customWidth="1"/>
    <col min="15257" max="15257" width="12.5546875" style="23" customWidth="1"/>
    <col min="15258" max="15258" width="3.5546875" style="23" customWidth="1"/>
    <col min="15259" max="15259" width="12.5546875" style="23" customWidth="1"/>
    <col min="15260" max="15260" width="1.6640625" style="23" customWidth="1"/>
    <col min="15261" max="15261" width="12.5546875" style="23" customWidth="1"/>
    <col min="15262" max="15262" width="1.6640625" style="23" customWidth="1"/>
    <col min="15263" max="15263" width="12.5546875" style="23" customWidth="1"/>
    <col min="15264" max="15264" width="1.6640625" style="23" customWidth="1"/>
    <col min="15265" max="15265" width="12.5546875" style="23" customWidth="1"/>
    <col min="15266" max="15266" width="1.6640625" style="23" customWidth="1"/>
    <col min="15267" max="15267" width="19.5546875" style="23" customWidth="1"/>
    <col min="15268" max="15268" width="3.5546875" style="23" customWidth="1"/>
    <col min="15269" max="15269" width="12.5546875" style="23" customWidth="1"/>
    <col min="15270" max="15270" width="3.5546875" style="23" customWidth="1"/>
    <col min="15271" max="15271" width="12.5546875" style="23" customWidth="1"/>
    <col min="15272" max="15272" width="1.6640625" style="23" customWidth="1"/>
    <col min="15273" max="15273" width="12.5546875" style="23" customWidth="1"/>
    <col min="15274" max="15274" width="1.6640625" style="23" customWidth="1"/>
    <col min="15275" max="15275" width="12.5546875" style="23" customWidth="1"/>
    <col min="15276" max="15276" width="1.6640625" style="23" customWidth="1"/>
    <col min="15277" max="15277" width="12.5546875" style="23" customWidth="1"/>
    <col min="15278" max="15278" width="1.6640625" style="23" customWidth="1"/>
    <col min="15279" max="15279" width="19.5546875" style="23" customWidth="1"/>
    <col min="15280" max="15281" width="12.5546875" style="23"/>
    <col min="15282" max="15282" width="1.6640625" style="23" customWidth="1"/>
    <col min="15283" max="15283" width="12.5546875" style="23"/>
    <col min="15284" max="15284" width="1.6640625" style="23" customWidth="1"/>
    <col min="15285" max="15285" width="12.5546875" style="23"/>
    <col min="15286" max="15286" width="1.6640625" style="23" customWidth="1"/>
    <col min="15287" max="15289" width="12.5546875" style="23"/>
    <col min="15290" max="15290" width="1.6640625" style="23" customWidth="1"/>
    <col min="15291" max="15291" width="12.5546875" style="23"/>
    <col min="15292" max="15292" width="1.6640625" style="23" customWidth="1"/>
    <col min="15293" max="15293" width="12.5546875" style="23"/>
    <col min="15294" max="15294" width="1.6640625" style="23" customWidth="1"/>
    <col min="15295" max="15510" width="12.5546875" style="23"/>
    <col min="15511" max="15511" width="2.6640625" style="23" customWidth="1"/>
    <col min="15512" max="15512" width="53.5546875" style="23" customWidth="1"/>
    <col min="15513" max="15513" width="12.5546875" style="23" customWidth="1"/>
    <col min="15514" max="15514" width="3.5546875" style="23" customWidth="1"/>
    <col min="15515" max="15515" width="12.5546875" style="23" customWidth="1"/>
    <col min="15516" max="15516" width="1.6640625" style="23" customWidth="1"/>
    <col min="15517" max="15517" width="12.5546875" style="23" customWidth="1"/>
    <col min="15518" max="15518" width="1.6640625" style="23" customWidth="1"/>
    <col min="15519" max="15519" width="12.5546875" style="23" customWidth="1"/>
    <col min="15520" max="15520" width="1.6640625" style="23" customWidth="1"/>
    <col min="15521" max="15521" width="12.5546875" style="23" customWidth="1"/>
    <col min="15522" max="15522" width="1.6640625" style="23" customWidth="1"/>
    <col min="15523" max="15523" width="19.5546875" style="23" customWidth="1"/>
    <col min="15524" max="15524" width="3.5546875" style="23" customWidth="1"/>
    <col min="15525" max="15525" width="12.5546875" style="23" customWidth="1"/>
    <col min="15526" max="15526" width="3.5546875" style="23" customWidth="1"/>
    <col min="15527" max="15527" width="12.5546875" style="23" customWidth="1"/>
    <col min="15528" max="15528" width="1.6640625" style="23" customWidth="1"/>
    <col min="15529" max="15529" width="12.5546875" style="23" customWidth="1"/>
    <col min="15530" max="15530" width="1.6640625" style="23" customWidth="1"/>
    <col min="15531" max="15531" width="12.5546875" style="23" customWidth="1"/>
    <col min="15532" max="15532" width="1.6640625" style="23" customWidth="1"/>
    <col min="15533" max="15533" width="12.5546875" style="23" customWidth="1"/>
    <col min="15534" max="15534" width="1.6640625" style="23" customWidth="1"/>
    <col min="15535" max="15535" width="19.5546875" style="23" customWidth="1"/>
    <col min="15536" max="15537" width="12.5546875" style="23"/>
    <col min="15538" max="15538" width="1.6640625" style="23" customWidth="1"/>
    <col min="15539" max="15539" width="12.5546875" style="23"/>
    <col min="15540" max="15540" width="1.6640625" style="23" customWidth="1"/>
    <col min="15541" max="15541" width="12.5546875" style="23"/>
    <col min="15542" max="15542" width="1.6640625" style="23" customWidth="1"/>
    <col min="15543" max="15545" width="12.5546875" style="23"/>
    <col min="15546" max="15546" width="1.6640625" style="23" customWidth="1"/>
    <col min="15547" max="15547" width="12.5546875" style="23"/>
    <col min="15548" max="15548" width="1.6640625" style="23" customWidth="1"/>
    <col min="15549" max="15549" width="12.5546875" style="23"/>
    <col min="15550" max="15550" width="1.6640625" style="23" customWidth="1"/>
    <col min="15551" max="15766" width="12.5546875" style="23"/>
    <col min="15767" max="15767" width="2.6640625" style="23" customWidth="1"/>
    <col min="15768" max="15768" width="53.5546875" style="23" customWidth="1"/>
    <col min="15769" max="15769" width="12.5546875" style="23" customWidth="1"/>
    <col min="15770" max="15770" width="3.5546875" style="23" customWidth="1"/>
    <col min="15771" max="15771" width="12.5546875" style="23" customWidth="1"/>
    <col min="15772" max="15772" width="1.6640625" style="23" customWidth="1"/>
    <col min="15773" max="15773" width="12.5546875" style="23" customWidth="1"/>
    <col min="15774" max="15774" width="1.6640625" style="23" customWidth="1"/>
    <col min="15775" max="15775" width="12.5546875" style="23" customWidth="1"/>
    <col min="15776" max="15776" width="1.6640625" style="23" customWidth="1"/>
    <col min="15777" max="15777" width="12.5546875" style="23" customWidth="1"/>
    <col min="15778" max="15778" width="1.6640625" style="23" customWidth="1"/>
    <col min="15779" max="15779" width="19.5546875" style="23" customWidth="1"/>
    <col min="15780" max="15780" width="3.5546875" style="23" customWidth="1"/>
    <col min="15781" max="15781" width="12.5546875" style="23" customWidth="1"/>
    <col min="15782" max="15782" width="3.5546875" style="23" customWidth="1"/>
    <col min="15783" max="15783" width="12.5546875" style="23" customWidth="1"/>
    <col min="15784" max="15784" width="1.6640625" style="23" customWidth="1"/>
    <col min="15785" max="15785" width="12.5546875" style="23" customWidth="1"/>
    <col min="15786" max="15786" width="1.6640625" style="23" customWidth="1"/>
    <col min="15787" max="15787" width="12.5546875" style="23" customWidth="1"/>
    <col min="15788" max="15788" width="1.6640625" style="23" customWidth="1"/>
    <col min="15789" max="15789" width="12.5546875" style="23" customWidth="1"/>
    <col min="15790" max="15790" width="1.6640625" style="23" customWidth="1"/>
    <col min="15791" max="15791" width="19.5546875" style="23" customWidth="1"/>
    <col min="15792" max="15793" width="12.5546875" style="23"/>
    <col min="15794" max="15794" width="1.6640625" style="23" customWidth="1"/>
    <col min="15795" max="15795" width="12.5546875" style="23"/>
    <col min="15796" max="15796" width="1.6640625" style="23" customWidth="1"/>
    <col min="15797" max="15797" width="12.5546875" style="23"/>
    <col min="15798" max="15798" width="1.6640625" style="23" customWidth="1"/>
    <col min="15799" max="15801" width="12.5546875" style="23"/>
    <col min="15802" max="15802" width="1.6640625" style="23" customWidth="1"/>
    <col min="15803" max="15803" width="12.5546875" style="23"/>
    <col min="15804" max="15804" width="1.6640625" style="23" customWidth="1"/>
    <col min="15805" max="15805" width="12.5546875" style="23"/>
    <col min="15806" max="15806" width="1.6640625" style="23" customWidth="1"/>
    <col min="15807" max="16022" width="12.5546875" style="23"/>
    <col min="16023" max="16023" width="2.6640625" style="23" customWidth="1"/>
    <col min="16024" max="16024" width="53.5546875" style="23" customWidth="1"/>
    <col min="16025" max="16025" width="12.5546875" style="23" customWidth="1"/>
    <col min="16026" max="16026" width="3.5546875" style="23" customWidth="1"/>
    <col min="16027" max="16027" width="12.5546875" style="23" customWidth="1"/>
    <col min="16028" max="16028" width="1.6640625" style="23" customWidth="1"/>
    <col min="16029" max="16029" width="12.5546875" style="23" customWidth="1"/>
    <col min="16030" max="16030" width="1.6640625" style="23" customWidth="1"/>
    <col min="16031" max="16031" width="12.5546875" style="23" customWidth="1"/>
    <col min="16032" max="16032" width="1.6640625" style="23" customWidth="1"/>
    <col min="16033" max="16033" width="12.5546875" style="23" customWidth="1"/>
    <col min="16034" max="16034" width="1.6640625" style="23" customWidth="1"/>
    <col min="16035" max="16035" width="19.5546875" style="23" customWidth="1"/>
    <col min="16036" max="16036" width="3.5546875" style="23" customWidth="1"/>
    <col min="16037" max="16037" width="12.5546875" style="23" customWidth="1"/>
    <col min="16038" max="16038" width="3.5546875" style="23" customWidth="1"/>
    <col min="16039" max="16039" width="12.5546875" style="23" customWidth="1"/>
    <col min="16040" max="16040" width="1.6640625" style="23" customWidth="1"/>
    <col min="16041" max="16041" width="12.5546875" style="23" customWidth="1"/>
    <col min="16042" max="16042" width="1.6640625" style="23" customWidth="1"/>
    <col min="16043" max="16043" width="12.5546875" style="23" customWidth="1"/>
    <col min="16044" max="16044" width="1.6640625" style="23" customWidth="1"/>
    <col min="16045" max="16045" width="12.5546875" style="23" customWidth="1"/>
    <col min="16046" max="16046" width="1.6640625" style="23" customWidth="1"/>
    <col min="16047" max="16047" width="19.5546875" style="23" customWidth="1"/>
    <col min="16048" max="16049" width="12.5546875" style="23"/>
    <col min="16050" max="16050" width="1.6640625" style="23" customWidth="1"/>
    <col min="16051" max="16051" width="12.5546875" style="23"/>
    <col min="16052" max="16052" width="1.6640625" style="23" customWidth="1"/>
    <col min="16053" max="16053" width="12.5546875" style="23"/>
    <col min="16054" max="16054" width="1.6640625" style="23" customWidth="1"/>
    <col min="16055" max="16057" width="12.5546875" style="23"/>
    <col min="16058" max="16058" width="1.6640625" style="23" customWidth="1"/>
    <col min="16059" max="16059" width="12.5546875" style="23"/>
    <col min="16060" max="16060" width="1.6640625" style="23" customWidth="1"/>
    <col min="16061" max="16061" width="12.5546875" style="23"/>
    <col min="16062" max="16062" width="1.6640625" style="23" customWidth="1"/>
    <col min="16063" max="16384" width="12.5546875" style="23"/>
  </cols>
  <sheetData>
    <row r="1" spans="1:103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BA1" s="20"/>
      <c r="BB1" s="18"/>
      <c r="BC1" s="18"/>
      <c r="BD1" s="18"/>
      <c r="BE1" s="21"/>
      <c r="BF1" s="21"/>
      <c r="BG1" s="21"/>
      <c r="BH1" s="22"/>
      <c r="BI1" s="20"/>
      <c r="BJ1" s="21"/>
      <c r="BK1" s="21"/>
      <c r="BL1" s="20"/>
      <c r="BM1" s="20"/>
      <c r="BN1" s="20"/>
      <c r="BQ1" s="20"/>
    </row>
    <row r="2" spans="1:103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BA2" s="20"/>
      <c r="BB2" s="18"/>
      <c r="BC2" s="18"/>
      <c r="BD2" s="18"/>
      <c r="BE2" s="21"/>
      <c r="BF2" s="21"/>
      <c r="BG2" s="21"/>
      <c r="BH2" s="22"/>
      <c r="BI2" s="20"/>
      <c r="BJ2" s="21"/>
      <c r="BK2" s="21"/>
      <c r="BL2" s="20"/>
      <c r="BM2" s="20"/>
      <c r="BN2" s="20"/>
      <c r="BQ2" s="20"/>
    </row>
    <row r="3" spans="1:103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BA3" s="20"/>
      <c r="BB3" s="18"/>
      <c r="BC3" s="18"/>
      <c r="BD3" s="18"/>
      <c r="BE3" s="21"/>
      <c r="BF3" s="21"/>
      <c r="BG3" s="21"/>
      <c r="BH3" s="22"/>
      <c r="BI3" s="20"/>
      <c r="BJ3" s="21"/>
      <c r="BK3" s="21"/>
      <c r="BL3" s="20"/>
      <c r="BM3" s="20"/>
      <c r="BN3" s="20"/>
      <c r="BQ3" s="20"/>
      <c r="BR3" s="20"/>
    </row>
    <row r="4" spans="1:103" customFormat="1" ht="18">
      <c r="A4" s="71" t="s">
        <v>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</row>
    <row r="5" spans="1:103" ht="20.100000000000001" customHeight="1">
      <c r="A5" s="169" t="s">
        <v>88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BA5" s="169" t="s">
        <v>89</v>
      </c>
      <c r="BB5" s="50"/>
      <c r="BC5" s="50"/>
      <c r="BD5" s="50"/>
      <c r="BE5" s="52"/>
      <c r="BF5" s="52"/>
      <c r="BG5" s="52"/>
      <c r="BH5" s="53"/>
      <c r="BI5" s="51"/>
      <c r="BJ5" s="52"/>
      <c r="BK5" s="52"/>
      <c r="BL5" s="51"/>
      <c r="BM5" s="51"/>
      <c r="BN5" s="51"/>
      <c r="BO5" s="32"/>
      <c r="BP5" s="32"/>
      <c r="BQ5" s="51"/>
    </row>
    <row r="6" spans="1:103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BA6" s="51"/>
      <c r="BB6" s="50"/>
      <c r="BC6" s="50"/>
      <c r="BD6" s="50"/>
      <c r="BE6" s="56"/>
      <c r="BF6" s="56"/>
      <c r="BG6" s="56"/>
      <c r="BH6" s="53"/>
      <c r="BI6" s="51"/>
      <c r="BJ6" s="56"/>
      <c r="BK6" s="56"/>
      <c r="BL6" s="51"/>
      <c r="BM6" s="51"/>
      <c r="BN6" s="51"/>
      <c r="BO6" s="32"/>
      <c r="BP6" s="32"/>
      <c r="BQ6" s="51"/>
      <c r="CW6" s="23" t="s">
        <v>291</v>
      </c>
      <c r="CX6" s="23" t="s">
        <v>291</v>
      </c>
      <c r="CY6" s="23" t="s">
        <v>291</v>
      </c>
    </row>
    <row r="7" spans="1:103" ht="16.2" thickBot="1">
      <c r="A7" s="155" t="s">
        <v>90</v>
      </c>
      <c r="B7" s="156" t="s">
        <v>1</v>
      </c>
      <c r="C7" s="156" t="s">
        <v>2</v>
      </c>
      <c r="D7" s="156" t="s">
        <v>3</v>
      </c>
      <c r="E7" s="156" t="s">
        <v>4</v>
      </c>
      <c r="F7" s="156" t="s">
        <v>5</v>
      </c>
      <c r="G7" s="156" t="s">
        <v>6</v>
      </c>
      <c r="H7" s="156" t="s">
        <v>7</v>
      </c>
      <c r="I7" s="156" t="s">
        <v>8</v>
      </c>
      <c r="J7" s="156" t="s">
        <v>9</v>
      </c>
      <c r="K7" s="156" t="s">
        <v>10</v>
      </c>
      <c r="L7" s="156" t="s">
        <v>11</v>
      </c>
      <c r="M7" s="156" t="s">
        <v>12</v>
      </c>
      <c r="N7" s="156" t="s">
        <v>13</v>
      </c>
      <c r="O7" s="156" t="s">
        <v>14</v>
      </c>
      <c r="P7" s="156" t="s">
        <v>15</v>
      </c>
      <c r="Q7" s="156" t="s">
        <v>16</v>
      </c>
      <c r="R7" s="156" t="s">
        <v>17</v>
      </c>
      <c r="S7" s="156" t="s">
        <v>18</v>
      </c>
      <c r="T7" s="156" t="s">
        <v>19</v>
      </c>
      <c r="U7" s="156" t="s">
        <v>20</v>
      </c>
      <c r="V7" s="156" t="s">
        <v>21</v>
      </c>
      <c r="W7" s="156" t="s">
        <v>22</v>
      </c>
      <c r="X7" s="156" t="s">
        <v>23</v>
      </c>
      <c r="Y7" s="156" t="s">
        <v>24</v>
      </c>
      <c r="Z7" s="156" t="s">
        <v>25</v>
      </c>
      <c r="AA7" s="157" t="s">
        <v>26</v>
      </c>
      <c r="AB7" s="157" t="s">
        <v>27</v>
      </c>
      <c r="AC7" s="157" t="s">
        <v>28</v>
      </c>
      <c r="AD7" s="157" t="s">
        <v>29</v>
      </c>
      <c r="AE7" s="157" t="s">
        <v>30</v>
      </c>
      <c r="AF7" s="157" t="s">
        <v>31</v>
      </c>
      <c r="AG7" s="157" t="s">
        <v>32</v>
      </c>
      <c r="AH7" s="157" t="s">
        <v>33</v>
      </c>
      <c r="AI7" s="157" t="s">
        <v>34</v>
      </c>
      <c r="AJ7" s="157" t="s">
        <v>35</v>
      </c>
      <c r="AK7" s="157" t="s">
        <v>36</v>
      </c>
      <c r="AL7" s="157" t="s">
        <v>37</v>
      </c>
      <c r="AM7" s="157" t="s">
        <v>38</v>
      </c>
      <c r="AN7" s="157" t="s">
        <v>39</v>
      </c>
      <c r="AO7" s="157" t="s">
        <v>40</v>
      </c>
      <c r="AP7" s="157" t="s">
        <v>41</v>
      </c>
      <c r="AQ7" s="157" t="s">
        <v>42</v>
      </c>
      <c r="AR7" s="157" t="s">
        <v>43</v>
      </c>
      <c r="AS7" s="157" t="s">
        <v>44</v>
      </c>
      <c r="AT7" s="157" t="s">
        <v>45</v>
      </c>
      <c r="AU7" s="157" t="s">
        <v>46</v>
      </c>
      <c r="AV7" s="157" t="s">
        <v>47</v>
      </c>
      <c r="AW7" s="157" t="s">
        <v>48</v>
      </c>
      <c r="AX7" s="157" t="s">
        <v>279</v>
      </c>
      <c r="AY7" s="157" t="s">
        <v>292</v>
      </c>
      <c r="AZ7" s="224"/>
      <c r="BA7" s="155" t="s">
        <v>91</v>
      </c>
      <c r="BB7" s="156" t="s">
        <v>1</v>
      </c>
      <c r="BC7" s="156" t="s">
        <v>2</v>
      </c>
      <c r="BD7" s="156" t="s">
        <v>3</v>
      </c>
      <c r="BE7" s="156" t="s">
        <v>4</v>
      </c>
      <c r="BF7" s="156" t="s">
        <v>5</v>
      </c>
      <c r="BG7" s="156" t="s">
        <v>6</v>
      </c>
      <c r="BH7" s="164" t="s">
        <v>7</v>
      </c>
      <c r="BI7" s="156" t="s">
        <v>8</v>
      </c>
      <c r="BJ7" s="156" t="s">
        <v>9</v>
      </c>
      <c r="BK7" s="156" t="s">
        <v>10</v>
      </c>
      <c r="BL7" s="156" t="s">
        <v>11</v>
      </c>
      <c r="BM7" s="156" t="s">
        <v>12</v>
      </c>
      <c r="BN7" s="156" t="s">
        <v>13</v>
      </c>
      <c r="BO7" s="156" t="s">
        <v>14</v>
      </c>
      <c r="BP7" s="156" t="s">
        <v>15</v>
      </c>
      <c r="BQ7" s="156" t="s">
        <v>16</v>
      </c>
      <c r="BR7" s="156" t="s">
        <v>17</v>
      </c>
      <c r="BS7" s="156" t="s">
        <v>18</v>
      </c>
      <c r="BT7" s="156" t="s">
        <v>19</v>
      </c>
      <c r="BU7" s="156" t="s">
        <v>20</v>
      </c>
      <c r="BV7" s="156" t="s">
        <v>21</v>
      </c>
      <c r="BW7" s="156" t="s">
        <v>22</v>
      </c>
      <c r="BX7" s="156" t="s">
        <v>23</v>
      </c>
      <c r="BY7" s="156" t="s">
        <v>24</v>
      </c>
      <c r="BZ7" s="156" t="s">
        <v>25</v>
      </c>
      <c r="CA7" s="156" t="s">
        <v>26</v>
      </c>
      <c r="CB7" s="156" t="s">
        <v>27</v>
      </c>
      <c r="CC7" s="156" t="s">
        <v>28</v>
      </c>
      <c r="CD7" s="156" t="s">
        <v>29</v>
      </c>
      <c r="CE7" s="156" t="s">
        <v>30</v>
      </c>
      <c r="CF7" s="156" t="s">
        <v>31</v>
      </c>
      <c r="CG7" s="156" t="s">
        <v>32</v>
      </c>
      <c r="CH7" s="156" t="s">
        <v>33</v>
      </c>
      <c r="CI7" s="156" t="s">
        <v>34</v>
      </c>
      <c r="CJ7" s="156" t="s">
        <v>35</v>
      </c>
      <c r="CK7" s="156" t="s">
        <v>36</v>
      </c>
      <c r="CL7" s="156" t="s">
        <v>37</v>
      </c>
      <c r="CM7" s="156" t="s">
        <v>38</v>
      </c>
      <c r="CN7" s="156" t="s">
        <v>39</v>
      </c>
      <c r="CO7" s="156" t="s">
        <v>40</v>
      </c>
      <c r="CP7" s="156" t="s">
        <v>41</v>
      </c>
      <c r="CQ7" s="156" t="s">
        <v>42</v>
      </c>
      <c r="CR7" s="156" t="s">
        <v>43</v>
      </c>
      <c r="CS7" s="156" t="s">
        <v>44</v>
      </c>
      <c r="CT7" s="156" t="s">
        <v>45</v>
      </c>
      <c r="CU7" s="157" t="s">
        <v>46</v>
      </c>
      <c r="CV7" s="157" t="s">
        <v>47</v>
      </c>
      <c r="CW7" s="157" t="s">
        <v>48</v>
      </c>
      <c r="CX7" s="157" t="s">
        <v>279</v>
      </c>
      <c r="CY7" s="157" t="s">
        <v>292</v>
      </c>
    </row>
    <row r="8" spans="1:103" ht="20.100000000000001" customHeight="1">
      <c r="A8" s="57" t="s">
        <v>92</v>
      </c>
      <c r="B8" s="58">
        <v>82274.987896659484</v>
      </c>
      <c r="C8" s="58">
        <v>157874.27177889174</v>
      </c>
      <c r="D8" s="58">
        <v>162573.78791595125</v>
      </c>
      <c r="E8" s="59">
        <v>131941.29821260582</v>
      </c>
      <c r="F8" s="59">
        <v>96747.919143876337</v>
      </c>
      <c r="G8" s="59">
        <v>105658.0728327425</v>
      </c>
      <c r="H8" s="59">
        <v>42337.178438557006</v>
      </c>
      <c r="I8" s="59">
        <v>71690.315087861047</v>
      </c>
      <c r="J8" s="59">
        <v>46051.760122443302</v>
      </c>
      <c r="K8" s="59">
        <v>8735.0244978236988</v>
      </c>
      <c r="L8" s="59">
        <v>4071.1329575489499</v>
      </c>
      <c r="M8" s="59">
        <v>7617.710996053399</v>
      </c>
      <c r="N8" s="59">
        <v>4275.2857554509656</v>
      </c>
      <c r="O8" s="59">
        <v>12579.825834542817</v>
      </c>
      <c r="P8" s="59">
        <v>8816.821327277903</v>
      </c>
      <c r="Q8" s="109">
        <v>27907.924528301886</v>
      </c>
      <c r="R8" s="109">
        <v>26220.991800550666</v>
      </c>
      <c r="S8" s="109">
        <v>17882.179979881872</v>
      </c>
      <c r="T8" s="109">
        <v>6954.6318935071986</v>
      </c>
      <c r="U8" s="109">
        <v>48179.17139029166</v>
      </c>
      <c r="V8" s="59">
        <v>27355.72145641705</v>
      </c>
      <c r="W8" s="59">
        <v>101993.5098650052</v>
      </c>
      <c r="X8" s="59">
        <v>86370.439888343448</v>
      </c>
      <c r="Y8" s="59">
        <v>88253.736504399276</v>
      </c>
      <c r="Z8" s="59">
        <v>60548.661005878508</v>
      </c>
      <c r="AA8" s="109">
        <v>64328.718609143594</v>
      </c>
      <c r="AB8" s="109">
        <v>75300.249465431218</v>
      </c>
      <c r="AC8" s="109">
        <v>155809.15197211609</v>
      </c>
      <c r="AD8" s="109">
        <v>565393.46386665013</v>
      </c>
      <c r="AE8" s="109">
        <v>680461.00289761752</v>
      </c>
      <c r="AF8" s="109">
        <v>358051.05637194682</v>
      </c>
      <c r="AG8" s="109">
        <v>173942</v>
      </c>
      <c r="AH8" s="109">
        <v>652542</v>
      </c>
      <c r="AI8" s="109">
        <v>609657</v>
      </c>
      <c r="AJ8" s="109">
        <v>1546758.8212177067</v>
      </c>
      <c r="AK8" s="109">
        <v>1842375.1611355536</v>
      </c>
      <c r="AL8" s="109">
        <v>103767</v>
      </c>
      <c r="AM8" s="109">
        <v>239719</v>
      </c>
      <c r="AN8" s="109">
        <v>444376</v>
      </c>
      <c r="AO8" s="109">
        <v>482391.6793623587</v>
      </c>
      <c r="AP8" s="109">
        <v>806632.62629012833</v>
      </c>
      <c r="AQ8" s="109">
        <v>1159911.7633708939</v>
      </c>
      <c r="AR8" s="109">
        <v>2160343.6854189518</v>
      </c>
      <c r="AS8" s="109">
        <v>644891</v>
      </c>
      <c r="AT8" s="109">
        <v>724866</v>
      </c>
      <c r="AU8" s="109">
        <v>872177</v>
      </c>
      <c r="AV8" s="109">
        <v>1769633</v>
      </c>
      <c r="AW8" s="109">
        <v>617602</v>
      </c>
      <c r="AX8" s="109">
        <v>535243</v>
      </c>
      <c r="AY8" s="109">
        <v>713485</v>
      </c>
      <c r="AZ8" s="109"/>
      <c r="BA8" s="57" t="s">
        <v>93</v>
      </c>
      <c r="BB8" s="60">
        <v>77323.181198010658</v>
      </c>
      <c r="BC8" s="60">
        <v>47500.338707492207</v>
      </c>
      <c r="BD8" s="60">
        <v>44815.632409451391</v>
      </c>
      <c r="BE8" s="61">
        <v>19005.456255879584</v>
      </c>
      <c r="BF8" s="61">
        <v>21491.645284435821</v>
      </c>
      <c r="BG8" s="61">
        <v>12958.427328391877</v>
      </c>
      <c r="BH8" s="61">
        <v>16152.670127798625</v>
      </c>
      <c r="BI8" s="61">
        <v>13247.071298727531</v>
      </c>
      <c r="BJ8" s="61">
        <v>20117.434256296088</v>
      </c>
      <c r="BK8" s="61">
        <v>15356.984374091844</v>
      </c>
      <c r="BL8" s="61">
        <v>10071.504420383955</v>
      </c>
      <c r="BM8" s="61">
        <v>15416.464842367644</v>
      </c>
      <c r="BN8" s="61">
        <v>16350.654756187367</v>
      </c>
      <c r="BO8" s="61">
        <v>16325.895016932753</v>
      </c>
      <c r="BP8" s="61">
        <v>20356.535193851796</v>
      </c>
      <c r="BQ8" s="61">
        <v>21293.584905660377</v>
      </c>
      <c r="BR8" s="61">
        <v>22053.190523736044</v>
      </c>
      <c r="BS8" s="61">
        <v>23631.064455391916</v>
      </c>
      <c r="BT8" s="61">
        <v>22926.823244671654</v>
      </c>
      <c r="BU8" s="61">
        <v>18875.090178295373</v>
      </c>
      <c r="BV8" s="61">
        <v>32467.704537926464</v>
      </c>
      <c r="BW8" s="61">
        <v>32858.255451713398</v>
      </c>
      <c r="BX8" s="61">
        <v>31218.355953412265</v>
      </c>
      <c r="BY8" s="61">
        <v>16757.982095516196</v>
      </c>
      <c r="BZ8" s="61">
        <v>21319.39908556499</v>
      </c>
      <c r="CA8" s="61">
        <v>28142.908886027046</v>
      </c>
      <c r="CB8" s="61">
        <v>50143.977191732003</v>
      </c>
      <c r="CC8" s="61">
        <v>45608.340966092692</v>
      </c>
      <c r="CD8" s="61">
        <v>21217.403653276055</v>
      </c>
      <c r="CE8" s="61">
        <v>30666.45202833226</v>
      </c>
      <c r="CF8" s="61">
        <v>37627.206811474811</v>
      </c>
      <c r="CG8" s="61">
        <v>52362</v>
      </c>
      <c r="CH8" s="61">
        <v>55466</v>
      </c>
      <c r="CI8" s="61">
        <v>60469</v>
      </c>
      <c r="CJ8" s="61">
        <v>61791.866654033598</v>
      </c>
      <c r="CK8" s="109">
        <v>108463</v>
      </c>
      <c r="CL8" s="109">
        <v>119210</v>
      </c>
      <c r="CM8" s="109">
        <v>157154.5199083093</v>
      </c>
      <c r="CN8" s="109">
        <v>127414</v>
      </c>
      <c r="CO8" s="109">
        <v>172429</v>
      </c>
      <c r="CP8" s="109">
        <v>127452.63925032143</v>
      </c>
      <c r="CQ8" s="109">
        <v>202148.97667415396</v>
      </c>
      <c r="CR8" s="109">
        <v>196682.94633087874</v>
      </c>
      <c r="CS8" s="109">
        <v>122345</v>
      </c>
      <c r="CT8" s="109">
        <v>170015</v>
      </c>
      <c r="CU8" s="109">
        <v>248651</v>
      </c>
      <c r="CV8" s="109">
        <v>256399</v>
      </c>
      <c r="CW8" s="109">
        <v>427116</v>
      </c>
      <c r="CX8" s="109">
        <v>458129</v>
      </c>
      <c r="CY8" s="109">
        <v>320312</v>
      </c>
    </row>
    <row r="9" spans="1:103" ht="20.100000000000001" customHeight="1">
      <c r="A9" s="57" t="s">
        <v>94</v>
      </c>
      <c r="B9" s="58">
        <v>53400.818625940759</v>
      </c>
      <c r="C9" s="58">
        <v>6994.5355191256822</v>
      </c>
      <c r="D9" s="58">
        <v>2539.4489412149455</v>
      </c>
      <c r="E9" s="59">
        <v>36994.167450611472</v>
      </c>
      <c r="F9" s="59">
        <v>16563.92765504725</v>
      </c>
      <c r="G9" s="59">
        <v>8952.9487592652258</v>
      </c>
      <c r="H9" s="59">
        <v>63332.468010432764</v>
      </c>
      <c r="I9" s="59">
        <v>53799.737426782471</v>
      </c>
      <c r="J9" s="59">
        <v>91793.794350911368</v>
      </c>
      <c r="K9" s="59">
        <v>128005.9150494803</v>
      </c>
      <c r="L9" s="59">
        <v>158050.81943992883</v>
      </c>
      <c r="M9" s="59">
        <v>167913.19645743078</v>
      </c>
      <c r="N9" s="59">
        <v>207984.82374411679</v>
      </c>
      <c r="O9" s="59">
        <v>186099.41944847605</v>
      </c>
      <c r="P9" s="59">
        <v>207387.33917525536</v>
      </c>
      <c r="Q9" s="109">
        <v>154524.67924528301</v>
      </c>
      <c r="R9" s="109">
        <v>143952.07406735045</v>
      </c>
      <c r="S9" s="109">
        <v>168216.19251502413</v>
      </c>
      <c r="T9" s="109">
        <v>123962.11503790965</v>
      </c>
      <c r="U9" s="109">
        <v>156508.55405544676</v>
      </c>
      <c r="V9" s="59">
        <v>41376.665732412665</v>
      </c>
      <c r="W9" s="59">
        <v>34494.288681204569</v>
      </c>
      <c r="X9" s="59">
        <v>60641.784579844069</v>
      </c>
      <c r="Y9" s="59">
        <v>43474.276712644561</v>
      </c>
      <c r="Z9" s="59">
        <v>19602.528143850617</v>
      </c>
      <c r="AA9" s="109">
        <v>4845.661622665808</v>
      </c>
      <c r="AB9" s="109">
        <v>6060.0498930862441</v>
      </c>
      <c r="AC9" s="109">
        <v>4388.3610354636121</v>
      </c>
      <c r="AD9" s="109">
        <v>13814.282924751034</v>
      </c>
      <c r="AE9" s="109">
        <v>228407.92015453961</v>
      </c>
      <c r="AF9" s="109">
        <v>473468.42377580487</v>
      </c>
      <c r="AG9" s="109">
        <v>659472</v>
      </c>
      <c r="AH9" s="109">
        <v>496433</v>
      </c>
      <c r="AI9" s="109">
        <v>642610</v>
      </c>
      <c r="AJ9" s="109">
        <v>171804.62088613916</v>
      </c>
      <c r="AK9" s="109">
        <v>0</v>
      </c>
      <c r="AL9" s="109">
        <v>0</v>
      </c>
      <c r="AM9" s="109">
        <v>0</v>
      </c>
      <c r="AN9" s="109">
        <v>0</v>
      </c>
      <c r="AO9" s="109">
        <v>73.947369999999992</v>
      </c>
      <c r="AP9" s="109">
        <v>0</v>
      </c>
      <c r="AQ9" s="109">
        <v>0</v>
      </c>
      <c r="AR9" s="109">
        <v>0</v>
      </c>
      <c r="AS9" s="109">
        <v>0</v>
      </c>
      <c r="AT9" s="109">
        <v>0</v>
      </c>
      <c r="AU9" s="109">
        <v>0</v>
      </c>
      <c r="AV9" s="109">
        <v>0</v>
      </c>
      <c r="AW9" s="109">
        <v>0</v>
      </c>
      <c r="AX9" s="109">
        <v>0</v>
      </c>
      <c r="AY9" s="109">
        <v>0</v>
      </c>
      <c r="AZ9" s="109"/>
      <c r="BA9" s="62" t="s">
        <v>95</v>
      </c>
      <c r="BB9" s="60">
        <v>5479.952466880859</v>
      </c>
      <c r="BC9" s="60">
        <v>5662.7376597570337</v>
      </c>
      <c r="BD9" s="60">
        <v>3641.9753086419751</v>
      </c>
      <c r="BE9" s="61">
        <v>2799.2474129821258</v>
      </c>
      <c r="BF9" s="61">
        <v>2262.6572376243817</v>
      </c>
      <c r="BG9" s="61">
        <v>1907.1865936190782</v>
      </c>
      <c r="BH9" s="61">
        <v>1392.9674102960166</v>
      </c>
      <c r="BI9" s="61">
        <v>1861.4926277519694</v>
      </c>
      <c r="BJ9" s="61">
        <v>2100.1808821483232</v>
      </c>
      <c r="BK9" s="61">
        <v>1941.7036596751109</v>
      </c>
      <c r="BL9" s="61">
        <v>1584.8776400944701</v>
      </c>
      <c r="BM9" s="61">
        <v>3118.819885089255</v>
      </c>
      <c r="BN9" s="61">
        <v>2066.4041238433706</v>
      </c>
      <c r="BO9" s="61">
        <v>1943.9404934687955</v>
      </c>
      <c r="BP9" s="61">
        <v>990.61917517948064</v>
      </c>
      <c r="BQ9" s="61">
        <v>3012.5283018867926</v>
      </c>
      <c r="BR9" s="61">
        <v>2140.3285830988475</v>
      </c>
      <c r="BS9" s="61">
        <v>2062.3662015423897</v>
      </c>
      <c r="BT9" s="61">
        <v>1282.2602553653899</v>
      </c>
      <c r="BU9" s="61">
        <v>3844.9448624136862</v>
      </c>
      <c r="BV9" s="61">
        <v>5526.7918567024226</v>
      </c>
      <c r="BW9" s="61">
        <v>8467.8089304257537</v>
      </c>
      <c r="BX9" s="61">
        <v>8688.9979786312451</v>
      </c>
      <c r="BY9" s="61">
        <v>7561.1864602143924</v>
      </c>
      <c r="BZ9" s="61">
        <v>7772.1212586928959</v>
      </c>
      <c r="CA9" s="61">
        <v>10194.583065035416</v>
      </c>
      <c r="CB9" s="61">
        <v>10344.618674269423</v>
      </c>
      <c r="CC9" s="61">
        <v>10561.551945927222</v>
      </c>
      <c r="CD9" s="61">
        <v>7296.0786750217458</v>
      </c>
      <c r="CE9" s="61">
        <v>15076.26368319382</v>
      </c>
      <c r="CF9" s="61">
        <v>19454.302872741169</v>
      </c>
      <c r="CG9" s="61">
        <v>23560</v>
      </c>
      <c r="CH9" s="61">
        <v>23593</v>
      </c>
      <c r="CI9" s="61">
        <v>24380</v>
      </c>
      <c r="CJ9" s="61">
        <v>23790.480799999998</v>
      </c>
      <c r="CK9" s="109">
        <v>26448.947369999998</v>
      </c>
      <c r="CL9" s="109">
        <v>32273</v>
      </c>
      <c r="CM9" s="109">
        <v>37538.461960000008</v>
      </c>
      <c r="CN9" s="109">
        <v>39733</v>
      </c>
      <c r="CO9" s="109">
        <v>55128</v>
      </c>
      <c r="CP9" s="109">
        <v>35950.671620000001</v>
      </c>
      <c r="CQ9" s="109">
        <v>35265.885929999997</v>
      </c>
      <c r="CR9" s="109">
        <v>42347.309149999994</v>
      </c>
      <c r="CS9" s="109">
        <v>40739</v>
      </c>
      <c r="CT9" s="109">
        <v>37624</v>
      </c>
      <c r="CU9" s="109">
        <v>56836</v>
      </c>
      <c r="CV9" s="109">
        <v>76537</v>
      </c>
      <c r="CW9" s="109">
        <v>90153</v>
      </c>
      <c r="CX9" s="109">
        <v>73023</v>
      </c>
      <c r="CY9" s="109">
        <v>72675</v>
      </c>
    </row>
    <row r="10" spans="1:103" ht="20.100000000000001" customHeight="1">
      <c r="A10" s="57" t="s">
        <v>96</v>
      </c>
      <c r="B10" s="109">
        <v>0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3561.2973457560915</v>
      </c>
      <c r="O10" s="109">
        <v>6463.7760038703436</v>
      </c>
      <c r="P10" s="109">
        <v>3401.3881179037917</v>
      </c>
      <c r="Q10" s="109">
        <v>5423.3962264150941</v>
      </c>
      <c r="R10" s="109">
        <v>0</v>
      </c>
      <c r="S10" s="109">
        <v>0</v>
      </c>
      <c r="T10" s="109">
        <v>0</v>
      </c>
      <c r="U10" s="109">
        <v>2995.9806245491081</v>
      </c>
      <c r="V10" s="109">
        <v>3001.5032996152572</v>
      </c>
      <c r="W10" s="109">
        <v>15598.390446521289</v>
      </c>
      <c r="X10" s="109">
        <v>3032.5344113966698</v>
      </c>
      <c r="Y10" s="109">
        <v>10032.466285011718</v>
      </c>
      <c r="Z10" s="109">
        <v>46799.285357513349</v>
      </c>
      <c r="AA10" s="109">
        <v>55551.955891822283</v>
      </c>
      <c r="AB10" s="109">
        <v>54236.279401282962</v>
      </c>
      <c r="AC10" s="109">
        <v>9625.8159515279112</v>
      </c>
      <c r="AD10" s="109">
        <v>19663.429961124031</v>
      </c>
      <c r="AE10" s="109">
        <v>3342.5225370251128</v>
      </c>
      <c r="AF10" s="109">
        <v>0</v>
      </c>
      <c r="AG10" s="109" t="s">
        <v>97</v>
      </c>
      <c r="AH10" s="109">
        <v>0</v>
      </c>
      <c r="AI10" s="109">
        <v>0</v>
      </c>
      <c r="AJ10" s="109">
        <v>0</v>
      </c>
      <c r="AK10" s="109" t="s">
        <v>97</v>
      </c>
      <c r="AL10" s="109">
        <v>0</v>
      </c>
      <c r="AM10" s="109">
        <v>0</v>
      </c>
      <c r="AN10" s="109">
        <v>0</v>
      </c>
      <c r="AO10" s="109">
        <v>0</v>
      </c>
      <c r="AP10" s="109">
        <v>0</v>
      </c>
      <c r="AQ10" s="109">
        <v>0</v>
      </c>
      <c r="AR10" s="109">
        <v>0</v>
      </c>
      <c r="AS10" s="109">
        <v>0</v>
      </c>
      <c r="AT10" s="109">
        <v>0</v>
      </c>
      <c r="AU10" s="109">
        <v>0</v>
      </c>
      <c r="AV10" s="109">
        <v>0</v>
      </c>
      <c r="AW10" s="109">
        <v>0</v>
      </c>
      <c r="AX10" s="109">
        <v>0</v>
      </c>
      <c r="AY10" s="109">
        <v>0</v>
      </c>
      <c r="AZ10" s="109"/>
      <c r="BA10" s="57" t="s">
        <v>98</v>
      </c>
      <c r="BB10" s="111">
        <v>14188.63606355354</v>
      </c>
      <c r="BC10" s="111">
        <v>13213.205076096283</v>
      </c>
      <c r="BD10" s="111">
        <v>12545.172103670999</v>
      </c>
      <c r="BE10" s="111">
        <v>3205.2681091251175</v>
      </c>
      <c r="BF10" s="111">
        <v>6388.6976656862125</v>
      </c>
      <c r="BG10" s="111">
        <v>2778.9236223009989</v>
      </c>
      <c r="BH10" s="111">
        <v>3741.0342740946044</v>
      </c>
      <c r="BI10" s="111">
        <v>3302.86810745304</v>
      </c>
      <c r="BJ10" s="111">
        <v>3809.6563239181855</v>
      </c>
      <c r="BK10" s="111">
        <v>3421.5148641737724</v>
      </c>
      <c r="BL10" s="111">
        <v>3079.8503168200041</v>
      </c>
      <c r="BM10" s="111">
        <v>4145.9406140759511</v>
      </c>
      <c r="BN10" s="111">
        <v>6902.6350334582012</v>
      </c>
      <c r="BO10" s="111">
        <v>7463.4131591678761</v>
      </c>
      <c r="BP10" s="111">
        <v>5415.8474739365565</v>
      </c>
      <c r="BQ10" s="111">
        <v>6060.6792452830186</v>
      </c>
      <c r="BR10" s="111">
        <v>7387.9864163553293</v>
      </c>
      <c r="BS10" s="111">
        <v>8383.7184111253227</v>
      </c>
      <c r="BT10" s="111">
        <v>12461.957902739374</v>
      </c>
      <c r="BU10" s="111">
        <v>9535.7106049675349</v>
      </c>
      <c r="BV10" s="111">
        <v>10997.27367696894</v>
      </c>
      <c r="BW10" s="111">
        <v>22091.640706126687</v>
      </c>
      <c r="BX10" s="111">
        <v>13682.982000192513</v>
      </c>
      <c r="BY10" s="111">
        <v>16029.699926998886</v>
      </c>
      <c r="BZ10" s="111">
        <v>10890.805701771238</v>
      </c>
      <c r="CA10" s="111">
        <v>9681.6645202833224</v>
      </c>
      <c r="CB10" s="111">
        <v>13027.797576621526</v>
      </c>
      <c r="CC10" s="111">
        <v>16892.745312639199</v>
      </c>
      <c r="CD10" s="111">
        <v>21408.76573234161</v>
      </c>
      <c r="CE10" s="111">
        <v>19400.152929813266</v>
      </c>
      <c r="CF10" s="111">
        <v>23214.061881321257</v>
      </c>
      <c r="CG10" s="111">
        <v>32914</v>
      </c>
      <c r="CH10" s="111">
        <v>38497</v>
      </c>
      <c r="CI10" s="111">
        <v>57015</v>
      </c>
      <c r="CJ10" s="111">
        <v>62411.349514449001</v>
      </c>
      <c r="CK10" s="109">
        <v>30418.077710522834</v>
      </c>
      <c r="CL10" s="109">
        <v>69811</v>
      </c>
      <c r="CM10" s="109">
        <v>89917.82719302125</v>
      </c>
      <c r="CN10" s="109">
        <v>100699</v>
      </c>
      <c r="CO10" s="109">
        <v>122489</v>
      </c>
      <c r="CP10" s="109">
        <v>81209.40834566472</v>
      </c>
      <c r="CQ10" s="109">
        <v>124498.48882512367</v>
      </c>
      <c r="CR10" s="109">
        <v>115471.43460287128</v>
      </c>
      <c r="CS10" s="109">
        <v>134083</v>
      </c>
      <c r="CT10" s="109">
        <v>77920</v>
      </c>
      <c r="CU10" s="109">
        <v>57910</v>
      </c>
      <c r="CV10" s="109">
        <v>64357</v>
      </c>
      <c r="CW10" s="109">
        <f>18174+54862</f>
        <v>73036</v>
      </c>
      <c r="CX10" s="109">
        <v>84625</v>
      </c>
      <c r="CY10" s="109">
        <v>162790</v>
      </c>
    </row>
    <row r="11" spans="1:103" ht="19.5" customHeight="1">
      <c r="A11" s="57" t="s">
        <v>99</v>
      </c>
      <c r="B11" s="111">
        <v>6622.9479336296818</v>
      </c>
      <c r="C11" s="111">
        <v>9421.9392132953981</v>
      </c>
      <c r="D11" s="111">
        <v>8009.9746545662656</v>
      </c>
      <c r="E11" s="111">
        <v>690.49858889934148</v>
      </c>
      <c r="F11" s="111">
        <v>551.97446648726452</v>
      </c>
      <c r="G11" s="111">
        <v>1191.4276506606509</v>
      </c>
      <c r="H11" s="111">
        <v>62029.356697855204</v>
      </c>
      <c r="I11" s="111">
        <v>61729.70107049081</v>
      </c>
      <c r="J11" s="111">
        <v>39.515792402949771</v>
      </c>
      <c r="K11" s="111">
        <v>26.89882989979461</v>
      </c>
      <c r="L11" s="111">
        <v>1890.787289513235</v>
      </c>
      <c r="M11" s="111">
        <v>9426.5031314204589</v>
      </c>
      <c r="N11" s="111">
        <v>13106.97019178433</v>
      </c>
      <c r="O11" s="111">
        <v>23939.586357039188</v>
      </c>
      <c r="P11" s="111">
        <v>16311.741456201611</v>
      </c>
      <c r="Q11" s="111">
        <v>18730.867924528302</v>
      </c>
      <c r="R11" s="111">
        <v>19277.177695077306</v>
      </c>
      <c r="S11" s="111">
        <v>22716.205411260995</v>
      </c>
      <c r="T11" s="111">
        <v>9161.7890395396498</v>
      </c>
      <c r="U11" s="111">
        <v>9000.3091827269909</v>
      </c>
      <c r="V11" s="111">
        <v>4701.5058475807064</v>
      </c>
      <c r="W11" s="111">
        <v>9351.7653167185872</v>
      </c>
      <c r="X11" s="111">
        <v>20706.275868707289</v>
      </c>
      <c r="Y11" s="111">
        <v>71963.34575632996</v>
      </c>
      <c r="Z11" s="109">
        <v>41078.49540861413</v>
      </c>
      <c r="AA11" s="109">
        <v>42344.856728911785</v>
      </c>
      <c r="AB11" s="109">
        <v>35264.967925873127</v>
      </c>
      <c r="AC11" s="109">
        <v>74348.215801201586</v>
      </c>
      <c r="AD11" s="109">
        <v>4006.1775513464577</v>
      </c>
      <c r="AE11" s="109">
        <v>66312.781712813914</v>
      </c>
      <c r="AF11" s="109">
        <v>53603.99911059688</v>
      </c>
      <c r="AG11" s="109">
        <v>163970</v>
      </c>
      <c r="AH11" s="109">
        <v>178392</v>
      </c>
      <c r="AI11" s="109">
        <v>169717</v>
      </c>
      <c r="AJ11" s="109">
        <v>199631.67411561983</v>
      </c>
      <c r="AK11" s="109">
        <v>31873</v>
      </c>
      <c r="AL11" s="109">
        <v>438965</v>
      </c>
      <c r="AM11" s="109">
        <v>281768.01931174833</v>
      </c>
      <c r="AN11" s="109">
        <v>322264</v>
      </c>
      <c r="AO11" s="109">
        <v>360129</v>
      </c>
      <c r="AP11" s="109">
        <v>286563.64835049998</v>
      </c>
      <c r="AQ11" s="109">
        <v>376672.01120999991</v>
      </c>
      <c r="AR11" s="109">
        <v>384164.09153999999</v>
      </c>
      <c r="AS11" s="109">
        <v>150472.36263333893</v>
      </c>
      <c r="AT11" s="109">
        <v>306922</v>
      </c>
      <c r="AU11" s="109">
        <v>251578</v>
      </c>
      <c r="AV11" s="109">
        <v>320047</v>
      </c>
      <c r="AW11" s="109">
        <v>307157</v>
      </c>
      <c r="AX11" s="109">
        <v>804967</v>
      </c>
      <c r="AY11" s="109">
        <v>805673</v>
      </c>
      <c r="AZ11" s="109"/>
      <c r="BA11" s="62" t="s">
        <v>100</v>
      </c>
      <c r="BB11" s="63">
        <v>0</v>
      </c>
      <c r="BC11" s="63">
        <v>0</v>
      </c>
      <c r="BD11" s="63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0</v>
      </c>
      <c r="BN11" s="64">
        <v>39655.172413793101</v>
      </c>
      <c r="BO11" s="64">
        <v>37593.130140299952</v>
      </c>
      <c r="BP11" s="64">
        <v>22540.956842404885</v>
      </c>
      <c r="BQ11" s="64">
        <v>22644.830188679247</v>
      </c>
      <c r="BR11" s="64">
        <v>22824.422861638075</v>
      </c>
      <c r="BS11" s="64">
        <v>51369.83828118955</v>
      </c>
      <c r="BT11" s="64">
        <v>0</v>
      </c>
      <c r="BU11" s="64">
        <v>57311.398536535089</v>
      </c>
      <c r="BV11" s="64">
        <v>122945.19326317935</v>
      </c>
      <c r="BW11" s="61">
        <v>147192.36760124611</v>
      </c>
      <c r="BX11" s="61">
        <v>204088.21830782559</v>
      </c>
      <c r="BY11" s="61">
        <v>235199.21619856302</v>
      </c>
      <c r="BZ11" s="61">
        <v>349830.56057171401</v>
      </c>
      <c r="CA11" s="61">
        <v>276426.87540244689</v>
      </c>
      <c r="CB11" s="61">
        <v>241505.1674982181</v>
      </c>
      <c r="CC11" s="61">
        <v>292638.81523791951</v>
      </c>
      <c r="CD11" s="61">
        <v>334177.83537180693</v>
      </c>
      <c r="CE11" s="61">
        <v>94008.370895041851</v>
      </c>
      <c r="CF11" s="61">
        <v>36743.580555819055</v>
      </c>
      <c r="CG11" s="61">
        <v>99.258700841814303</v>
      </c>
      <c r="CH11" s="61">
        <v>9905.0186300000005</v>
      </c>
      <c r="CI11" s="61">
        <v>4794</v>
      </c>
      <c r="CJ11" s="61">
        <v>83455.060300000012</v>
      </c>
      <c r="CK11" s="109">
        <v>75370.032520000008</v>
      </c>
      <c r="CL11" s="109">
        <v>325631</v>
      </c>
      <c r="CM11" s="109">
        <v>457816.60635000002</v>
      </c>
      <c r="CN11" s="109">
        <v>395125</v>
      </c>
      <c r="CO11" s="109">
        <v>250477</v>
      </c>
      <c r="CP11" s="109">
        <v>266343.47001999995</v>
      </c>
      <c r="CQ11" s="109">
        <v>217726.21307</v>
      </c>
      <c r="CR11" s="109">
        <v>39679.296040000001</v>
      </c>
      <c r="CS11" s="109">
        <v>18758</v>
      </c>
      <c r="CT11" s="109">
        <v>59810</v>
      </c>
      <c r="CU11" s="109">
        <v>614744</v>
      </c>
      <c r="CV11" s="109">
        <v>648013</v>
      </c>
      <c r="CW11" s="109">
        <v>227830</v>
      </c>
      <c r="CX11" s="109">
        <v>271262</v>
      </c>
      <c r="CY11" s="109">
        <v>811376</v>
      </c>
    </row>
    <row r="12" spans="1:103" ht="21.75" customHeight="1">
      <c r="A12" s="57" t="s">
        <v>278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>
        <v>151311.4584394719</v>
      </c>
      <c r="AN12" s="109">
        <v>132292</v>
      </c>
      <c r="AO12" s="109">
        <v>134602.542788527</v>
      </c>
      <c r="AP12" s="109">
        <v>157518.65827694943</v>
      </c>
      <c r="AQ12" s="109">
        <v>191986.16027745549</v>
      </c>
      <c r="AR12" s="109">
        <v>188777.8793650133</v>
      </c>
      <c r="AS12" s="109">
        <v>194555.11246340792</v>
      </c>
      <c r="AT12" s="109">
        <v>204288</v>
      </c>
      <c r="AU12" s="109">
        <v>282344</v>
      </c>
      <c r="AV12" s="109">
        <v>243023</v>
      </c>
      <c r="AW12" s="109">
        <v>565197</v>
      </c>
      <c r="AX12" s="109">
        <v>443718</v>
      </c>
      <c r="AY12" s="109">
        <v>310976</v>
      </c>
      <c r="BA12" s="62" t="s">
        <v>101</v>
      </c>
      <c r="BB12" s="60">
        <v>0</v>
      </c>
      <c r="BC12" s="60">
        <v>0</v>
      </c>
      <c r="BD12" s="60">
        <v>0</v>
      </c>
      <c r="BE12" s="61">
        <v>0</v>
      </c>
      <c r="BF12" s="61">
        <v>797.92227298329055</v>
      </c>
      <c r="BG12" s="61">
        <v>556.55816951337408</v>
      </c>
      <c r="BH12" s="61">
        <v>1130.9559367957256</v>
      </c>
      <c r="BI12" s="61">
        <v>167.64290042415675</v>
      </c>
      <c r="BJ12" s="61">
        <v>446.08320578822872</v>
      </c>
      <c r="BK12" s="61">
        <v>219.42482417377232</v>
      </c>
      <c r="BL12" s="61">
        <v>523.38036070300279</v>
      </c>
      <c r="BM12" s="61">
        <v>211.38171260023964</v>
      </c>
      <c r="BN12" s="61">
        <v>13540.165850222522</v>
      </c>
      <c r="BO12" s="61">
        <v>12481.253023705855</v>
      </c>
      <c r="BP12" s="61">
        <v>6796.930355166196</v>
      </c>
      <c r="BQ12" s="61">
        <v>6527.0943396226412</v>
      </c>
      <c r="BR12" s="61">
        <v>243.56297842727906</v>
      </c>
      <c r="BS12" s="61">
        <v>82.020066544582292</v>
      </c>
      <c r="BT12" s="61">
        <v>187.69603121681359</v>
      </c>
      <c r="BU12" s="61">
        <v>78.841595382871276</v>
      </c>
      <c r="BV12" s="61">
        <v>27355.211863327131</v>
      </c>
      <c r="BW12" s="61">
        <v>10482.087227414331</v>
      </c>
      <c r="BX12" s="61">
        <v>9807.2480508229874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1312.9601399999999</v>
      </c>
      <c r="CK12" s="109">
        <v>7765</v>
      </c>
      <c r="CL12" s="109">
        <v>1514</v>
      </c>
      <c r="CM12" s="109">
        <v>8062.8754599999993</v>
      </c>
      <c r="CN12" s="109">
        <v>1606</v>
      </c>
      <c r="CO12" s="109">
        <v>8144</v>
      </c>
      <c r="CP12" s="109">
        <v>1503.1077899999991</v>
      </c>
      <c r="CQ12" s="109">
        <v>18223.711210000001</v>
      </c>
      <c r="CR12" s="109">
        <v>8018.8347400000002</v>
      </c>
      <c r="CS12" s="109">
        <v>21489</v>
      </c>
      <c r="CT12" s="109">
        <v>9739</v>
      </c>
      <c r="CU12" s="109">
        <v>22220</v>
      </c>
      <c r="CV12" s="109">
        <v>18614</v>
      </c>
      <c r="CW12" s="109">
        <v>40063</v>
      </c>
      <c r="CX12" s="109">
        <v>16105</v>
      </c>
      <c r="CY12" s="109">
        <v>37607</v>
      </c>
    </row>
    <row r="13" spans="1:103" ht="22.95" customHeight="1">
      <c r="A13" s="57" t="s">
        <v>103</v>
      </c>
      <c r="B13" s="60">
        <v>18022.534219444566</v>
      </c>
      <c r="C13" s="60">
        <v>24279.004651582891</v>
      </c>
      <c r="D13" s="60">
        <v>19225.329081841221</v>
      </c>
      <c r="E13" s="61">
        <v>11606.02069614299</v>
      </c>
      <c r="F13" s="61">
        <v>12273.922022654733</v>
      </c>
      <c r="G13" s="61">
        <v>11708.024492426683</v>
      </c>
      <c r="H13" s="61">
        <v>6568.5251295167018</v>
      </c>
      <c r="I13" s="61">
        <v>6766.5623106443145</v>
      </c>
      <c r="J13" s="61">
        <v>8171.1423403367189</v>
      </c>
      <c r="K13" s="61">
        <v>8687.5047153786763</v>
      </c>
      <c r="L13" s="61">
        <v>7475.7641345633147</v>
      </c>
      <c r="M13" s="61">
        <v>21301.769135396306</v>
      </c>
      <c r="N13" s="61">
        <v>21070.98261454231</v>
      </c>
      <c r="O13" s="61">
        <v>16617.985002418965</v>
      </c>
      <c r="P13" s="61">
        <v>16898.070181169547</v>
      </c>
      <c r="Q13" s="111">
        <v>17959.849056603773</v>
      </c>
      <c r="R13" s="111">
        <v>16556.53384163868</v>
      </c>
      <c r="S13" s="111">
        <v>16269.634520646876</v>
      </c>
      <c r="T13" s="111">
        <v>18879.010150403792</v>
      </c>
      <c r="U13" s="111">
        <v>17265.536432031331</v>
      </c>
      <c r="V13" s="61">
        <v>31258.949728641677</v>
      </c>
      <c r="W13" s="61">
        <v>23562.824506749741</v>
      </c>
      <c r="X13" s="61">
        <v>18020.983732794302</v>
      </c>
      <c r="Y13" s="61">
        <v>22433.050293925538</v>
      </c>
      <c r="Z13" s="59">
        <v>26133.630460675453</v>
      </c>
      <c r="AA13" s="109">
        <v>28317.570830650355</v>
      </c>
      <c r="AB13" s="109">
        <v>25345.687811831787</v>
      </c>
      <c r="AC13" s="109">
        <v>23935.503202948981</v>
      </c>
      <c r="AD13" s="109">
        <v>18664.725826780039</v>
      </c>
      <c r="AE13" s="109">
        <v>17055.094977462977</v>
      </c>
      <c r="AF13" s="109">
        <v>9.2554239457687135</v>
      </c>
      <c r="AG13" s="109">
        <v>6274</v>
      </c>
      <c r="AH13" s="109">
        <v>11836</v>
      </c>
      <c r="AI13" s="109">
        <v>8468</v>
      </c>
      <c r="AJ13" s="109">
        <v>8694.0967173624813</v>
      </c>
      <c r="AK13" s="109">
        <v>14568.043181443356</v>
      </c>
      <c r="AL13" s="109">
        <v>18195</v>
      </c>
      <c r="AM13" s="109">
        <v>41338</v>
      </c>
      <c r="AN13" s="109">
        <v>52413</v>
      </c>
      <c r="AO13" s="109">
        <v>71810.911771860221</v>
      </c>
      <c r="AP13" s="109">
        <v>72159.789203797278</v>
      </c>
      <c r="AQ13" s="109">
        <v>110121.07595817516</v>
      </c>
      <c r="AR13" s="109">
        <v>151705.68671566507</v>
      </c>
      <c r="AS13" s="109">
        <v>194348</v>
      </c>
      <c r="AT13" s="109">
        <v>146781</v>
      </c>
      <c r="AU13" s="109">
        <v>128901</v>
      </c>
      <c r="AV13" s="109">
        <v>152519</v>
      </c>
      <c r="AW13" s="109">
        <v>172290</v>
      </c>
      <c r="AX13" s="109">
        <v>207433</v>
      </c>
      <c r="AY13" s="109">
        <v>226287</v>
      </c>
      <c r="AZ13" s="109"/>
      <c r="BA13" s="57" t="s">
        <v>102</v>
      </c>
      <c r="BB13" s="60">
        <v>0</v>
      </c>
      <c r="BC13" s="60">
        <v>0</v>
      </c>
      <c r="BD13" s="60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319.00240161948284</v>
      </c>
      <c r="BM13" s="61">
        <v>49.807241834884934</v>
      </c>
      <c r="BN13" s="61">
        <v>0</v>
      </c>
      <c r="BO13" s="61">
        <v>623.4881470730528</v>
      </c>
      <c r="BP13" s="61">
        <v>3730.151497517315</v>
      </c>
      <c r="BQ13" s="61">
        <v>0</v>
      </c>
      <c r="BR13" s="61">
        <v>0</v>
      </c>
      <c r="BS13" s="61">
        <v>2730.6491965644427</v>
      </c>
      <c r="BT13" s="61">
        <v>3320.4909733027093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128</v>
      </c>
      <c r="CI13" s="61">
        <v>0</v>
      </c>
      <c r="CJ13" s="61"/>
      <c r="CK13" s="109">
        <v>0</v>
      </c>
      <c r="CL13" s="109">
        <v>0</v>
      </c>
      <c r="CM13" s="109">
        <v>0</v>
      </c>
      <c r="CN13" s="109">
        <v>0</v>
      </c>
      <c r="CO13" s="109">
        <v>0</v>
      </c>
      <c r="CP13" s="109">
        <v>1163.6781199999998</v>
      </c>
      <c r="CQ13" s="109">
        <v>0</v>
      </c>
      <c r="CR13" s="109">
        <v>-8531.8966999999993</v>
      </c>
      <c r="CS13" s="109">
        <v>0</v>
      </c>
      <c r="CT13" s="109">
        <v>0</v>
      </c>
      <c r="CU13" s="109">
        <v>0</v>
      </c>
      <c r="CV13" s="109">
        <v>0</v>
      </c>
      <c r="CW13" s="109">
        <v>184</v>
      </c>
      <c r="CX13" s="109">
        <v>43413</v>
      </c>
      <c r="CY13" s="109">
        <v>7187</v>
      </c>
    </row>
    <row r="14" spans="1:103" ht="20.100000000000001" customHeight="1">
      <c r="A14" s="57" t="s">
        <v>105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1">
        <v>0</v>
      </c>
      <c r="P14" s="6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61">
        <v>0</v>
      </c>
      <c r="W14" s="61">
        <v>289.20041536863965</v>
      </c>
      <c r="X14" s="61">
        <v>1317.7399172201367</v>
      </c>
      <c r="Y14" s="61">
        <v>1796.9800591693242</v>
      </c>
      <c r="Z14" s="59">
        <v>67416.528989126673</v>
      </c>
      <c r="AA14" s="109">
        <v>2522.9394719896973</v>
      </c>
      <c r="AB14" s="109">
        <v>10364.041339985744</v>
      </c>
      <c r="AC14" s="109">
        <v>2873.6330261840585</v>
      </c>
      <c r="AD14" s="109">
        <v>1951.6091811194149</v>
      </c>
      <c r="AE14" s="109">
        <v>3990.4620090148101</v>
      </c>
      <c r="AF14" s="109">
        <v>14141.565014251029</v>
      </c>
      <c r="AG14" s="109">
        <v>15382</v>
      </c>
      <c r="AH14" s="109">
        <v>0</v>
      </c>
      <c r="AI14" s="109">
        <v>0</v>
      </c>
      <c r="AJ14" s="109">
        <v>0</v>
      </c>
      <c r="AK14" s="109">
        <v>0</v>
      </c>
      <c r="AL14" s="109">
        <v>27244</v>
      </c>
      <c r="AM14" s="109">
        <v>122.51600000000001</v>
      </c>
      <c r="AN14" s="109">
        <v>5557</v>
      </c>
      <c r="AO14" s="109">
        <v>0</v>
      </c>
      <c r="AP14" s="109">
        <v>0</v>
      </c>
      <c r="AQ14" s="109">
        <v>4213.7552300000007</v>
      </c>
      <c r="AR14" s="109">
        <v>0</v>
      </c>
      <c r="AS14" s="109">
        <v>0</v>
      </c>
      <c r="AT14" s="109">
        <v>1444</v>
      </c>
      <c r="AU14" s="109">
        <v>61919</v>
      </c>
      <c r="AV14" s="109">
        <v>11692</v>
      </c>
      <c r="AW14" s="109">
        <v>0</v>
      </c>
      <c r="AX14" s="109">
        <v>0</v>
      </c>
      <c r="AY14" s="109">
        <v>0</v>
      </c>
      <c r="AZ14" s="109"/>
      <c r="BA14" s="57" t="s">
        <v>104</v>
      </c>
      <c r="BB14" s="111">
        <v>277.27652832181684</v>
      </c>
      <c r="BC14" s="111">
        <v>20283.159463487333</v>
      </c>
      <c r="BD14" s="111">
        <v>10129.17995257951</v>
      </c>
      <c r="BE14" s="111">
        <v>23516.462841015989</v>
      </c>
      <c r="BF14" s="111">
        <v>13699.543150384879</v>
      </c>
      <c r="BG14" s="111">
        <v>21700.290041894939</v>
      </c>
      <c r="BH14" s="111">
        <v>24371.258811449508</v>
      </c>
      <c r="BI14" s="111">
        <v>1933.4477883255909</v>
      </c>
      <c r="BJ14" s="111">
        <v>2035.0633087519132</v>
      </c>
      <c r="BK14" s="111">
        <v>2063.2505338202518</v>
      </c>
      <c r="BL14" s="111">
        <v>2055.5693539715926</v>
      </c>
      <c r="BM14" s="111">
        <v>1281.1303743241162</v>
      </c>
      <c r="BN14" s="111">
        <v>1300.5474978388243</v>
      </c>
      <c r="BO14" s="111">
        <v>2703.495403967102</v>
      </c>
      <c r="BP14" s="111">
        <v>2733.3575945349312</v>
      </c>
      <c r="BQ14" s="111">
        <v>2152.1509433962265</v>
      </c>
      <c r="BR14" s="111">
        <v>1999.0317993404133</v>
      </c>
      <c r="BS14" s="111">
        <v>1662.32493358438</v>
      </c>
      <c r="BT14" s="111">
        <v>1180.756217431034</v>
      </c>
      <c r="BU14" s="111">
        <v>1749.9742347727506</v>
      </c>
      <c r="BV14" s="111">
        <v>301.42431268631998</v>
      </c>
      <c r="BW14" s="111">
        <v>808.93042575285574</v>
      </c>
      <c r="BX14" s="111">
        <v>31.523727018962365</v>
      </c>
      <c r="BY14" s="111">
        <v>7.6843278134245203</v>
      </c>
      <c r="BZ14" s="111">
        <v>0</v>
      </c>
      <c r="CA14" s="111">
        <v>0</v>
      </c>
      <c r="CB14" s="111">
        <v>0</v>
      </c>
      <c r="CC14" s="111">
        <v>0</v>
      </c>
      <c r="CD14" s="111">
        <v>0</v>
      </c>
      <c r="CE14" s="111">
        <v>0</v>
      </c>
      <c r="CF14" s="111">
        <v>0</v>
      </c>
      <c r="CG14" s="111">
        <v>0</v>
      </c>
      <c r="CH14" s="111">
        <v>0</v>
      </c>
      <c r="CI14" s="111">
        <v>0</v>
      </c>
      <c r="CJ14" s="111">
        <v>0</v>
      </c>
      <c r="CK14" s="109">
        <v>0</v>
      </c>
      <c r="CL14" s="109">
        <v>0</v>
      </c>
      <c r="CM14" s="109" t="s">
        <v>97</v>
      </c>
      <c r="CN14" s="109">
        <v>8343</v>
      </c>
      <c r="CO14" s="109" t="s">
        <v>97</v>
      </c>
      <c r="CP14" s="109" t="s">
        <v>97</v>
      </c>
      <c r="CQ14" s="109">
        <v>0</v>
      </c>
      <c r="CR14" s="109">
        <v>0</v>
      </c>
      <c r="CS14" s="109">
        <v>30977</v>
      </c>
      <c r="CT14" s="109">
        <v>46749</v>
      </c>
      <c r="CU14" s="109">
        <v>29641</v>
      </c>
      <c r="CV14" s="109">
        <v>46981</v>
      </c>
      <c r="CW14" s="109">
        <v>43629</v>
      </c>
      <c r="CX14" s="109">
        <v>28979</v>
      </c>
      <c r="CY14" s="109">
        <v>73909</v>
      </c>
    </row>
    <row r="15" spans="1:103" ht="20.100000000000001" customHeight="1">
      <c r="A15" s="57" t="s">
        <v>107</v>
      </c>
      <c r="B15" s="63">
        <v>23508.208265481273</v>
      </c>
      <c r="C15" s="63">
        <v>21205.347062277015</v>
      </c>
      <c r="D15" s="63">
        <v>19726.105796745971</v>
      </c>
      <c r="E15" s="64">
        <v>9014.8635936030096</v>
      </c>
      <c r="F15" s="64">
        <v>14230.239689592589</v>
      </c>
      <c r="G15" s="64">
        <v>8891.7176925555905</v>
      </c>
      <c r="H15" s="64">
        <v>7969.1281214707124</v>
      </c>
      <c r="I15" s="64">
        <v>7142.7489396081601</v>
      </c>
      <c r="J15" s="64">
        <v>8545.4292472519828</v>
      </c>
      <c r="K15" s="64">
        <v>8384.7615298437795</v>
      </c>
      <c r="L15" s="64">
        <v>7329.2263810078821</v>
      </c>
      <c r="M15" s="64">
        <v>7189.7439856207948</v>
      </c>
      <c r="N15" s="64">
        <v>7574.680626260686</v>
      </c>
      <c r="O15" s="61">
        <v>7381.7731011127244</v>
      </c>
      <c r="P15" s="61">
        <v>9381.6145577026455</v>
      </c>
      <c r="Q15" s="111">
        <v>8688.6037735849059</v>
      </c>
      <c r="R15" s="111">
        <v>8720.4623158149534</v>
      </c>
      <c r="S15" s="111">
        <v>7380.5163653245982</v>
      </c>
      <c r="T15" s="111">
        <v>8565.8541404262669</v>
      </c>
      <c r="U15" s="111">
        <v>9777.6460888385027</v>
      </c>
      <c r="V15" s="61">
        <v>9723.2909521746878</v>
      </c>
      <c r="W15" s="61">
        <v>11190.031152647976</v>
      </c>
      <c r="X15" s="61">
        <v>10471.893348734238</v>
      </c>
      <c r="Y15" s="61">
        <v>10022.476658854266</v>
      </c>
      <c r="Z15" s="59">
        <v>10519.844776578169</v>
      </c>
      <c r="AA15" s="109">
        <v>10933.073084352865</v>
      </c>
      <c r="AB15" s="109">
        <v>10247.505345687812</v>
      </c>
      <c r="AC15" s="109">
        <v>11213.904581383778</v>
      </c>
      <c r="AD15" s="109">
        <v>11120.835034526832</v>
      </c>
      <c r="AE15" s="109">
        <v>13312.942691564715</v>
      </c>
      <c r="AF15" s="109">
        <v>13408.970643783625</v>
      </c>
      <c r="AG15" s="109">
        <v>15055</v>
      </c>
      <c r="AH15" s="109">
        <v>19299.46600260754</v>
      </c>
      <c r="AI15" s="109">
        <v>24672</v>
      </c>
      <c r="AJ15" s="109">
        <v>56965.464539999994</v>
      </c>
      <c r="AK15" s="109">
        <v>35722</v>
      </c>
      <c r="AL15" s="109">
        <v>42381</v>
      </c>
      <c r="AM15" s="109">
        <v>28603.8250789907</v>
      </c>
      <c r="AN15" s="109">
        <v>35937</v>
      </c>
      <c r="AO15" s="109">
        <v>20702.528679999999</v>
      </c>
      <c r="AP15" s="109">
        <v>23747.23517</v>
      </c>
      <c r="AQ15" s="109">
        <v>49127.156320000009</v>
      </c>
      <c r="AR15" s="109">
        <v>71969.114679999999</v>
      </c>
      <c r="AS15" s="109">
        <v>94365</v>
      </c>
      <c r="AT15" s="109">
        <v>51476</v>
      </c>
      <c r="AU15" s="109">
        <v>54982</v>
      </c>
      <c r="AV15" s="109">
        <v>58458</v>
      </c>
      <c r="AW15" s="109">
        <v>71985</v>
      </c>
      <c r="AX15" s="109">
        <v>39486</v>
      </c>
      <c r="AY15" s="109">
        <v>18821</v>
      </c>
      <c r="AZ15" s="109"/>
      <c r="BA15" s="62" t="s">
        <v>106</v>
      </c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>
        <v>37500</v>
      </c>
      <c r="CI15" s="61">
        <v>0</v>
      </c>
      <c r="CJ15" s="61">
        <v>0</v>
      </c>
      <c r="CK15" s="109">
        <v>0</v>
      </c>
      <c r="CL15" s="109">
        <v>0</v>
      </c>
      <c r="CM15" s="109">
        <v>55001.037516600263</v>
      </c>
      <c r="CN15" s="109">
        <v>59953</v>
      </c>
      <c r="CO15" s="109">
        <v>59584</v>
      </c>
      <c r="CP15" s="109">
        <v>165373.45983200154</v>
      </c>
      <c r="CQ15" s="109">
        <v>168291.73822</v>
      </c>
      <c r="CR15" s="109">
        <v>177810.84945000001</v>
      </c>
      <c r="CS15" s="109">
        <v>174020</v>
      </c>
      <c r="CT15" s="109">
        <v>0</v>
      </c>
      <c r="CU15" s="109">
        <v>0</v>
      </c>
      <c r="CV15" s="109">
        <v>0</v>
      </c>
      <c r="CW15" s="109">
        <v>0</v>
      </c>
      <c r="CX15" s="109">
        <v>0</v>
      </c>
      <c r="CY15" s="109">
        <v>0</v>
      </c>
    </row>
    <row r="16" spans="1:103" ht="20.100000000000001" customHeight="1">
      <c r="A16" s="57" t="s">
        <v>109</v>
      </c>
      <c r="B16" s="63">
        <v>0</v>
      </c>
      <c r="C16" s="63">
        <v>0</v>
      </c>
      <c r="D16" s="61">
        <v>0</v>
      </c>
      <c r="E16" s="61">
        <v>2714.5813734713074</v>
      </c>
      <c r="F16" s="61">
        <v>0</v>
      </c>
      <c r="G16" s="61">
        <v>2098.6142442797291</v>
      </c>
      <c r="H16" s="61">
        <v>0</v>
      </c>
      <c r="I16" s="61">
        <v>0</v>
      </c>
      <c r="J16" s="61">
        <v>0</v>
      </c>
      <c r="K16" s="61">
        <v>0</v>
      </c>
      <c r="L16" s="64">
        <v>0</v>
      </c>
      <c r="M16" s="61">
        <v>0</v>
      </c>
      <c r="N16" s="61">
        <v>1937.3739314186919</v>
      </c>
      <c r="O16" s="61">
        <v>251.87469762941461</v>
      </c>
      <c r="P16" s="61">
        <v>765.31213542490298</v>
      </c>
      <c r="Q16" s="111">
        <v>1098.566037735849</v>
      </c>
      <c r="R16" s="111">
        <v>1212.3687634262201</v>
      </c>
      <c r="S16" s="111">
        <v>796.72951432771913</v>
      </c>
      <c r="T16" s="111">
        <v>784.86577264083371</v>
      </c>
      <c r="U16" s="111">
        <v>752.85994022467275</v>
      </c>
      <c r="V16" s="61">
        <v>17792.187937931561</v>
      </c>
      <c r="W16" s="61">
        <v>35483.90446521288</v>
      </c>
      <c r="X16" s="61">
        <v>33103.522956973728</v>
      </c>
      <c r="Y16" s="61">
        <v>16574.710877166021</v>
      </c>
      <c r="Z16" s="59">
        <v>28658.976002487601</v>
      </c>
      <c r="AA16" s="109">
        <v>20361.196072118481</v>
      </c>
      <c r="AB16" s="109">
        <v>12903.777619387027</v>
      </c>
      <c r="AC16" s="109">
        <v>16749.549810116809</v>
      </c>
      <c r="AD16" s="109">
        <v>4997.6035361155982</v>
      </c>
      <c r="AE16" s="109">
        <v>2819.341596909208</v>
      </c>
      <c r="AF16" s="109">
        <v>5231.5690849300981</v>
      </c>
      <c r="AG16" s="109">
        <v>5952</v>
      </c>
      <c r="AH16" s="109">
        <v>11594.702638775383</v>
      </c>
      <c r="AI16" s="109">
        <v>9791</v>
      </c>
      <c r="AJ16" s="109">
        <v>6547.149862698554</v>
      </c>
      <c r="AK16" s="109">
        <v>6235</v>
      </c>
      <c r="AL16" s="109">
        <v>1096</v>
      </c>
      <c r="AM16" s="109">
        <v>375.58100929614869</v>
      </c>
      <c r="AN16" s="109">
        <v>2127</v>
      </c>
      <c r="AO16" s="109">
        <v>19248.499184077005</v>
      </c>
      <c r="AP16" s="109">
        <v>-905.01718659701623</v>
      </c>
      <c r="AQ16" s="109">
        <v>348.35070000000167</v>
      </c>
      <c r="AR16" s="109">
        <v>1699.3248200000041</v>
      </c>
      <c r="AS16" s="109">
        <v>0</v>
      </c>
      <c r="AT16" s="109">
        <v>0</v>
      </c>
      <c r="AU16" s="109">
        <v>0</v>
      </c>
      <c r="AV16" s="109">
        <v>0</v>
      </c>
      <c r="AW16" s="109">
        <v>0</v>
      </c>
      <c r="AX16" s="109">
        <v>0</v>
      </c>
      <c r="AY16" s="109">
        <v>0</v>
      </c>
      <c r="AZ16" s="109"/>
      <c r="BA16" s="62" t="s">
        <v>108</v>
      </c>
      <c r="BB16" s="60">
        <v>0</v>
      </c>
      <c r="BC16" s="63">
        <v>0</v>
      </c>
      <c r="BD16" s="63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57162.58567533824</v>
      </c>
      <c r="BW16" s="61">
        <v>6545.690550363448</v>
      </c>
      <c r="BX16" s="61">
        <v>6227.018962364039</v>
      </c>
      <c r="BY16" s="61">
        <v>42849.540861413145</v>
      </c>
      <c r="BZ16" s="61">
        <v>56331.117685480465</v>
      </c>
      <c r="CA16" s="61">
        <v>59410.616548615588</v>
      </c>
      <c r="CB16" s="61">
        <v>50302.387740555954</v>
      </c>
      <c r="CC16" s="61">
        <v>43045.618203859005</v>
      </c>
      <c r="CD16" s="61">
        <v>33700.672785046067</v>
      </c>
      <c r="CE16" s="61">
        <v>23388.200257566001</v>
      </c>
      <c r="CF16" s="61">
        <v>26118.328274342952</v>
      </c>
      <c r="CG16" s="61">
        <v>18978</v>
      </c>
      <c r="CH16" s="61">
        <v>25917</v>
      </c>
      <c r="CI16" s="61">
        <v>28778.681135929728</v>
      </c>
      <c r="CJ16" s="61">
        <v>30317.03961</v>
      </c>
      <c r="CK16" s="109">
        <v>12371</v>
      </c>
      <c r="CL16" s="109">
        <v>27133</v>
      </c>
      <c r="CM16" s="109">
        <v>36812.527037292108</v>
      </c>
      <c r="CN16" s="109">
        <v>41361</v>
      </c>
      <c r="CO16" s="109">
        <v>46372</v>
      </c>
      <c r="CP16" s="109">
        <v>46611.786373410141</v>
      </c>
      <c r="CQ16" s="109">
        <v>51060.584710636183</v>
      </c>
      <c r="CR16" s="109">
        <v>55734.924220000001</v>
      </c>
      <c r="CS16" s="109">
        <v>53239</v>
      </c>
      <c r="CT16" s="109">
        <v>50424</v>
      </c>
      <c r="CU16" s="109">
        <v>50966</v>
      </c>
      <c r="CV16" s="109">
        <v>51250</v>
      </c>
      <c r="CW16" s="109">
        <v>53537</v>
      </c>
      <c r="CX16" s="109">
        <v>85767</v>
      </c>
      <c r="CY16" s="109">
        <v>70964</v>
      </c>
    </row>
    <row r="17" spans="1:103" ht="20.100000000000001" customHeight="1" thickBot="1">
      <c r="A17" s="57" t="s">
        <v>111</v>
      </c>
      <c r="B17" s="63">
        <v>4093.1297037982481</v>
      </c>
      <c r="C17" s="63">
        <v>3963.3292688434267</v>
      </c>
      <c r="D17" s="63">
        <v>2511.6507235712534</v>
      </c>
      <c r="E17" s="64">
        <v>1311.7591721542803</v>
      </c>
      <c r="F17" s="64">
        <v>2391.263533387571</v>
      </c>
      <c r="G17" s="64">
        <v>1804.3828553013211</v>
      </c>
      <c r="H17" s="64">
        <v>859.27735081644266</v>
      </c>
      <c r="I17" s="64">
        <v>182.28640678650777</v>
      </c>
      <c r="J17" s="64">
        <v>1825.2400166968137</v>
      </c>
      <c r="K17" s="64">
        <v>1789.2863746902472</v>
      </c>
      <c r="L17" s="64">
        <v>1320.1119176571235</v>
      </c>
      <c r="M17" s="64">
        <v>828.37461355178664</v>
      </c>
      <c r="N17" s="64">
        <v>1046.0090289117279</v>
      </c>
      <c r="O17" s="59">
        <v>448.71794871794873</v>
      </c>
      <c r="P17" s="59">
        <v>1408.5431049938327</v>
      </c>
      <c r="Q17" s="109">
        <v>937.66037735849056</v>
      </c>
      <c r="R17" s="109">
        <v>1271.0659284136639</v>
      </c>
      <c r="S17" s="109">
        <v>670.08846818498364</v>
      </c>
      <c r="T17" s="109">
        <v>625.81808303079697</v>
      </c>
      <c r="U17" s="109">
        <v>427.44512006595897</v>
      </c>
      <c r="V17" s="59">
        <v>1496.674905088287</v>
      </c>
      <c r="W17" s="59">
        <v>3140.446521287643</v>
      </c>
      <c r="X17" s="59">
        <v>2246.3663490230051</v>
      </c>
      <c r="Y17" s="59">
        <v>1985.0539824028892</v>
      </c>
      <c r="Z17" s="59">
        <v>1548.6834040438775</v>
      </c>
      <c r="AA17" s="109">
        <v>2216.0737282678688</v>
      </c>
      <c r="AB17" s="109">
        <v>5124.5545260156805</v>
      </c>
      <c r="AC17" s="109">
        <v>4927.6800429210607</v>
      </c>
      <c r="AD17" s="109">
        <v>4124.225587133652</v>
      </c>
      <c r="AE17" s="109">
        <v>3207.5016097875082</v>
      </c>
      <c r="AF17" s="109">
        <v>1718.0375530983038</v>
      </c>
      <c r="AG17" s="109">
        <v>1749</v>
      </c>
      <c r="AH17" s="109">
        <v>6753.2123485985057</v>
      </c>
      <c r="AI17" s="109">
        <v>4974</v>
      </c>
      <c r="AJ17" s="109">
        <v>3477.7605136303778</v>
      </c>
      <c r="AK17" s="109">
        <v>2071.9552447990491</v>
      </c>
      <c r="AL17" s="109">
        <v>1052</v>
      </c>
      <c r="AM17" s="109">
        <v>2893.5117540039842</v>
      </c>
      <c r="AN17" s="109">
        <v>6203</v>
      </c>
      <c r="AO17" s="109">
        <v>4570.9585558866429</v>
      </c>
      <c r="AP17" s="109">
        <v>3541.4827307541732</v>
      </c>
      <c r="AQ17" s="109">
        <v>3931.8620308987392</v>
      </c>
      <c r="AR17" s="109">
        <v>2573.8208780885075</v>
      </c>
      <c r="AS17" s="109">
        <v>5302</v>
      </c>
      <c r="AT17" s="109">
        <v>8315</v>
      </c>
      <c r="AU17" s="109">
        <v>8250</v>
      </c>
      <c r="AV17" s="109">
        <v>8022</v>
      </c>
      <c r="AW17" s="109">
        <v>5358</v>
      </c>
      <c r="AX17" s="109">
        <v>10691</v>
      </c>
      <c r="AY17" s="109">
        <v>8743</v>
      </c>
      <c r="AZ17" s="109"/>
      <c r="BA17" s="158" t="s">
        <v>110</v>
      </c>
      <c r="BB17" s="159">
        <v>1325.2057567888737</v>
      </c>
      <c r="BC17" s="159">
        <v>25571.512441855211</v>
      </c>
      <c r="BD17" s="159">
        <v>23590.875643855776</v>
      </c>
      <c r="BE17" s="160">
        <v>9545.813734713076</v>
      </c>
      <c r="BF17" s="160">
        <v>18233.619125101693</v>
      </c>
      <c r="BG17" s="160">
        <v>286.17466967450849</v>
      </c>
      <c r="BH17" s="160">
        <v>235.25214233452203</v>
      </c>
      <c r="BI17" s="165">
        <v>1054.5849323369016</v>
      </c>
      <c r="BJ17" s="165">
        <v>1039.098372060665</v>
      </c>
      <c r="BK17" s="165">
        <v>258.82971448968772</v>
      </c>
      <c r="BL17" s="165">
        <v>261.71539586367584</v>
      </c>
      <c r="BM17" s="165">
        <v>239.34017502534797</v>
      </c>
      <c r="BN17" s="165">
        <v>1053.3730349310024</v>
      </c>
      <c r="BO17" s="165">
        <v>0</v>
      </c>
      <c r="BP17" s="165">
        <v>0</v>
      </c>
      <c r="BQ17" s="165">
        <v>3773.5849056603774</v>
      </c>
      <c r="BR17" s="165">
        <v>86.532933950561258</v>
      </c>
      <c r="BS17" s="165">
        <v>73.766474942611751</v>
      </c>
      <c r="BT17" s="165">
        <v>0</v>
      </c>
      <c r="BU17" s="165">
        <v>4189.4259507368852</v>
      </c>
      <c r="BV17" s="165">
        <v>0</v>
      </c>
      <c r="BW17" s="165">
        <v>0</v>
      </c>
      <c r="BX17" s="165">
        <v>0</v>
      </c>
      <c r="BY17" s="165">
        <v>2373.6888615668345</v>
      </c>
      <c r="BZ17" s="165">
        <v>3.6500557113766474</v>
      </c>
      <c r="CA17" s="165">
        <v>3.8232453316162269</v>
      </c>
      <c r="CB17" s="165">
        <v>3.5637918745545258</v>
      </c>
      <c r="CC17" s="165">
        <v>-1.7597227570273391E-2</v>
      </c>
      <c r="CD17" s="165">
        <v>-1.6224948076615838E-2</v>
      </c>
      <c r="CE17" s="165">
        <v>0</v>
      </c>
      <c r="CF17" s="165">
        <v>82440.873844910268</v>
      </c>
      <c r="CG17" s="165">
        <v>67500</v>
      </c>
      <c r="CH17" s="165">
        <v>0</v>
      </c>
      <c r="CI17" s="165">
        <v>10276.25047919053</v>
      </c>
      <c r="CJ17" s="165">
        <v>0</v>
      </c>
      <c r="CK17" s="165">
        <v>8324.1658201889732</v>
      </c>
      <c r="CL17" s="165">
        <v>209882</v>
      </c>
      <c r="CM17" s="165">
        <v>5146.0823373173971</v>
      </c>
      <c r="CN17" s="165">
        <v>0</v>
      </c>
      <c r="CO17" s="165">
        <v>848</v>
      </c>
      <c r="CP17" s="165">
        <v>0</v>
      </c>
      <c r="CQ17" s="165">
        <v>0</v>
      </c>
      <c r="CR17" s="165">
        <v>0</v>
      </c>
      <c r="CS17" s="165">
        <v>0</v>
      </c>
      <c r="CT17" s="165">
        <v>0</v>
      </c>
      <c r="CU17" s="315">
        <v>0</v>
      </c>
      <c r="CV17" s="315">
        <v>0</v>
      </c>
      <c r="CW17" s="315">
        <v>0</v>
      </c>
      <c r="CX17" s="315">
        <v>2904</v>
      </c>
      <c r="CY17" s="315">
        <v>3502</v>
      </c>
    </row>
    <row r="18" spans="1:103" ht="20.100000000000001" customHeight="1" thickBot="1">
      <c r="A18" s="158" t="s">
        <v>113</v>
      </c>
      <c r="B18" s="159">
        <v>1512.2573830377185</v>
      </c>
      <c r="C18" s="159">
        <v>2337.533306236734</v>
      </c>
      <c r="D18" s="159">
        <v>4114.5450085847433</v>
      </c>
      <c r="E18" s="160">
        <v>1315.1458137347129</v>
      </c>
      <c r="F18" s="160">
        <v>3651.0419926153072</v>
      </c>
      <c r="G18" s="160">
        <v>1071.221398646471</v>
      </c>
      <c r="H18" s="160">
        <v>998.52314693113874</v>
      </c>
      <c r="I18" s="160">
        <v>895.27368208442738</v>
      </c>
      <c r="J18" s="160">
        <v>928.62112146931952</v>
      </c>
      <c r="K18" s="160">
        <v>981.43857490271535</v>
      </c>
      <c r="L18" s="160">
        <v>1014.5542047248662</v>
      </c>
      <c r="M18" s="160">
        <v>221.61212511260638</v>
      </c>
      <c r="N18" s="160">
        <v>502.03310600966927</v>
      </c>
      <c r="O18" s="160">
        <v>553.03580067731014</v>
      </c>
      <c r="P18" s="160">
        <v>550.64495975448642</v>
      </c>
      <c r="Q18" s="161">
        <v>249.96226415094338</v>
      </c>
      <c r="R18" s="161">
        <v>223.29127711718255</v>
      </c>
      <c r="S18" s="161">
        <v>253.28209228547109</v>
      </c>
      <c r="T18" s="161">
        <v>300.31364994690176</v>
      </c>
      <c r="U18" s="161">
        <v>52.045759043594764</v>
      </c>
      <c r="V18" s="160">
        <v>426.27461971615662</v>
      </c>
      <c r="W18" s="160">
        <v>430.42575285565943</v>
      </c>
      <c r="X18" s="160">
        <v>409.3271729714121</v>
      </c>
      <c r="Y18" s="160">
        <v>36.308448918430862</v>
      </c>
      <c r="Z18" s="160">
        <v>0</v>
      </c>
      <c r="AA18" s="161">
        <v>0</v>
      </c>
      <c r="AB18" s="161">
        <v>0</v>
      </c>
      <c r="AC18" s="161">
        <v>0</v>
      </c>
      <c r="AD18" s="161">
        <v>108.81721193616529</v>
      </c>
      <c r="AE18" s="161">
        <v>220.13844172569222</v>
      </c>
      <c r="AF18" s="161">
        <v>88.067585626003478</v>
      </c>
      <c r="AG18" s="161">
        <v>92.07904797803026</v>
      </c>
      <c r="AH18" s="161">
        <v>209</v>
      </c>
      <c r="AI18" s="161">
        <v>27</v>
      </c>
      <c r="AJ18" s="161">
        <v>723.07401789230858</v>
      </c>
      <c r="AK18" s="161">
        <v>61</v>
      </c>
      <c r="AL18" s="161">
        <v>265</v>
      </c>
      <c r="AM18" s="161">
        <v>118.93162000000871</v>
      </c>
      <c r="AN18" s="161">
        <v>0</v>
      </c>
      <c r="AO18" s="161">
        <v>158.79187999997856</v>
      </c>
      <c r="AP18" s="161">
        <v>8033.0677800000094</v>
      </c>
      <c r="AQ18" s="161">
        <v>342.27476999997816</v>
      </c>
      <c r="AR18" s="161">
        <v>191902.91576999999</v>
      </c>
      <c r="AS18" s="161">
        <v>334</v>
      </c>
      <c r="AT18" s="161">
        <v>339</v>
      </c>
      <c r="AU18" s="161">
        <v>463</v>
      </c>
      <c r="AV18" s="161">
        <v>511</v>
      </c>
      <c r="AW18" s="161">
        <v>246</v>
      </c>
      <c r="AX18" s="161">
        <v>369</v>
      </c>
      <c r="AY18" s="161">
        <v>447</v>
      </c>
      <c r="AZ18" s="109"/>
      <c r="BA18" s="65" t="s">
        <v>112</v>
      </c>
      <c r="BB18" s="103">
        <f t="shared" ref="BB18:CG18" si="0">SUM(BB8:BB17)</f>
        <v>98594.252013555742</v>
      </c>
      <c r="BC18" s="103">
        <f t="shared" si="0"/>
        <v>112230.95334868807</v>
      </c>
      <c r="BD18" s="103">
        <f t="shared" si="0"/>
        <v>94722.835418199655</v>
      </c>
      <c r="BE18" s="103">
        <f t="shared" si="0"/>
        <v>58072.248353715891</v>
      </c>
      <c r="BF18" s="103">
        <f t="shared" si="0"/>
        <v>62874.084736216282</v>
      </c>
      <c r="BG18" s="103">
        <f t="shared" si="0"/>
        <v>40187.560425394782</v>
      </c>
      <c r="BH18" s="103">
        <f t="shared" si="0"/>
        <v>47024.138702769</v>
      </c>
      <c r="BI18" s="103">
        <f t="shared" si="0"/>
        <v>21567.10765501919</v>
      </c>
      <c r="BJ18" s="103">
        <f t="shared" si="0"/>
        <v>29547.516348963403</v>
      </c>
      <c r="BK18" s="103">
        <f t="shared" si="0"/>
        <v>23261.707970424439</v>
      </c>
      <c r="BL18" s="103">
        <f t="shared" si="0"/>
        <v>17895.899889456185</v>
      </c>
      <c r="BM18" s="103">
        <f t="shared" si="0"/>
        <v>24462.88484531744</v>
      </c>
      <c r="BN18" s="103">
        <f t="shared" si="0"/>
        <v>80868.952710274389</v>
      </c>
      <c r="BO18" s="103">
        <f t="shared" si="0"/>
        <v>79134.615384615376</v>
      </c>
      <c r="BP18" s="103">
        <f t="shared" si="0"/>
        <v>62564.398132591152</v>
      </c>
      <c r="BQ18" s="103">
        <f t="shared" si="0"/>
        <v>65464.452830188682</v>
      </c>
      <c r="BR18" s="103">
        <f t="shared" si="0"/>
        <v>56735.056096546548</v>
      </c>
      <c r="BS18" s="103">
        <f t="shared" si="0"/>
        <v>89995.748020885221</v>
      </c>
      <c r="BT18" s="103">
        <f t="shared" si="0"/>
        <v>41359.984624726982</v>
      </c>
      <c r="BU18" s="103">
        <f t="shared" si="0"/>
        <v>95585.385963104185</v>
      </c>
      <c r="BV18" s="103">
        <f t="shared" si="0"/>
        <v>256756.18518612883</v>
      </c>
      <c r="BW18" s="103">
        <f t="shared" si="0"/>
        <v>228446.78089304257</v>
      </c>
      <c r="BX18" s="103">
        <f t="shared" si="0"/>
        <v>273744.34498026763</v>
      </c>
      <c r="BY18" s="103">
        <f t="shared" si="0"/>
        <v>320778.99873208592</v>
      </c>
      <c r="BZ18" s="103">
        <f t="shared" si="0"/>
        <v>446147.65435893496</v>
      </c>
      <c r="CA18" s="103">
        <f t="shared" si="0"/>
        <v>383860.47166773991</v>
      </c>
      <c r="CB18" s="103">
        <f t="shared" si="0"/>
        <v>365327.51247327158</v>
      </c>
      <c r="CC18" s="103">
        <f t="shared" si="0"/>
        <v>408747.05406921002</v>
      </c>
      <c r="CD18" s="103">
        <f t="shared" si="0"/>
        <v>417800.73999254435</v>
      </c>
      <c r="CE18" s="103">
        <f t="shared" si="0"/>
        <v>182539.43979394721</v>
      </c>
      <c r="CF18" s="103">
        <f t="shared" si="0"/>
        <v>225598.35424060954</v>
      </c>
      <c r="CG18" s="103">
        <f t="shared" si="0"/>
        <v>195413.2587008418</v>
      </c>
      <c r="CH18" s="103">
        <f t="shared" ref="CH18:CX18" si="1">SUM(CH8:CH17)</f>
        <v>191006.01863000001</v>
      </c>
      <c r="CI18" s="103">
        <f t="shared" si="1"/>
        <v>185712.93161512024</v>
      </c>
      <c r="CJ18" s="103">
        <f t="shared" si="1"/>
        <v>263078.7570184826</v>
      </c>
      <c r="CK18" s="103">
        <f t="shared" si="1"/>
        <v>269160.22342071182</v>
      </c>
      <c r="CL18" s="103">
        <f t="shared" si="1"/>
        <v>785454</v>
      </c>
      <c r="CM18" s="103">
        <f t="shared" si="1"/>
        <v>847449.9377625403</v>
      </c>
      <c r="CN18" s="103">
        <f t="shared" si="1"/>
        <v>774234</v>
      </c>
      <c r="CO18" s="103">
        <f t="shared" si="1"/>
        <v>715471</v>
      </c>
      <c r="CP18" s="103">
        <f t="shared" si="1"/>
        <v>725608.22135139769</v>
      </c>
      <c r="CQ18" s="103">
        <f t="shared" si="1"/>
        <v>817215.59863991383</v>
      </c>
      <c r="CR18" s="103">
        <f t="shared" si="1"/>
        <v>627213.69783375005</v>
      </c>
      <c r="CS18" s="103">
        <f t="shared" si="1"/>
        <v>595650</v>
      </c>
      <c r="CT18" s="103">
        <f t="shared" si="1"/>
        <v>452281</v>
      </c>
      <c r="CU18" s="316">
        <f t="shared" si="1"/>
        <v>1080968</v>
      </c>
      <c r="CV18" s="316">
        <f t="shared" si="1"/>
        <v>1162151</v>
      </c>
      <c r="CW18" s="316">
        <f t="shared" si="1"/>
        <v>955548</v>
      </c>
      <c r="CX18" s="316">
        <f t="shared" si="1"/>
        <v>1064207</v>
      </c>
      <c r="CY18" s="316">
        <f t="shared" ref="CY18" si="2">SUM(CY8:CY17)</f>
        <v>1560322</v>
      </c>
    </row>
    <row r="19" spans="1:103" ht="20.100000000000001" customHeight="1">
      <c r="A19" s="65" t="s">
        <v>114</v>
      </c>
      <c r="B19" s="67">
        <f t="shared" ref="B19:AG19" si="3">SUM(B8:B18)</f>
        <v>189434.88402799171</v>
      </c>
      <c r="C19" s="67">
        <f t="shared" si="3"/>
        <v>226075.96080025291</v>
      </c>
      <c r="D19" s="67">
        <f t="shared" si="3"/>
        <v>218700.84212247565</v>
      </c>
      <c r="E19" s="67">
        <f t="shared" si="3"/>
        <v>195588.33490122293</v>
      </c>
      <c r="F19" s="67">
        <f t="shared" si="3"/>
        <v>146410.28850366105</v>
      </c>
      <c r="G19" s="67">
        <f t="shared" si="3"/>
        <v>141376.40992587819</v>
      </c>
      <c r="H19" s="67">
        <f t="shared" si="3"/>
        <v>184094.45689557996</v>
      </c>
      <c r="I19" s="67">
        <f t="shared" si="3"/>
        <v>202206.62492425775</v>
      </c>
      <c r="J19" s="67">
        <f t="shared" si="3"/>
        <v>157355.50299151245</v>
      </c>
      <c r="K19" s="67">
        <f t="shared" si="3"/>
        <v>156610.82957201923</v>
      </c>
      <c r="L19" s="67">
        <f t="shared" si="3"/>
        <v>181152.39632494422</v>
      </c>
      <c r="M19" s="67">
        <f t="shared" si="3"/>
        <v>214498.91044458613</v>
      </c>
      <c r="N19" s="67">
        <f t="shared" si="3"/>
        <v>261059.45634425126</v>
      </c>
      <c r="O19" s="67">
        <f t="shared" si="3"/>
        <v>254335.99419448475</v>
      </c>
      <c r="P19" s="67">
        <f t="shared" si="3"/>
        <v>264921.47501568409</v>
      </c>
      <c r="Q19" s="67">
        <f t="shared" si="3"/>
        <v>235521.50943396226</v>
      </c>
      <c r="R19" s="67">
        <f t="shared" si="3"/>
        <v>217433.96568938912</v>
      </c>
      <c r="S19" s="67">
        <f t="shared" si="3"/>
        <v>234184.82886693667</v>
      </c>
      <c r="T19" s="67">
        <f t="shared" si="3"/>
        <v>169234.39776740508</v>
      </c>
      <c r="U19" s="67">
        <f t="shared" si="3"/>
        <v>244959.54859321858</v>
      </c>
      <c r="V19" s="67">
        <f t="shared" si="3"/>
        <v>137132.77447957805</v>
      </c>
      <c r="W19" s="67">
        <f t="shared" si="3"/>
        <v>235534.78712357217</v>
      </c>
      <c r="X19" s="67">
        <f t="shared" si="3"/>
        <v>236320.86822600829</v>
      </c>
      <c r="Y19" s="67">
        <f t="shared" si="3"/>
        <v>266572.40557882201</v>
      </c>
      <c r="Z19" s="67">
        <f t="shared" si="3"/>
        <v>302306.63354876841</v>
      </c>
      <c r="AA19" s="67">
        <f t="shared" si="3"/>
        <v>231422.04603992272</v>
      </c>
      <c r="AB19" s="67">
        <f t="shared" si="3"/>
        <v>234847.11332858159</v>
      </c>
      <c r="AC19" s="67">
        <f t="shared" si="3"/>
        <v>303871.81542386388</v>
      </c>
      <c r="AD19" s="67">
        <f t="shared" si="3"/>
        <v>643845.17068148346</v>
      </c>
      <c r="AE19" s="67">
        <f t="shared" si="3"/>
        <v>1019129.708628461</v>
      </c>
      <c r="AF19" s="67">
        <f t="shared" si="3"/>
        <v>919720.94456398336</v>
      </c>
      <c r="AG19" s="67">
        <f t="shared" si="3"/>
        <v>1041888.079047978</v>
      </c>
      <c r="AH19" s="67">
        <f t="shared" ref="AH19:AX19" si="4">SUM(AH8:AH18)</f>
        <v>1377059.3809899813</v>
      </c>
      <c r="AI19" s="67">
        <f t="shared" si="4"/>
        <v>1469916</v>
      </c>
      <c r="AJ19" s="67">
        <f t="shared" si="4"/>
        <v>1994602.6618710496</v>
      </c>
      <c r="AK19" s="67">
        <f t="shared" si="4"/>
        <v>1932906.1595617961</v>
      </c>
      <c r="AL19" s="67">
        <f t="shared" si="4"/>
        <v>632965</v>
      </c>
      <c r="AM19" s="67">
        <f t="shared" si="4"/>
        <v>746250.84321351093</v>
      </c>
      <c r="AN19" s="67">
        <f t="shared" si="4"/>
        <v>1001169</v>
      </c>
      <c r="AO19" s="67">
        <f t="shared" si="4"/>
        <v>1093688.8595927095</v>
      </c>
      <c r="AP19" s="67">
        <f t="shared" si="4"/>
        <v>1357291.490615532</v>
      </c>
      <c r="AQ19" s="67">
        <f t="shared" si="4"/>
        <v>1896654.4098674234</v>
      </c>
      <c r="AR19" s="67">
        <f t="shared" si="4"/>
        <v>3153136.5191877191</v>
      </c>
      <c r="AS19" s="67">
        <f t="shared" si="4"/>
        <v>1284267.4750967468</v>
      </c>
      <c r="AT19" s="67">
        <f t="shared" si="4"/>
        <v>1444431</v>
      </c>
      <c r="AU19" s="67">
        <f t="shared" si="4"/>
        <v>1660614</v>
      </c>
      <c r="AV19" s="67">
        <f t="shared" si="4"/>
        <v>2563905</v>
      </c>
      <c r="AW19" s="67">
        <f t="shared" si="4"/>
        <v>1739835</v>
      </c>
      <c r="AX19" s="67">
        <f t="shared" si="4"/>
        <v>2041907</v>
      </c>
      <c r="AY19" s="67">
        <f>SUM(AY8:AY18)</f>
        <v>2084432</v>
      </c>
      <c r="AZ19" s="109"/>
      <c r="BA19" s="47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317"/>
      <c r="CV19" s="317"/>
      <c r="CW19" s="317"/>
      <c r="CX19" s="317"/>
      <c r="CY19" s="317"/>
    </row>
    <row r="20" spans="1:103" ht="20.100000000000001" customHeight="1" thickBot="1">
      <c r="BA20" s="155" t="s">
        <v>115</v>
      </c>
      <c r="BB20" s="159">
        <v>0</v>
      </c>
      <c r="BC20" s="159">
        <v>0</v>
      </c>
      <c r="BD20" s="159">
        <v>0</v>
      </c>
      <c r="BE20" s="160">
        <v>0</v>
      </c>
      <c r="BF20" s="160">
        <v>0</v>
      </c>
      <c r="BG20" s="160">
        <v>0</v>
      </c>
      <c r="BH20" s="160">
        <v>0</v>
      </c>
      <c r="BI20" s="165">
        <v>0</v>
      </c>
      <c r="BJ20" s="165">
        <v>0</v>
      </c>
      <c r="BK20" s="165">
        <v>0</v>
      </c>
      <c r="BL20" s="165">
        <v>0</v>
      </c>
      <c r="BM20" s="165">
        <v>0</v>
      </c>
      <c r="BN20" s="165">
        <v>0</v>
      </c>
      <c r="BO20" s="165">
        <v>0</v>
      </c>
      <c r="BP20" s="165">
        <v>0</v>
      </c>
      <c r="BQ20" s="165">
        <v>0</v>
      </c>
      <c r="BR20" s="165">
        <v>0</v>
      </c>
      <c r="BS20" s="165">
        <v>0</v>
      </c>
      <c r="BT20" s="165">
        <v>0</v>
      </c>
      <c r="BU20" s="165">
        <v>0</v>
      </c>
      <c r="BV20" s="165">
        <v>0</v>
      </c>
      <c r="BW20" s="165">
        <v>0</v>
      </c>
      <c r="BX20" s="165">
        <v>0</v>
      </c>
      <c r="BY20" s="165">
        <v>0</v>
      </c>
      <c r="BZ20" s="165">
        <v>0</v>
      </c>
      <c r="CA20" s="165">
        <v>0</v>
      </c>
      <c r="CB20" s="165">
        <v>0</v>
      </c>
      <c r="CC20" s="166">
        <v>-509.94880438968153</v>
      </c>
      <c r="CD20" s="166">
        <v>82.012319599524261</v>
      </c>
      <c r="CE20" s="166">
        <v>-413.31294269156473</v>
      </c>
      <c r="CF20" s="166">
        <v>-522.66088585968077</v>
      </c>
      <c r="CG20" s="166">
        <v>-807</v>
      </c>
      <c r="CH20" s="166">
        <v>0</v>
      </c>
      <c r="CI20" s="166">
        <v>0</v>
      </c>
      <c r="CJ20" s="166">
        <v>0</v>
      </c>
      <c r="CK20" s="166">
        <v>-2519</v>
      </c>
      <c r="CL20" s="166">
        <v>-3250</v>
      </c>
      <c r="CM20" s="166">
        <v>-3448.4976759628153</v>
      </c>
      <c r="CN20" s="166">
        <v>-3867</v>
      </c>
      <c r="CO20" s="166">
        <v>0</v>
      </c>
      <c r="CP20" s="166">
        <v>0</v>
      </c>
      <c r="CQ20" s="166">
        <v>0</v>
      </c>
      <c r="CR20" s="166">
        <v>0</v>
      </c>
      <c r="CS20" s="166">
        <v>0</v>
      </c>
      <c r="CT20" s="166">
        <v>0</v>
      </c>
      <c r="CU20" s="166">
        <v>0</v>
      </c>
      <c r="CV20" s="166">
        <v>0</v>
      </c>
      <c r="CW20" s="166">
        <v>0</v>
      </c>
      <c r="CX20" s="166">
        <v>0</v>
      </c>
      <c r="CY20" s="166">
        <v>0</v>
      </c>
    </row>
    <row r="21" spans="1:103" ht="20.100000000000001" customHeight="1">
      <c r="BA21" s="47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3">
        <f t="shared" ref="BQ21:CR21" si="5">SUM(BQ20,BQ18)</f>
        <v>65464.452830188682</v>
      </c>
      <c r="BR21" s="103">
        <f t="shared" si="5"/>
        <v>56735.056096546548</v>
      </c>
      <c r="BS21" s="103">
        <f t="shared" si="5"/>
        <v>89995.748020885221</v>
      </c>
      <c r="BT21" s="103">
        <f t="shared" si="5"/>
        <v>41359.984624726982</v>
      </c>
      <c r="BU21" s="103">
        <f t="shared" si="5"/>
        <v>95585.385963104185</v>
      </c>
      <c r="BV21" s="103">
        <f t="shared" si="5"/>
        <v>256756.18518612883</v>
      </c>
      <c r="BW21" s="103">
        <f t="shared" si="5"/>
        <v>228446.78089304257</v>
      </c>
      <c r="BX21" s="103">
        <f t="shared" si="5"/>
        <v>273744.34498026763</v>
      </c>
      <c r="BY21" s="103">
        <f t="shared" si="5"/>
        <v>320778.99873208592</v>
      </c>
      <c r="BZ21" s="103">
        <f t="shared" si="5"/>
        <v>446147.65435893496</v>
      </c>
      <c r="CA21" s="103">
        <f t="shared" si="5"/>
        <v>383860.47166773991</v>
      </c>
      <c r="CB21" s="103">
        <f t="shared" si="5"/>
        <v>365327.51247327158</v>
      </c>
      <c r="CC21" s="103">
        <f t="shared" si="5"/>
        <v>408237.10526482033</v>
      </c>
      <c r="CD21" s="103">
        <f t="shared" si="5"/>
        <v>417882.75231214386</v>
      </c>
      <c r="CE21" s="103">
        <f t="shared" si="5"/>
        <v>182126.12685125566</v>
      </c>
      <c r="CF21" s="103">
        <f t="shared" si="5"/>
        <v>225075.69335474985</v>
      </c>
      <c r="CG21" s="103">
        <f t="shared" si="5"/>
        <v>194606.2587008418</v>
      </c>
      <c r="CH21" s="103">
        <f t="shared" si="5"/>
        <v>191006.01863000001</v>
      </c>
      <c r="CI21" s="103">
        <f t="shared" si="5"/>
        <v>185712.93161512024</v>
      </c>
      <c r="CJ21" s="103">
        <f t="shared" si="5"/>
        <v>263078.7570184826</v>
      </c>
      <c r="CK21" s="103">
        <f t="shared" si="5"/>
        <v>266641.22342071182</v>
      </c>
      <c r="CL21" s="103">
        <f t="shared" si="5"/>
        <v>782204</v>
      </c>
      <c r="CM21" s="103">
        <f t="shared" si="5"/>
        <v>844001.44008657744</v>
      </c>
      <c r="CN21" s="103">
        <f t="shared" si="5"/>
        <v>770367</v>
      </c>
      <c r="CO21" s="103">
        <f t="shared" si="5"/>
        <v>715471</v>
      </c>
      <c r="CP21" s="103">
        <f t="shared" si="5"/>
        <v>725608.22135139769</v>
      </c>
      <c r="CQ21" s="103">
        <f t="shared" si="5"/>
        <v>817215.59863991383</v>
      </c>
      <c r="CR21" s="103">
        <f t="shared" si="5"/>
        <v>627213.69783375005</v>
      </c>
      <c r="CS21" s="103">
        <f t="shared" ref="CS21:CT21" si="6">SUM(CS20,CS18)</f>
        <v>595650</v>
      </c>
      <c r="CT21" s="103">
        <f t="shared" si="6"/>
        <v>452281</v>
      </c>
      <c r="CU21" s="316">
        <f t="shared" ref="CU21:CW21" si="7">SUM(CU20,CU18)</f>
        <v>1080968</v>
      </c>
      <c r="CV21" s="316">
        <f t="shared" si="7"/>
        <v>1162151</v>
      </c>
      <c r="CW21" s="316">
        <f t="shared" si="7"/>
        <v>955548</v>
      </c>
      <c r="CX21" s="316">
        <f t="shared" ref="CX21:CY21" si="8">SUM(CX20,CX18)</f>
        <v>1064207</v>
      </c>
      <c r="CY21" s="316">
        <f t="shared" si="8"/>
        <v>1560322</v>
      </c>
    </row>
    <row r="22" spans="1:103" ht="20.100000000000001" customHeight="1">
      <c r="A22" s="65"/>
      <c r="B22" s="65"/>
      <c r="C22" s="65"/>
      <c r="D22" s="65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65"/>
      <c r="R22" s="65"/>
      <c r="S22" s="65"/>
      <c r="T22" s="65"/>
      <c r="U22" s="65"/>
      <c r="V22" s="48"/>
      <c r="W22" s="48"/>
      <c r="X22" s="48"/>
      <c r="Y22" s="48"/>
      <c r="Z22" s="48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BA22" s="47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317"/>
      <c r="CV22" s="317"/>
      <c r="CW22" s="317"/>
      <c r="CX22" s="317"/>
      <c r="CY22" s="317"/>
    </row>
    <row r="23" spans="1:103" ht="20.100000000000001" customHeight="1" thickBot="1">
      <c r="BA23" s="167" t="s">
        <v>116</v>
      </c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318"/>
      <c r="CV23" s="318"/>
      <c r="CW23" s="318"/>
      <c r="CX23" s="318"/>
      <c r="CY23" s="318"/>
    </row>
    <row r="24" spans="1:103" ht="20.100000000000001" customHeight="1" thickBot="1">
      <c r="A24" s="155" t="s">
        <v>117</v>
      </c>
      <c r="B24" s="162">
        <v>63857.224593987943</v>
      </c>
      <c r="C24" s="162">
        <v>64928.419816646339</v>
      </c>
      <c r="D24" s="162">
        <v>62301.93769928869</v>
      </c>
      <c r="E24" s="163">
        <v>97143.179680150512</v>
      </c>
      <c r="F24" s="163">
        <v>82461.355529131979</v>
      </c>
      <c r="G24" s="163">
        <v>79705.768611021587</v>
      </c>
      <c r="H24" s="163">
        <v>39216.652399692364</v>
      </c>
      <c r="I24" s="163">
        <v>18593.213492223793</v>
      </c>
      <c r="J24" s="163">
        <v>18475.302629748156</v>
      </c>
      <c r="K24" s="163">
        <v>16676.296444026182</v>
      </c>
      <c r="L24" s="163">
        <v>15353.31226977794</v>
      </c>
      <c r="M24" s="163">
        <v>15440.846160936491</v>
      </c>
      <c r="N24" s="163">
        <v>15642.749655812762</v>
      </c>
      <c r="O24" s="163">
        <v>8562.5302370585396</v>
      </c>
      <c r="P24" s="163">
        <v>8576.5141212562066</v>
      </c>
      <c r="Q24" s="162">
        <v>8548.2264150943392</v>
      </c>
      <c r="R24" s="162">
        <v>8608.5141145502403</v>
      </c>
      <c r="S24" s="162">
        <v>7617.8071238812518</v>
      </c>
      <c r="T24" s="162">
        <v>6783.4827492529203</v>
      </c>
      <c r="U24" s="162">
        <v>6848.6550551375858</v>
      </c>
      <c r="V24" s="163">
        <v>6810.9664432950285</v>
      </c>
      <c r="W24" s="163">
        <v>6824.7663551401874</v>
      </c>
      <c r="X24" s="163">
        <v>6874.5788815092892</v>
      </c>
      <c r="Y24" s="163">
        <v>0</v>
      </c>
      <c r="Z24" s="163">
        <v>0</v>
      </c>
      <c r="AA24" s="162">
        <v>0</v>
      </c>
      <c r="AB24" s="162">
        <v>0</v>
      </c>
      <c r="AC24" s="162">
        <v>13176.548783988062</v>
      </c>
      <c r="AD24" s="162">
        <v>13230.788347860045</v>
      </c>
      <c r="AE24" s="162">
        <v>14107.775273663878</v>
      </c>
      <c r="AF24" s="162">
        <v>13349.438759575993</v>
      </c>
      <c r="AG24" s="162">
        <v>13351</v>
      </c>
      <c r="AH24" s="162">
        <v>0</v>
      </c>
      <c r="AI24" s="162">
        <v>0</v>
      </c>
      <c r="AJ24" s="162">
        <v>0</v>
      </c>
      <c r="AK24" s="162">
        <v>12291</v>
      </c>
      <c r="AL24" s="162">
        <v>13631</v>
      </c>
      <c r="AM24" s="162">
        <v>14093</v>
      </c>
      <c r="AN24" s="162">
        <v>14600</v>
      </c>
      <c r="AO24" s="162">
        <v>0</v>
      </c>
      <c r="AP24" s="162">
        <v>0</v>
      </c>
      <c r="AQ24" s="162">
        <v>0</v>
      </c>
      <c r="AR24" s="162">
        <v>0</v>
      </c>
      <c r="AS24" s="162">
        <v>0</v>
      </c>
      <c r="AT24" s="162">
        <v>0</v>
      </c>
      <c r="AU24" s="162">
        <v>0</v>
      </c>
      <c r="AV24" s="162">
        <v>0</v>
      </c>
      <c r="AW24" s="162">
        <v>0</v>
      </c>
      <c r="AX24" s="162">
        <v>0</v>
      </c>
      <c r="AY24" s="162">
        <v>0</v>
      </c>
      <c r="BA24" s="57" t="s">
        <v>93</v>
      </c>
      <c r="BB24" s="61">
        <v>0</v>
      </c>
      <c r="BC24" s="61">
        <v>0</v>
      </c>
      <c r="BD24" s="108">
        <v>0</v>
      </c>
      <c r="BE24" s="61">
        <v>4782.6904985888987</v>
      </c>
      <c r="BF24" s="108">
        <v>0</v>
      </c>
      <c r="BG24" s="61">
        <v>4096.036094102481</v>
      </c>
      <c r="BH24" s="61">
        <v>3218.3578663492949</v>
      </c>
      <c r="BI24" s="61">
        <v>3208.9476873358917</v>
      </c>
      <c r="BJ24" s="61">
        <v>3536.9417002921941</v>
      </c>
      <c r="BK24" s="61">
        <v>3955.1929576149873</v>
      </c>
      <c r="BL24" s="61">
        <v>3898.2901757506979</v>
      </c>
      <c r="BM24" s="61">
        <v>3941.4139839848058</v>
      </c>
      <c r="BN24" s="61">
        <v>4308.263695450325</v>
      </c>
      <c r="BO24" s="61">
        <v>4068.6985970004839</v>
      </c>
      <c r="BP24" s="61">
        <v>4255.6570416521718</v>
      </c>
      <c r="BQ24" s="61">
        <v>4062.1886792452829</v>
      </c>
      <c r="BR24" s="61">
        <v>3982.027775256422</v>
      </c>
      <c r="BS24" s="61">
        <v>3394.5474710479484</v>
      </c>
      <c r="BT24" s="61">
        <v>3250.3519300585313</v>
      </c>
      <c r="BU24" s="61">
        <v>3455.8899309491908</v>
      </c>
      <c r="BV24" s="61">
        <v>3417.5860575330598</v>
      </c>
      <c r="BW24" s="61">
        <v>3482.0872274143303</v>
      </c>
      <c r="BX24" s="61">
        <v>3235.8744826258544</v>
      </c>
      <c r="BY24" s="61">
        <v>2542.167748876167</v>
      </c>
      <c r="BZ24" s="61">
        <v>2620.3557843777617</v>
      </c>
      <c r="CA24" s="61">
        <v>2899.6297488731489</v>
      </c>
      <c r="CB24" s="61">
        <v>2434.0698503207414</v>
      </c>
      <c r="CC24" s="61">
        <v>2626.1430782269927</v>
      </c>
      <c r="CD24" s="61">
        <v>2387.233060550654</v>
      </c>
      <c r="CE24" s="61">
        <v>2705.2479072762399</v>
      </c>
      <c r="CF24" s="61">
        <v>2387.3881119952839</v>
      </c>
      <c r="CG24" s="61">
        <v>71.796528637840368</v>
      </c>
      <c r="CH24" s="61">
        <v>80</v>
      </c>
      <c r="CI24" s="61">
        <v>97</v>
      </c>
      <c r="CJ24" s="61">
        <v>16.503529999999955</v>
      </c>
      <c r="CK24" s="109">
        <v>288.10510000000068</v>
      </c>
      <c r="CL24" s="109">
        <v>0</v>
      </c>
      <c r="CM24" s="109">
        <v>0</v>
      </c>
      <c r="CN24" s="109">
        <v>0</v>
      </c>
      <c r="CO24" s="109">
        <v>0</v>
      </c>
      <c r="CP24" s="109">
        <v>0</v>
      </c>
      <c r="CQ24" s="109">
        <v>0</v>
      </c>
      <c r="CR24" s="109">
        <v>0</v>
      </c>
      <c r="CS24" s="109">
        <v>0</v>
      </c>
      <c r="CT24" s="109">
        <v>0</v>
      </c>
      <c r="CU24" s="109">
        <v>0</v>
      </c>
      <c r="CV24" s="109">
        <v>0</v>
      </c>
      <c r="CW24" s="109">
        <v>0</v>
      </c>
      <c r="CX24" s="109">
        <v>0</v>
      </c>
      <c r="CY24" s="109">
        <v>0</v>
      </c>
    </row>
    <row r="25" spans="1:103" ht="20.100000000000001" customHeight="1">
      <c r="A25" s="65"/>
      <c r="B25" s="66">
        <f t="shared" ref="B25:AM25" si="9">SUM(B24,B19)</f>
        <v>253292.10862197966</v>
      </c>
      <c r="C25" s="66">
        <f t="shared" si="9"/>
        <v>291004.38061689923</v>
      </c>
      <c r="D25" s="66">
        <f t="shared" si="9"/>
        <v>281002.77982176433</v>
      </c>
      <c r="E25" s="66">
        <f t="shared" si="9"/>
        <v>292731.51458137343</v>
      </c>
      <c r="F25" s="66">
        <f t="shared" si="9"/>
        <v>228871.64403279303</v>
      </c>
      <c r="G25" s="66">
        <f t="shared" si="9"/>
        <v>221082.1785368998</v>
      </c>
      <c r="H25" s="66">
        <f t="shared" si="9"/>
        <v>223311.10929527233</v>
      </c>
      <c r="I25" s="66">
        <f t="shared" si="9"/>
        <v>220799.83841648154</v>
      </c>
      <c r="J25" s="66">
        <f t="shared" si="9"/>
        <v>175830.8056212606</v>
      </c>
      <c r="K25" s="66">
        <f t="shared" si="9"/>
        <v>173287.1260160454</v>
      </c>
      <c r="L25" s="66">
        <f t="shared" si="9"/>
        <v>196505.70859472215</v>
      </c>
      <c r="M25" s="66">
        <f t="shared" si="9"/>
        <v>229939.75660552262</v>
      </c>
      <c r="N25" s="66">
        <f t="shared" si="9"/>
        <v>276702.20600006403</v>
      </c>
      <c r="O25" s="66">
        <f t="shared" si="9"/>
        <v>262898.52443154331</v>
      </c>
      <c r="P25" s="66">
        <f t="shared" si="9"/>
        <v>273497.98913694028</v>
      </c>
      <c r="Q25" s="96">
        <f t="shared" si="9"/>
        <v>244069.7358490566</v>
      </c>
      <c r="R25" s="96">
        <f t="shared" si="9"/>
        <v>226042.47980393935</v>
      </c>
      <c r="S25" s="96">
        <f t="shared" si="9"/>
        <v>241802.63599081791</v>
      </c>
      <c r="T25" s="96">
        <f t="shared" si="9"/>
        <v>176017.88051665801</v>
      </c>
      <c r="U25" s="96">
        <f t="shared" si="9"/>
        <v>251808.20364835617</v>
      </c>
      <c r="V25" s="66">
        <f t="shared" si="9"/>
        <v>143943.74092287308</v>
      </c>
      <c r="W25" s="66">
        <f t="shared" si="9"/>
        <v>242359.55347871236</v>
      </c>
      <c r="X25" s="66">
        <f t="shared" si="9"/>
        <v>243195.44710751757</v>
      </c>
      <c r="Y25" s="66">
        <f t="shared" si="9"/>
        <v>266572.40557882201</v>
      </c>
      <c r="Z25" s="66">
        <f>SUM(Z24,Z19)</f>
        <v>302306.63354876841</v>
      </c>
      <c r="AA25" s="96">
        <f t="shared" si="9"/>
        <v>231422.04603992272</v>
      </c>
      <c r="AB25" s="96">
        <f t="shared" si="9"/>
        <v>234847.11332858159</v>
      </c>
      <c r="AC25" s="96">
        <f t="shared" si="9"/>
        <v>317048.36420785193</v>
      </c>
      <c r="AD25" s="96">
        <f t="shared" si="9"/>
        <v>657075.95902934356</v>
      </c>
      <c r="AE25" s="96">
        <f t="shared" si="9"/>
        <v>1033237.4839021249</v>
      </c>
      <c r="AF25" s="96">
        <f t="shared" si="9"/>
        <v>933070.3833235593</v>
      </c>
      <c r="AG25" s="96">
        <f t="shared" si="9"/>
        <v>1055239.0790479779</v>
      </c>
      <c r="AH25" s="96">
        <f t="shared" si="9"/>
        <v>1377059.3809899813</v>
      </c>
      <c r="AI25" s="96">
        <f t="shared" si="9"/>
        <v>1469916</v>
      </c>
      <c r="AJ25" s="96">
        <f t="shared" si="9"/>
        <v>1994602.6618710496</v>
      </c>
      <c r="AK25" s="96">
        <f t="shared" si="9"/>
        <v>1945197.1595617961</v>
      </c>
      <c r="AL25" s="96">
        <f t="shared" si="9"/>
        <v>646596</v>
      </c>
      <c r="AM25" s="96">
        <f t="shared" si="9"/>
        <v>760343.84321351093</v>
      </c>
      <c r="AN25" s="96">
        <f t="shared" ref="AN25:AS25" si="10">SUM(AN24,AN19)</f>
        <v>1015769</v>
      </c>
      <c r="AO25" s="96">
        <f t="shared" si="10"/>
        <v>1093688.8595927095</v>
      </c>
      <c r="AP25" s="96">
        <f t="shared" si="10"/>
        <v>1357291.490615532</v>
      </c>
      <c r="AQ25" s="96">
        <f t="shared" si="10"/>
        <v>1896654.4098674234</v>
      </c>
      <c r="AR25" s="96">
        <f t="shared" si="10"/>
        <v>3153136.5191877191</v>
      </c>
      <c r="AS25" s="96">
        <f t="shared" si="10"/>
        <v>1284267.4750967468</v>
      </c>
      <c r="AT25" s="96">
        <f t="shared" ref="AT25:AU25" si="11">SUM(AT24,AT19)</f>
        <v>1444431</v>
      </c>
      <c r="AU25" s="96">
        <f t="shared" si="11"/>
        <v>1660614</v>
      </c>
      <c r="AV25" s="96">
        <f t="shared" ref="AV25:AW25" si="12">SUM(AV24,AV19)</f>
        <v>2563905</v>
      </c>
      <c r="AW25" s="96">
        <f t="shared" si="12"/>
        <v>1739835</v>
      </c>
      <c r="AX25" s="96">
        <f t="shared" ref="AX25:AY25" si="13">SUM(AX24,AX19)</f>
        <v>2041907</v>
      </c>
      <c r="AY25" s="96">
        <f t="shared" si="13"/>
        <v>2084432</v>
      </c>
      <c r="BA25" s="62" t="s">
        <v>118</v>
      </c>
      <c r="BB25" s="61">
        <v>0</v>
      </c>
      <c r="BC25" s="61">
        <v>0</v>
      </c>
      <c r="BD25" s="61">
        <v>0</v>
      </c>
      <c r="BE25" s="61">
        <v>32951.269990592657</v>
      </c>
      <c r="BF25" s="61">
        <v>27283.30934351336</v>
      </c>
      <c r="BG25" s="61">
        <v>28099.258781824039</v>
      </c>
      <c r="BH25" s="61">
        <v>22079.076245220429</v>
      </c>
      <c r="BI25" s="61">
        <v>7943.0923045849322</v>
      </c>
      <c r="BJ25" s="61">
        <v>8753.0262974815632</v>
      </c>
      <c r="BK25" s="61">
        <v>9781.0979025331435</v>
      </c>
      <c r="BL25" s="61">
        <v>9640.3950556697237</v>
      </c>
      <c r="BM25" s="61">
        <v>9656.9822103419665</v>
      </c>
      <c r="BN25" s="61">
        <v>10063.394486600711</v>
      </c>
      <c r="BO25" s="61">
        <v>9503.8098693759075</v>
      </c>
      <c r="BP25" s="61">
        <v>9928.6251937126399</v>
      </c>
      <c r="BQ25" s="61">
        <v>9476.5283018867922</v>
      </c>
      <c r="BR25" s="61">
        <v>9453.5717527457564</v>
      </c>
      <c r="BS25" s="61">
        <v>8057.8267261613064</v>
      </c>
      <c r="BT25" s="61">
        <v>7715.5417253216765</v>
      </c>
      <c r="BU25" s="61">
        <v>17872.307533752446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374975.17298999999</v>
      </c>
      <c r="CK25" s="109">
        <v>373767.80114</v>
      </c>
      <c r="CL25" s="109">
        <v>373038</v>
      </c>
      <c r="CM25" s="109">
        <v>375330.57539000001</v>
      </c>
      <c r="CN25" s="109">
        <v>373723</v>
      </c>
      <c r="CO25" s="109">
        <v>371852.22074000002</v>
      </c>
      <c r="CP25" s="109">
        <v>767027.37699000002</v>
      </c>
      <c r="CQ25" s="109">
        <v>1016489.3979799999</v>
      </c>
      <c r="CR25" s="109">
        <v>1018778.39652</v>
      </c>
      <c r="CS25" s="109">
        <v>1022690</v>
      </c>
      <c r="CT25" s="109">
        <v>1231136</v>
      </c>
      <c r="CU25" s="109">
        <v>1224309</v>
      </c>
      <c r="CV25" s="109">
        <v>1765084</v>
      </c>
      <c r="CW25" s="109">
        <v>1767002</v>
      </c>
      <c r="CX25" s="109">
        <v>1776307</v>
      </c>
      <c r="CY25" s="109">
        <v>1778815</v>
      </c>
    </row>
    <row r="26" spans="1:103" ht="20.100000000000001" customHeight="1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96"/>
      <c r="R26" s="96"/>
      <c r="S26" s="96"/>
      <c r="T26" s="96"/>
      <c r="U26" s="96"/>
      <c r="V26" s="66"/>
      <c r="W26" s="66"/>
      <c r="X26" s="66"/>
      <c r="Y26" s="66"/>
      <c r="Z26" s="6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BA26" s="62" t="s">
        <v>119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7274.2173100000027</v>
      </c>
      <c r="CK26" s="109">
        <v>17116.697100000001</v>
      </c>
      <c r="CL26" s="109">
        <v>9281</v>
      </c>
      <c r="CM26" s="109">
        <v>-22391.531640000001</v>
      </c>
      <c r="CN26" s="109">
        <v>0</v>
      </c>
      <c r="CO26" s="109">
        <v>0</v>
      </c>
      <c r="CP26" s="109">
        <v>-3192.8085000000001</v>
      </c>
      <c r="CQ26" s="109">
        <v>114086.15489999999</v>
      </c>
      <c r="CR26" s="109">
        <v>126724.50040999999</v>
      </c>
      <c r="CS26" s="109">
        <v>239530</v>
      </c>
      <c r="CT26" s="109">
        <v>191478</v>
      </c>
      <c r="CU26" s="109">
        <v>101464</v>
      </c>
      <c r="CV26" s="109">
        <v>70124</v>
      </c>
      <c r="CW26" s="109">
        <v>124058</v>
      </c>
      <c r="CX26" s="109">
        <v>105766</v>
      </c>
      <c r="CY26" s="109">
        <v>37430</v>
      </c>
    </row>
    <row r="27" spans="1:103" ht="19.5" customHeight="1">
      <c r="A27" s="65"/>
      <c r="B27" s="66"/>
      <c r="C27" s="66"/>
      <c r="D27" s="6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96"/>
      <c r="R27" s="96"/>
      <c r="S27" s="96"/>
      <c r="T27" s="96"/>
      <c r="U27" s="96"/>
      <c r="V27" s="46"/>
      <c r="W27" s="46"/>
      <c r="X27" s="46"/>
      <c r="Y27" s="46"/>
      <c r="Z27" s="4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BA27" s="62" t="s">
        <v>100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6626.3011439760894</v>
      </c>
      <c r="BV27" s="61">
        <v>197508.85417993731</v>
      </c>
      <c r="BW27" s="61">
        <v>188126.42782969886</v>
      </c>
      <c r="BX27" s="61">
        <v>110612.90788333815</v>
      </c>
      <c r="BY27" s="61">
        <v>80929.419449033696</v>
      </c>
      <c r="BZ27" s="61">
        <v>129997.8868098513</v>
      </c>
      <c r="CA27" s="61">
        <v>142641.86252414683</v>
      </c>
      <c r="CB27" s="61">
        <v>133107.62651461153</v>
      </c>
      <c r="CC27" s="61">
        <v>75038.987293030426</v>
      </c>
      <c r="CD27" s="61">
        <v>49926.508440878344</v>
      </c>
      <c r="CE27" s="61">
        <v>595472.67385705095</v>
      </c>
      <c r="CF27" s="61">
        <v>591704.30323188531</v>
      </c>
      <c r="CG27" s="61">
        <v>592665</v>
      </c>
      <c r="CH27" s="61">
        <v>791135</v>
      </c>
      <c r="CI27" s="61">
        <v>1057485</v>
      </c>
      <c r="CJ27" s="61">
        <v>1003979.43961</v>
      </c>
      <c r="CK27" s="109">
        <v>1005827.84955</v>
      </c>
      <c r="CL27" s="109">
        <v>1046891</v>
      </c>
      <c r="CM27" s="109">
        <v>910892.31803999993</v>
      </c>
      <c r="CN27" s="109">
        <v>911100</v>
      </c>
      <c r="CO27" s="109">
        <v>896629.86135000002</v>
      </c>
      <c r="CP27" s="109">
        <v>747166.55114999996</v>
      </c>
      <c r="CQ27" s="109">
        <v>647703.24095000001</v>
      </c>
      <c r="CR27" s="109">
        <v>1883239.9307500001</v>
      </c>
      <c r="CS27" s="109">
        <v>1908809</v>
      </c>
      <c r="CT27" s="109">
        <v>1872215</v>
      </c>
      <c r="CU27" s="109">
        <v>1781295</v>
      </c>
      <c r="CV27" s="109">
        <v>2158294</v>
      </c>
      <c r="CW27" s="109">
        <v>2892194</v>
      </c>
      <c r="CX27" s="109">
        <v>2843952</v>
      </c>
      <c r="CY27" s="109">
        <v>2131903</v>
      </c>
    </row>
    <row r="28" spans="1:103">
      <c r="A28" s="32"/>
      <c r="B28" s="32"/>
      <c r="C28" s="32"/>
      <c r="D28" s="32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32"/>
      <c r="R28" s="32"/>
      <c r="S28" s="32"/>
      <c r="T28" s="32"/>
      <c r="U28" s="32"/>
      <c r="V28" s="47"/>
      <c r="W28" s="47"/>
      <c r="X28" s="47"/>
      <c r="Y28" s="47"/>
      <c r="Z28" s="47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BA28" s="62" t="s">
        <v>120</v>
      </c>
      <c r="BB28" s="61">
        <v>50235.024866863256</v>
      </c>
      <c r="BC28" s="61">
        <v>37311.565731833987</v>
      </c>
      <c r="BD28" s="61">
        <v>34883.901561605751</v>
      </c>
      <c r="BE28" s="61">
        <v>51943.179680150512</v>
      </c>
      <c r="BF28" s="61">
        <v>52119.344139182671</v>
      </c>
      <c r="BG28" s="61">
        <v>52593.619078311305</v>
      </c>
      <c r="BH28" s="61">
        <v>53028.180853865437</v>
      </c>
      <c r="BI28" s="61">
        <v>17176.580488790143</v>
      </c>
      <c r="BJ28" s="61">
        <v>16475.024349519965</v>
      </c>
      <c r="BK28" s="61">
        <v>14575.57698228218</v>
      </c>
      <c r="BL28" s="61">
        <v>14350.655553931987</v>
      </c>
      <c r="BM28" s="61">
        <v>14953.662099760702</v>
      </c>
      <c r="BN28" s="61">
        <v>24165.145839336601</v>
      </c>
      <c r="BO28" s="61">
        <v>21426.584421867443</v>
      </c>
      <c r="BP28" s="61">
        <v>22020.039344901445</v>
      </c>
      <c r="BQ28" s="61">
        <v>22375.547169811322</v>
      </c>
      <c r="BR28" s="61">
        <v>22782.366645487276</v>
      </c>
      <c r="BS28" s="61">
        <v>22937.246911351267</v>
      </c>
      <c r="BT28" s="61">
        <v>22592.674915413299</v>
      </c>
      <c r="BU28" s="61">
        <v>9388.3335051015147</v>
      </c>
      <c r="BV28" s="61">
        <v>136530.18065075038</v>
      </c>
      <c r="BW28" s="61">
        <v>138955.86708203531</v>
      </c>
      <c r="BX28" s="61">
        <v>142119.79016267206</v>
      </c>
      <c r="BY28" s="61">
        <v>146700.15752872018</v>
      </c>
      <c r="BZ28" s="61">
        <v>165757.09839781764</v>
      </c>
      <c r="CA28" s="61">
        <v>185531.02865421766</v>
      </c>
      <c r="CB28" s="61">
        <v>217263.72059871705</v>
      </c>
      <c r="CC28" s="61">
        <v>122930.99974201001</v>
      </c>
      <c r="CD28" s="61">
        <v>151484.7425132693</v>
      </c>
      <c r="CE28" s="61">
        <v>153120.17063747585</v>
      </c>
      <c r="CF28" s="61">
        <v>130289.71396028146</v>
      </c>
      <c r="CG28" s="61">
        <v>124055</v>
      </c>
      <c r="CH28" s="61">
        <v>119154</v>
      </c>
      <c r="CI28" s="61">
        <v>122949</v>
      </c>
      <c r="CJ28" s="61">
        <v>126166.90155559799</v>
      </c>
      <c r="CK28" s="109">
        <v>51367</v>
      </c>
      <c r="CL28" s="109">
        <v>325725</v>
      </c>
      <c r="CM28" s="109">
        <v>334899.15338645416</v>
      </c>
      <c r="CN28" s="109">
        <v>327154</v>
      </c>
      <c r="CO28" s="109">
        <v>231638.0845</v>
      </c>
      <c r="CP28" s="109">
        <v>238534.48634</v>
      </c>
      <c r="CQ28" s="109">
        <v>245547.35178000003</v>
      </c>
      <c r="CR28" s="109">
        <v>252242.00890000002</v>
      </c>
      <c r="CS28" s="109">
        <v>547093</v>
      </c>
      <c r="CT28" s="109">
        <v>563536</v>
      </c>
      <c r="CU28" s="109">
        <v>576515</v>
      </c>
      <c r="CV28" s="109">
        <v>592988</v>
      </c>
      <c r="CW28" s="109">
        <v>990011</v>
      </c>
      <c r="CX28" s="109">
        <v>1044545</v>
      </c>
      <c r="CY28" s="109">
        <v>1075527</v>
      </c>
    </row>
    <row r="29" spans="1:103" ht="20.100000000000001" customHeight="1">
      <c r="BA29" s="57" t="s">
        <v>121</v>
      </c>
      <c r="BB29" s="61">
        <v>0</v>
      </c>
      <c r="BC29" s="61">
        <v>0</v>
      </c>
      <c r="BD29" s="61">
        <v>0</v>
      </c>
      <c r="BE29" s="61">
        <v>12733.019755409217</v>
      </c>
      <c r="BF29" s="61">
        <v>12720.44558483009</v>
      </c>
      <c r="BG29" s="61">
        <v>12767.644215275539</v>
      </c>
      <c r="BH29" s="61">
        <v>12759.483406345751</v>
      </c>
      <c r="BI29" s="61">
        <v>15370.379721268431</v>
      </c>
      <c r="BJ29" s="61">
        <v>16286.0720745791</v>
      </c>
      <c r="BK29" s="61">
        <v>16748.644787452544</v>
      </c>
      <c r="BL29" s="61">
        <v>16534.520924454802</v>
      </c>
      <c r="BM29" s="61">
        <v>17326.673287860634</v>
      </c>
      <c r="BN29" s="61">
        <v>21266.929209489961</v>
      </c>
      <c r="BO29" s="61">
        <v>7624.2743105950658</v>
      </c>
      <c r="BP29" s="61">
        <v>8501.6600493374244</v>
      </c>
      <c r="BQ29" s="61">
        <v>4564.5283018867922</v>
      </c>
      <c r="BR29" s="61">
        <v>4430.4257057275117</v>
      </c>
      <c r="BS29" s="61">
        <v>4510.0719610017795</v>
      </c>
      <c r="BT29" s="61">
        <v>3675.3846533797632</v>
      </c>
      <c r="BU29" s="61">
        <v>4493.7132845511696</v>
      </c>
      <c r="BV29" s="61">
        <v>6600.7592937039772</v>
      </c>
      <c r="BW29" s="61">
        <v>7444.1848390446521</v>
      </c>
      <c r="BX29" s="61">
        <v>8345.3652902108006</v>
      </c>
      <c r="BY29" s="61">
        <v>12604.795020555577</v>
      </c>
      <c r="BZ29" s="61">
        <v>14601.375494678603</v>
      </c>
      <c r="CA29" s="61">
        <v>14908.84578235673</v>
      </c>
      <c r="CB29" s="61">
        <v>9699.5723449750531</v>
      </c>
      <c r="CC29" s="61">
        <v>14595.523671544088</v>
      </c>
      <c r="CD29" s="61">
        <v>16206.30891307049</v>
      </c>
      <c r="CE29" s="61">
        <v>25835.278493238893</v>
      </c>
      <c r="CF29" s="61">
        <v>23233.197273712638</v>
      </c>
      <c r="CG29" s="61">
        <v>4889</v>
      </c>
      <c r="CH29" s="61">
        <v>5895.7688500000004</v>
      </c>
      <c r="CI29" s="61">
        <v>6044</v>
      </c>
      <c r="CJ29" s="61">
        <v>3678.4174499999999</v>
      </c>
      <c r="CK29" s="109">
        <v>4475.1838099999995</v>
      </c>
      <c r="CL29" s="109">
        <v>94114</v>
      </c>
      <c r="CM29" s="109">
        <v>207477.47993512891</v>
      </c>
      <c r="CN29" s="109">
        <v>202695</v>
      </c>
      <c r="CO29" s="109">
        <v>195422.98189</v>
      </c>
      <c r="CP29" s="109">
        <v>198976.81657000002</v>
      </c>
      <c r="CQ29" s="109">
        <v>126035.97372000002</v>
      </c>
      <c r="CR29" s="109">
        <v>122123.53727</v>
      </c>
      <c r="CS29" s="109">
        <v>122416</v>
      </c>
      <c r="CT29" s="109">
        <v>130148</v>
      </c>
      <c r="CU29" s="109">
        <v>137672</v>
      </c>
      <c r="CV29" s="109">
        <v>142038</v>
      </c>
      <c r="CW29" s="109">
        <v>137787</v>
      </c>
      <c r="CX29" s="109">
        <v>143647</v>
      </c>
      <c r="CY29" s="109">
        <v>148538</v>
      </c>
    </row>
    <row r="30" spans="1:103" ht="20.100000000000001" customHeight="1">
      <c r="BA30" s="57" t="s">
        <v>122</v>
      </c>
      <c r="BB30" s="60">
        <v>58963.954051318164</v>
      </c>
      <c r="BC30" s="60">
        <v>58390.461997019367</v>
      </c>
      <c r="BD30" s="60">
        <v>61185.921020358102</v>
      </c>
      <c r="BE30" s="61">
        <v>3569.8965192850419</v>
      </c>
      <c r="BF30" s="61">
        <v>2572.7517366543589</v>
      </c>
      <c r="BG30" s="61">
        <v>2228.4885594585885</v>
      </c>
      <c r="BH30" s="61">
        <v>1509.2580519358839</v>
      </c>
      <c r="BI30" s="61">
        <v>1031.8622500504948</v>
      </c>
      <c r="BJ30" s="61">
        <v>1280.6456101294002</v>
      </c>
      <c r="BK30" s="61">
        <v>1282.827755648223</v>
      </c>
      <c r="BL30" s="61">
        <v>11086.728531116767</v>
      </c>
      <c r="BM30" s="61">
        <v>5922.1984084554651</v>
      </c>
      <c r="BN30" s="61">
        <v>18022.604296737427</v>
      </c>
      <c r="BO30" s="61">
        <v>13896.347363328496</v>
      </c>
      <c r="BP30" s="61">
        <v>21624.446835763305</v>
      </c>
      <c r="BQ30" s="61">
        <v>5342.4905660377362</v>
      </c>
      <c r="BR30" s="61">
        <v>7699.3131826571062</v>
      </c>
      <c r="BS30" s="61">
        <v>4864.2026256738282</v>
      </c>
      <c r="BT30" s="61">
        <v>520.60951816453041</v>
      </c>
      <c r="BU30" s="61">
        <v>0</v>
      </c>
      <c r="BV30" s="61">
        <v>792.6720513669834</v>
      </c>
      <c r="BW30" s="61">
        <v>0</v>
      </c>
      <c r="BX30" s="61">
        <v>693.28135527962274</v>
      </c>
      <c r="BY30" s="61">
        <v>0</v>
      </c>
      <c r="BZ30" s="61">
        <v>0</v>
      </c>
      <c r="CA30" s="61">
        <v>0</v>
      </c>
      <c r="CB30" s="61">
        <v>0</v>
      </c>
      <c r="CC30" s="61">
        <v>41318.274776072969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109">
        <v>0</v>
      </c>
      <c r="CN30" s="109">
        <v>0</v>
      </c>
      <c r="CO30" s="109">
        <v>0</v>
      </c>
      <c r="CP30" s="109">
        <v>0</v>
      </c>
      <c r="CQ30" s="109">
        <v>0</v>
      </c>
      <c r="CR30" s="109">
        <v>120688.49925982649</v>
      </c>
      <c r="CS30" s="109">
        <v>0</v>
      </c>
      <c r="CT30" s="109">
        <v>18547</v>
      </c>
      <c r="CU30" s="109">
        <v>7712</v>
      </c>
      <c r="CV30" s="109">
        <v>6486</v>
      </c>
      <c r="CW30" s="109">
        <v>17104</v>
      </c>
      <c r="CX30" s="109">
        <v>6578</v>
      </c>
      <c r="CY30" s="109">
        <v>33</v>
      </c>
    </row>
    <row r="31" spans="1:103" ht="20.100000000000001" customHeight="1" thickBot="1">
      <c r="A31" s="155" t="s">
        <v>123</v>
      </c>
      <c r="B31" s="155"/>
      <c r="C31" s="155"/>
      <c r="D31" s="155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5"/>
      <c r="R31" s="155"/>
      <c r="S31" s="155"/>
      <c r="T31" s="155"/>
      <c r="U31" s="155"/>
      <c r="V31" s="167"/>
      <c r="W31" s="167"/>
      <c r="X31" s="167"/>
      <c r="Y31" s="167"/>
      <c r="Z31" s="167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BA31" s="62" t="s">
        <v>108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205887.07417127423</v>
      </c>
      <c r="BW31" s="61">
        <v>260448.59813084113</v>
      </c>
      <c r="BX31" s="61">
        <v>251038.35787852539</v>
      </c>
      <c r="BY31" s="61">
        <v>74813.270834133786</v>
      </c>
      <c r="BZ31" s="61">
        <v>89999.231567218652</v>
      </c>
      <c r="CA31" s="61">
        <v>90690.8000643915</v>
      </c>
      <c r="CB31" s="61">
        <v>75960.085531004981</v>
      </c>
      <c r="CC31" s="61">
        <v>77497.215496726989</v>
      </c>
      <c r="CD31" s="61">
        <v>73163.332327410215</v>
      </c>
      <c r="CE31" s="61">
        <v>63243.923052157115</v>
      </c>
      <c r="CF31" s="61">
        <v>84880.127863612157</v>
      </c>
      <c r="CG31" s="61">
        <v>87352</v>
      </c>
      <c r="CH31" s="61">
        <v>188350</v>
      </c>
      <c r="CI31" s="61">
        <v>177750</v>
      </c>
      <c r="CJ31" s="61">
        <v>196273.38552087522</v>
      </c>
      <c r="CK31" s="109">
        <v>275372</v>
      </c>
      <c r="CL31" s="109">
        <v>286803</v>
      </c>
      <c r="CM31" s="109">
        <v>337961.68352398119</v>
      </c>
      <c r="CN31" s="109">
        <v>378235</v>
      </c>
      <c r="CO31" s="109">
        <v>400044.63987387263</v>
      </c>
      <c r="CP31" s="109">
        <v>390060.44102592394</v>
      </c>
      <c r="CQ31" s="109">
        <v>433774.14718421432</v>
      </c>
      <c r="CR31" s="109">
        <v>439495.89789000002</v>
      </c>
      <c r="CS31" s="109">
        <v>358319</v>
      </c>
      <c r="CT31" s="109">
        <v>427853</v>
      </c>
      <c r="CU31" s="109">
        <v>426169</v>
      </c>
      <c r="CV31" s="109">
        <v>422976</v>
      </c>
      <c r="CW31" s="109">
        <v>63658</v>
      </c>
      <c r="CX31" s="109">
        <v>55004</v>
      </c>
      <c r="CY31" s="109">
        <v>50708</v>
      </c>
    </row>
    <row r="32" spans="1:103" ht="20.100000000000001" customHeight="1">
      <c r="A32" s="32" t="s">
        <v>124</v>
      </c>
      <c r="B32" s="32"/>
      <c r="C32" s="32"/>
      <c r="D32" s="3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32"/>
      <c r="R32" s="32"/>
      <c r="S32" s="32"/>
      <c r="T32" s="32"/>
      <c r="U32" s="32"/>
      <c r="V32" s="47"/>
      <c r="W32" s="47"/>
      <c r="X32" s="47"/>
      <c r="Y32" s="47"/>
      <c r="Z32" s="47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BA32" s="62" t="s">
        <v>106</v>
      </c>
      <c r="CM32" s="109">
        <v>150000</v>
      </c>
      <c r="CN32" s="109">
        <v>150000</v>
      </c>
      <c r="CO32" s="109">
        <v>162502</v>
      </c>
      <c r="CP32" s="109">
        <v>0</v>
      </c>
      <c r="CQ32" s="109">
        <v>0</v>
      </c>
      <c r="CR32" s="109">
        <v>19321.589510000627</v>
      </c>
      <c r="CS32" s="109">
        <v>0</v>
      </c>
      <c r="CT32" s="109">
        <v>0</v>
      </c>
      <c r="CU32" s="109">
        <v>0</v>
      </c>
      <c r="CV32" s="109">
        <v>0</v>
      </c>
      <c r="CW32" s="109">
        <v>0</v>
      </c>
      <c r="CX32" s="109">
        <v>0</v>
      </c>
      <c r="CY32" s="109">
        <v>0</v>
      </c>
    </row>
    <row r="33" spans="1:103" ht="20.100000000000001" customHeight="1" thickBot="1">
      <c r="A33" s="57" t="s">
        <v>107</v>
      </c>
      <c r="B33" s="58">
        <v>2079.1338409400996</v>
      </c>
      <c r="C33" s="58">
        <v>2173.5988800072255</v>
      </c>
      <c r="D33" s="58">
        <v>2034.993050445589</v>
      </c>
      <c r="E33" s="69">
        <v>4739.7930385700847</v>
      </c>
      <c r="F33" s="59">
        <v>0</v>
      </c>
      <c r="G33" s="69">
        <v>4059.2974540766995</v>
      </c>
      <c r="H33" s="69">
        <v>3189.6442733787439</v>
      </c>
      <c r="I33" s="69">
        <v>3180.165623106443</v>
      </c>
      <c r="J33" s="69">
        <v>3505.2177542785585</v>
      </c>
      <c r="K33" s="69">
        <v>3919.9054583929787</v>
      </c>
      <c r="L33" s="69">
        <v>3863.5169156212614</v>
      </c>
      <c r="M33" s="69">
        <v>3870.1644391188124</v>
      </c>
      <c r="N33" s="59">
        <v>4032.9139051644097</v>
      </c>
      <c r="O33" s="59">
        <v>3808.6598935655538</v>
      </c>
      <c r="P33" s="59">
        <v>4014.1778930389946</v>
      </c>
      <c r="Q33" s="109">
        <v>3802.566037735849</v>
      </c>
      <c r="R33" s="109">
        <v>3811.0798462981452</v>
      </c>
      <c r="S33" s="109">
        <v>3248.8199943256559</v>
      </c>
      <c r="T33" s="109">
        <v>3110.8147489565581</v>
      </c>
      <c r="U33" s="109">
        <v>3245.3880243223743</v>
      </c>
      <c r="V33" s="59">
        <v>3209.4172803016791</v>
      </c>
      <c r="W33" s="59">
        <v>3269.9896157840085</v>
      </c>
      <c r="X33" s="59">
        <v>3031.0905765713737</v>
      </c>
      <c r="Y33" s="59">
        <v>2419.7948284473814</v>
      </c>
      <c r="Z33" s="59">
        <v>2419.7948284473814</v>
      </c>
      <c r="AA33" s="109">
        <v>2534.6104314230524</v>
      </c>
      <c r="AB33" s="109">
        <v>2244.4761225944403</v>
      </c>
      <c r="AC33" s="109">
        <v>2425.1490566037733</v>
      </c>
      <c r="AD33" s="109">
        <v>2236.0293611204797</v>
      </c>
      <c r="AE33" s="109">
        <v>2534.6104314230524</v>
      </c>
      <c r="AF33" s="109">
        <v>2314.078628772987</v>
      </c>
      <c r="AG33" s="109">
        <v>0</v>
      </c>
      <c r="AH33" s="109">
        <v>0</v>
      </c>
      <c r="AI33" s="109">
        <v>0</v>
      </c>
      <c r="AJ33" s="109">
        <v>0</v>
      </c>
      <c r="AK33" s="109">
        <v>0</v>
      </c>
      <c r="AL33" s="109">
        <v>0</v>
      </c>
      <c r="AM33" s="109">
        <v>0</v>
      </c>
      <c r="AN33" s="109">
        <v>46</v>
      </c>
      <c r="AO33" s="109">
        <v>46</v>
      </c>
      <c r="AP33" s="109">
        <v>0</v>
      </c>
      <c r="AQ33" s="109">
        <v>0</v>
      </c>
      <c r="AR33" s="109">
        <v>0</v>
      </c>
      <c r="AS33" s="109">
        <v>142</v>
      </c>
      <c r="AT33" s="109">
        <v>138</v>
      </c>
      <c r="AU33" s="109">
        <v>153</v>
      </c>
      <c r="AV33" s="109">
        <v>152</v>
      </c>
      <c r="AW33" s="109">
        <v>91</v>
      </c>
      <c r="AX33" s="109">
        <v>72</v>
      </c>
      <c r="AY33" s="109">
        <v>93</v>
      </c>
      <c r="BA33" s="158" t="s">
        <v>110</v>
      </c>
      <c r="BB33" s="165">
        <v>0</v>
      </c>
      <c r="BC33" s="165">
        <v>0</v>
      </c>
      <c r="BD33" s="165">
        <v>0</v>
      </c>
      <c r="BE33" s="165">
        <v>809.78363123236113</v>
      </c>
      <c r="BF33" s="165">
        <v>812.94198635709358</v>
      </c>
      <c r="BG33" s="165">
        <v>902.03029326458261</v>
      </c>
      <c r="BH33" s="165">
        <v>904.94282803702106</v>
      </c>
      <c r="BI33" s="165">
        <v>85.841244193092308</v>
      </c>
      <c r="BJ33" s="165">
        <v>83.484068456936129</v>
      </c>
      <c r="BK33" s="165">
        <v>81.431229566191533</v>
      </c>
      <c r="BL33" s="165">
        <v>78.515156267214692</v>
      </c>
      <c r="BM33" s="165">
        <v>0</v>
      </c>
      <c r="BN33" s="165">
        <v>0</v>
      </c>
      <c r="BO33" s="165">
        <v>0</v>
      </c>
      <c r="BP33" s="165">
        <v>0</v>
      </c>
      <c r="BQ33" s="165">
        <v>0</v>
      </c>
      <c r="BR33" s="165">
        <v>0</v>
      </c>
      <c r="BS33" s="165">
        <v>0</v>
      </c>
      <c r="BT33" s="165">
        <v>0</v>
      </c>
      <c r="BU33" s="165">
        <v>165.92806348551994</v>
      </c>
      <c r="BV33" s="165">
        <v>163.83417840854077</v>
      </c>
      <c r="BW33" s="165">
        <v>556.85358255451717</v>
      </c>
      <c r="BX33" s="165">
        <v>437.72259120223316</v>
      </c>
      <c r="BY33" s="165">
        <v>323.70230914050791</v>
      </c>
      <c r="BZ33" s="165">
        <v>327.16025665654894</v>
      </c>
      <c r="CA33" s="165">
        <v>342.28106889890535</v>
      </c>
      <c r="CB33" s="165">
        <v>303.27868852459017</v>
      </c>
      <c r="CC33" s="165">
        <v>184.87840007701197</v>
      </c>
      <c r="CD33" s="165">
        <v>170.41520955745301</v>
      </c>
      <c r="CE33" s="165">
        <v>263.60270444301352</v>
      </c>
      <c r="CF33" s="165">
        <v>289.16282402219241</v>
      </c>
      <c r="CG33" s="165">
        <v>64.975858417245533</v>
      </c>
      <c r="CH33" s="165">
        <v>333</v>
      </c>
      <c r="CI33" s="165">
        <v>295</v>
      </c>
      <c r="CJ33" s="165">
        <v>332.93257500092477</v>
      </c>
      <c r="CK33" s="165">
        <v>373</v>
      </c>
      <c r="CL33" s="165">
        <v>7064</v>
      </c>
      <c r="CM33" s="165">
        <v>1386.3296812749004</v>
      </c>
      <c r="CN33" s="165">
        <v>6101</v>
      </c>
      <c r="CO33" s="315">
        <v>7592</v>
      </c>
      <c r="CP33" s="165">
        <v>7688.8856545548051</v>
      </c>
      <c r="CQ33" s="165">
        <v>7656.3465599995488</v>
      </c>
      <c r="CR33" s="165">
        <v>0</v>
      </c>
      <c r="CS33" s="165">
        <v>21468</v>
      </c>
      <c r="CT33" s="165">
        <v>21498</v>
      </c>
      <c r="CU33" s="315">
        <v>25137</v>
      </c>
      <c r="CV33" s="315">
        <v>31663</v>
      </c>
      <c r="CW33" s="315">
        <v>31362</v>
      </c>
      <c r="CX33" s="315">
        <v>33248</v>
      </c>
      <c r="CY33" s="315">
        <v>35201</v>
      </c>
    </row>
    <row r="34" spans="1:103" ht="20.100000000000001" customHeight="1">
      <c r="A34" s="57" t="s">
        <v>126</v>
      </c>
      <c r="B34" s="58">
        <v>0</v>
      </c>
      <c r="C34" s="58">
        <v>0</v>
      </c>
      <c r="D34" s="58">
        <v>0</v>
      </c>
      <c r="E34" s="59">
        <v>4012.7939793038568</v>
      </c>
      <c r="F34" s="59">
        <v>1594.5929031854307</v>
      </c>
      <c r="G34" s="59">
        <v>3491.4598775378663</v>
      </c>
      <c r="H34" s="59">
        <v>2808.586740875643</v>
      </c>
      <c r="I34" s="59">
        <v>2927.1864269844477</v>
      </c>
      <c r="J34" s="59">
        <v>3855.0160011131206</v>
      </c>
      <c r="K34" s="59">
        <v>3728.7186655878509</v>
      </c>
      <c r="L34" s="59">
        <v>3793.456620556391</v>
      </c>
      <c r="M34" s="59">
        <v>3992.2140688849972</v>
      </c>
      <c r="N34" s="59">
        <v>4745.9417923350302</v>
      </c>
      <c r="O34" s="59">
        <v>4533.7445573294635</v>
      </c>
      <c r="P34" s="59">
        <v>5004.3066131123687</v>
      </c>
      <c r="Q34" s="109">
        <v>4833.2075471698117</v>
      </c>
      <c r="R34" s="109">
        <v>4981.3923935735684</v>
      </c>
      <c r="S34" s="109">
        <v>4286.45121353589</v>
      </c>
      <c r="T34" s="109">
        <v>4309.1057271986365</v>
      </c>
      <c r="U34" s="109">
        <v>5055.3952385860039</v>
      </c>
      <c r="V34" s="59">
        <v>6326.0886182383365</v>
      </c>
      <c r="W34" s="59">
        <v>6511.9418483904465</v>
      </c>
      <c r="X34" s="59">
        <v>6596.159399364713</v>
      </c>
      <c r="Y34" s="59">
        <v>5234.756214700119</v>
      </c>
      <c r="Z34" s="59">
        <v>5381.3347677411921</v>
      </c>
      <c r="AA34" s="109">
        <v>5632.8477141017393</v>
      </c>
      <c r="AB34" s="109">
        <v>3787.59800427655</v>
      </c>
      <c r="AC34" s="109">
        <v>3911.5554639969196</v>
      </c>
      <c r="AD34" s="109">
        <v>2705.8739992544333</v>
      </c>
      <c r="AE34" s="109">
        <v>3063.4256278171283</v>
      </c>
      <c r="AF34" s="109">
        <v>2796.8322965847924</v>
      </c>
      <c r="AG34" s="109">
        <v>1908</v>
      </c>
      <c r="AH34" s="109">
        <v>2270</v>
      </c>
      <c r="AI34" s="109">
        <v>2038</v>
      </c>
      <c r="AJ34" s="109">
        <v>1947.1042758461881</v>
      </c>
      <c r="AK34" s="109">
        <v>2015.8655515842227</v>
      </c>
      <c r="AL34" s="109">
        <v>6403</v>
      </c>
      <c r="AM34" s="109">
        <v>6742.4225470517913</v>
      </c>
      <c r="AN34" s="109">
        <v>6321</v>
      </c>
      <c r="AO34" s="109">
        <v>6191</v>
      </c>
      <c r="AP34" s="109">
        <v>5992.0698193779263</v>
      </c>
      <c r="AQ34" s="109">
        <v>5384.1660309516274</v>
      </c>
      <c r="AR34" s="109">
        <v>5477.0835197063188</v>
      </c>
      <c r="AS34" s="109">
        <v>27628</v>
      </c>
      <c r="AT34" s="109">
        <v>29707</v>
      </c>
      <c r="AU34" s="109">
        <v>32308</v>
      </c>
      <c r="AV34" s="109">
        <v>34369</v>
      </c>
      <c r="AW34" s="109">
        <v>34399</v>
      </c>
      <c r="AX34" s="109">
        <v>37523</v>
      </c>
      <c r="AY34" s="109">
        <v>39071</v>
      </c>
      <c r="BA34" s="65" t="s">
        <v>125</v>
      </c>
      <c r="BB34" s="105">
        <f t="shared" ref="BB34:CM34" si="14">SUM(BB24:BB33)</f>
        <v>109198.97891818141</v>
      </c>
      <c r="BC34" s="105">
        <f t="shared" si="14"/>
        <v>95702.027728853354</v>
      </c>
      <c r="BD34" s="105">
        <f t="shared" si="14"/>
        <v>96069.822581963846</v>
      </c>
      <c r="BE34" s="105">
        <f t="shared" si="14"/>
        <v>106789.84007525869</v>
      </c>
      <c r="BF34" s="105">
        <f t="shared" si="14"/>
        <v>95508.792790537569</v>
      </c>
      <c r="BG34" s="105">
        <f t="shared" si="14"/>
        <v>100687.07702223654</v>
      </c>
      <c r="BH34" s="105">
        <f t="shared" si="14"/>
        <v>93499.299251753822</v>
      </c>
      <c r="BI34" s="105">
        <f t="shared" si="14"/>
        <v>44816.703696222983</v>
      </c>
      <c r="BJ34" s="105">
        <f t="shared" si="14"/>
        <v>46415.194100459164</v>
      </c>
      <c r="BK34" s="105">
        <f t="shared" si="14"/>
        <v>46424.77161509727</v>
      </c>
      <c r="BL34" s="105">
        <f t="shared" si="14"/>
        <v>55589.105397191197</v>
      </c>
      <c r="BM34" s="105">
        <f t="shared" si="14"/>
        <v>51800.929990403572</v>
      </c>
      <c r="BN34" s="105">
        <f t="shared" si="14"/>
        <v>77826.337527615018</v>
      </c>
      <c r="BO34" s="105">
        <f t="shared" si="14"/>
        <v>56519.714562167392</v>
      </c>
      <c r="BP34" s="105">
        <f t="shared" si="14"/>
        <v>66330.428465366989</v>
      </c>
      <c r="BQ34" s="105">
        <f t="shared" si="14"/>
        <v>45821.283018867922</v>
      </c>
      <c r="BR34" s="105">
        <f t="shared" si="14"/>
        <v>48347.705061874069</v>
      </c>
      <c r="BS34" s="105">
        <f t="shared" si="14"/>
        <v>43763.895695236119</v>
      </c>
      <c r="BT34" s="105">
        <f t="shared" si="14"/>
        <v>37754.562742337795</v>
      </c>
      <c r="BU34" s="105">
        <f t="shared" si="14"/>
        <v>42002.47346181592</v>
      </c>
      <c r="BV34" s="105">
        <f t="shared" si="14"/>
        <v>550900.96058297448</v>
      </c>
      <c r="BW34" s="105">
        <f t="shared" si="14"/>
        <v>599014.01869158878</v>
      </c>
      <c r="BX34" s="105">
        <f t="shared" si="14"/>
        <v>516483.29964385409</v>
      </c>
      <c r="BY34" s="105">
        <f t="shared" si="14"/>
        <v>317913.51289045991</v>
      </c>
      <c r="BZ34" s="105">
        <f t="shared" si="14"/>
        <v>403303.10831060051</v>
      </c>
      <c r="CA34" s="105">
        <f t="shared" si="14"/>
        <v>437014.44784288481</v>
      </c>
      <c r="CB34" s="105">
        <f t="shared" si="14"/>
        <v>438768.35352815402</v>
      </c>
      <c r="CC34" s="105">
        <f t="shared" si="14"/>
        <v>334192.02245768846</v>
      </c>
      <c r="CD34" s="105">
        <f t="shared" si="14"/>
        <v>293338.54046473646</v>
      </c>
      <c r="CE34" s="105">
        <f t="shared" si="14"/>
        <v>840640.89665164205</v>
      </c>
      <c r="CF34" s="105">
        <f t="shared" si="14"/>
        <v>832783.89326550905</v>
      </c>
      <c r="CG34" s="105">
        <f t="shared" si="14"/>
        <v>809097.7723870551</v>
      </c>
      <c r="CH34" s="105">
        <f>SUM(CH24:CH33)</f>
        <v>1104947.7688500001</v>
      </c>
      <c r="CI34" s="105">
        <f t="shared" si="14"/>
        <v>1364620</v>
      </c>
      <c r="CJ34" s="105">
        <f t="shared" si="14"/>
        <v>1712696.9705414742</v>
      </c>
      <c r="CK34" s="105">
        <f t="shared" si="14"/>
        <v>1728587.6367000001</v>
      </c>
      <c r="CL34" s="105">
        <f t="shared" si="14"/>
        <v>2142916</v>
      </c>
      <c r="CM34" s="105">
        <f t="shared" si="14"/>
        <v>2295556.0083168391</v>
      </c>
      <c r="CN34" s="105">
        <f t="shared" ref="CN34:CP34" si="15">SUM(CN24:CN33)</f>
        <v>2349008</v>
      </c>
      <c r="CO34" s="105">
        <f t="shared" si="15"/>
        <v>2265681.7883538725</v>
      </c>
      <c r="CP34" s="105">
        <f t="shared" si="15"/>
        <v>2346261.7492304789</v>
      </c>
      <c r="CQ34" s="105">
        <f t="shared" ref="CQ34:CR34" si="16">SUM(CQ24:CQ33)</f>
        <v>2591292.6130742142</v>
      </c>
      <c r="CR34" s="105">
        <f t="shared" si="16"/>
        <v>3982614.3605098277</v>
      </c>
      <c r="CS34" s="105">
        <f t="shared" ref="CS34:CT34" si="17">SUM(CS24:CS33)</f>
        <v>4220325</v>
      </c>
      <c r="CT34" s="105">
        <f t="shared" si="17"/>
        <v>4456411</v>
      </c>
      <c r="CU34" s="333">
        <f>SUM(CU24:CU33)</f>
        <v>4280273</v>
      </c>
      <c r="CV34" s="333">
        <f>SUM(CV24:CV33)</f>
        <v>5189653</v>
      </c>
      <c r="CW34" s="333">
        <f>SUM(CW24:CW33)</f>
        <v>6023176</v>
      </c>
      <c r="CX34" s="333">
        <f>SUM(CX24:CX33)</f>
        <v>6009047</v>
      </c>
      <c r="CY34" s="333">
        <f>SUM(CY24:CY33)</f>
        <v>5258155</v>
      </c>
    </row>
    <row r="35" spans="1:103" ht="20.100000000000001" customHeight="1">
      <c r="A35" s="57" t="s">
        <v>128</v>
      </c>
      <c r="B35" s="58">
        <v>0</v>
      </c>
      <c r="C35" s="58">
        <v>0</v>
      </c>
      <c r="D35" s="58">
        <v>0</v>
      </c>
      <c r="E35" s="59">
        <v>0</v>
      </c>
      <c r="F35" s="59">
        <v>0</v>
      </c>
      <c r="G35" s="59">
        <v>0</v>
      </c>
      <c r="H35" s="59">
        <v>1977.2609252741133</v>
      </c>
      <c r="I35" s="59">
        <v>5070.6927893354878</v>
      </c>
      <c r="J35" s="59">
        <v>5570.8918881313484</v>
      </c>
      <c r="K35" s="59">
        <v>6184.1764249704356</v>
      </c>
      <c r="L35" s="59">
        <v>5608.300506088397</v>
      </c>
      <c r="M35" s="59">
        <v>13088.937783513073</v>
      </c>
      <c r="N35" s="59">
        <v>13174.526942656805</v>
      </c>
      <c r="O35" s="59">
        <v>16126.632801161104</v>
      </c>
      <c r="P35" s="59">
        <v>16442.634988456306</v>
      </c>
      <c r="Q35" s="109">
        <v>15598.188679245282</v>
      </c>
      <c r="R35" s="109">
        <v>16474.236785573812</v>
      </c>
      <c r="S35" s="109">
        <v>14802.30068865905</v>
      </c>
      <c r="T35" s="109">
        <v>8924.2053789731053</v>
      </c>
      <c r="U35" s="109">
        <v>6624.4975780686382</v>
      </c>
      <c r="V35" s="59">
        <v>6546.742426172701</v>
      </c>
      <c r="W35" s="59">
        <v>7924.1952232606445</v>
      </c>
      <c r="X35" s="59">
        <v>4862.8356915968816</v>
      </c>
      <c r="Y35" s="59">
        <v>6221.2317977484918</v>
      </c>
      <c r="Z35" s="59">
        <v>6220.8475813578207</v>
      </c>
      <c r="AA35" s="109">
        <v>6989.0936896329686</v>
      </c>
      <c r="AB35" s="109">
        <v>6141.4825374198144</v>
      </c>
      <c r="AC35" s="109">
        <v>6324.2706353484782</v>
      </c>
      <c r="AD35" s="109">
        <v>5716.542701436103</v>
      </c>
      <c r="AE35" s="109">
        <v>1961.7273019961367</v>
      </c>
      <c r="AF35" s="109">
        <v>1633.4396248599196</v>
      </c>
      <c r="AG35" s="109">
        <v>1534</v>
      </c>
      <c r="AH35" s="109">
        <v>6824</v>
      </c>
      <c r="AI35" s="109">
        <v>8481</v>
      </c>
      <c r="AJ35" s="109">
        <v>7932.6145550190495</v>
      </c>
      <c r="AK35" s="109">
        <v>5159.9291599999997</v>
      </c>
      <c r="AL35" s="109">
        <v>2508</v>
      </c>
      <c r="AM35" s="109">
        <v>1369.0645800000002</v>
      </c>
      <c r="AN35" s="109">
        <v>955</v>
      </c>
      <c r="AO35" s="109">
        <v>872.71792000000005</v>
      </c>
      <c r="AP35" s="109">
        <v>479.62542000000002</v>
      </c>
      <c r="AQ35" s="109">
        <v>2146.9345699999999</v>
      </c>
      <c r="AR35" s="109">
        <v>12852.279460000002</v>
      </c>
      <c r="AS35" s="109">
        <v>29918</v>
      </c>
      <c r="AT35" s="109">
        <v>60372</v>
      </c>
      <c r="AU35" s="109">
        <v>21216</v>
      </c>
      <c r="AV35" s="109">
        <v>19348</v>
      </c>
      <c r="AW35" s="109">
        <v>20709</v>
      </c>
      <c r="AX35" s="109">
        <v>28583</v>
      </c>
      <c r="AY35" s="109">
        <v>40007</v>
      </c>
      <c r="BA35" s="65" t="s">
        <v>127</v>
      </c>
      <c r="BB35" s="107">
        <f>+'BS (R$)'!BB37/VLOOKUP('BS (US$)'!BB$7,Fx!$J$3:$L$35,3,0)</f>
        <v>0</v>
      </c>
      <c r="BC35" s="107">
        <f>+'BS (R$)'!BC37/VLOOKUP('BS (US$)'!BC$7,Fx!$J$3:$L$35,3,0)</f>
        <v>0</v>
      </c>
      <c r="BD35" s="107">
        <f>+'BS (R$)'!BD37/VLOOKUP('BS (US$)'!BD$7,Fx!$J$3:$L$35,3,0)</f>
        <v>0</v>
      </c>
      <c r="BE35" s="102">
        <f>+'BS (R$)'!BE37/VLOOKUP('BS (US$)'!BE$7,Fx!$J$3:$L$35,3,0)</f>
        <v>0</v>
      </c>
      <c r="BF35" s="102">
        <f>+'BS (R$)'!BF37/VLOOKUP('BS (US$)'!BF$7,Fx!$J$3:$L$35,3,0)</f>
        <v>0</v>
      </c>
      <c r="BG35" s="102">
        <f>+'BS (R$)'!BG37/VLOOKUP('BS (US$)'!BG$7,Fx!$J$3:$L$35,3,0)</f>
        <v>0</v>
      </c>
      <c r="BH35" s="102">
        <f>+'BS (R$)'!BH37/VLOOKUP('BS (US$)'!BH$7,Fx!$J$3:$L$35,3,0)</f>
        <v>0</v>
      </c>
      <c r="BI35" s="102">
        <f>+'BS (R$)'!BI37/VLOOKUP('BS (US$)'!BI$7,Fx!$J$3:$L$35,3,0)</f>
        <v>0</v>
      </c>
      <c r="BJ35" s="102">
        <f>+'BS (R$)'!BJ37/VLOOKUP('BS (US$)'!BJ$7,Fx!$J$3:$L$35,3,0)</f>
        <v>0</v>
      </c>
      <c r="BK35" s="102">
        <f>+'BS (R$)'!BK37/VLOOKUP('BS (US$)'!BK$7,Fx!$J$3:$L$35,3,0)</f>
        <v>0</v>
      </c>
      <c r="BL35" s="102">
        <f>+'BS (R$)'!BL37/VLOOKUP('BS (US$)'!BL$7,Fx!$J$3:$L$35,3,0)</f>
        <v>0</v>
      </c>
      <c r="BM35" s="102">
        <f>+'BS (R$)'!BM37/VLOOKUP('BS (US$)'!BM$7,Fx!$J$3:$L$35,3,0)</f>
        <v>0</v>
      </c>
      <c r="BN35" s="102">
        <f>+'BS (R$)'!BN37/VLOOKUP('BS (US$)'!BN$7,Fx!$J$3:$L$35,3,0)</f>
        <v>0</v>
      </c>
      <c r="BO35" s="102">
        <f>+'BS (R$)'!BO37/VLOOKUP('BS (US$)'!BO$7,Fx!$J$3:$L$35,3,0)</f>
        <v>0</v>
      </c>
      <c r="BP35" s="102">
        <f>+'BS (R$)'!BP37/VLOOKUP('BS (US$)'!BP$7,Fx!$J$3:$L$35,3,0)</f>
        <v>0</v>
      </c>
      <c r="BQ35" s="102">
        <f>+'BS (R$)'!BQ37/VLOOKUP('BS (US$)'!BQ$7,Fx!$J$3:$L$35,3,0)</f>
        <v>0</v>
      </c>
      <c r="BR35" s="102">
        <f>+'BS (R$)'!BR37/VLOOKUP('BS (US$)'!BR$7,Fx!$J$3:$L$35,3,0)</f>
        <v>0</v>
      </c>
      <c r="BS35" s="102">
        <f>+'BS (R$)'!BS37/VLOOKUP('BS (US$)'!BS$7,Fx!$J$3:$L$35,3,0)</f>
        <v>0</v>
      </c>
      <c r="BT35" s="102">
        <f>+'BS (R$)'!BT37/VLOOKUP('BS (US$)'!BT$7,Fx!$J$3:$L$35,3,0)</f>
        <v>0</v>
      </c>
      <c r="BU35" s="102">
        <f>+'BS (R$)'!BU37/VLOOKUP('BS (US$)'!BU$7,Fx!$J$3:$L$35,3,0)</f>
        <v>0</v>
      </c>
      <c r="BV35" s="102">
        <f>+'BS (R$)'!BV37/VLOOKUP('BS (US$)'!BV$7,Fx!$J$3:$L$35,3,0)</f>
        <v>212.24552195072235</v>
      </c>
      <c r="BW35" s="102">
        <f>+'BS (R$)'!BW37/VLOOKUP('BS (US$)'!BW$7,Fx!$J$3:$L$35,3,0)</f>
        <v>301.40186915887853</v>
      </c>
      <c r="BX35" s="102">
        <f>+'BS (R$)'!BX37/VLOOKUP('BS (US$)'!BX$7,Fx!$J$3:$L$35,3,0)</f>
        <v>365.53084993743386</v>
      </c>
      <c r="BY35" s="102">
        <f>+'BS (R$)'!BY37/VLOOKUP('BS (US$)'!BY$7,Fx!$J$3:$L$35,3,0)</f>
        <v>145.81012025973027</v>
      </c>
      <c r="BZ35" s="102">
        <v>188.07392323356515</v>
      </c>
      <c r="CA35" s="102">
        <v>199.81487443657437</v>
      </c>
      <c r="CB35" s="102">
        <v>183.71347113328582</v>
      </c>
      <c r="CC35" s="102">
        <v>163.52078593971902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02">
        <v>0</v>
      </c>
      <c r="CO35" s="102">
        <v>0</v>
      </c>
      <c r="CP35" s="102">
        <v>0</v>
      </c>
      <c r="CQ35" s="102">
        <v>0</v>
      </c>
      <c r="CR35" s="102">
        <v>0</v>
      </c>
      <c r="CS35" s="102">
        <v>0</v>
      </c>
      <c r="CT35" s="102">
        <v>0</v>
      </c>
      <c r="CU35" s="330">
        <v>0</v>
      </c>
      <c r="CV35" s="330">
        <v>0</v>
      </c>
      <c r="CW35" s="330">
        <v>0</v>
      </c>
      <c r="CX35" s="330">
        <v>0</v>
      </c>
      <c r="CY35" s="330">
        <v>0</v>
      </c>
    </row>
    <row r="36" spans="1:103" ht="20.100000000000001" customHeight="1">
      <c r="A36" s="57" t="s">
        <v>129</v>
      </c>
      <c r="B36" s="58">
        <v>0</v>
      </c>
      <c r="C36" s="58">
        <v>0</v>
      </c>
      <c r="D36" s="58">
        <v>0</v>
      </c>
      <c r="E36" s="59">
        <v>0</v>
      </c>
      <c r="F36" s="59">
        <v>0</v>
      </c>
      <c r="G36" s="59">
        <v>0</v>
      </c>
      <c r="H36" s="59">
        <v>408.98483198703502</v>
      </c>
      <c r="I36" s="59">
        <v>309.53342759038577</v>
      </c>
      <c r="J36" s="59">
        <v>384.30499513009602</v>
      </c>
      <c r="K36" s="59">
        <v>384.84832576087638</v>
      </c>
      <c r="L36" s="59">
        <v>3326.0185535073465</v>
      </c>
      <c r="M36" s="59">
        <v>1776.6595170061757</v>
      </c>
      <c r="N36" s="59">
        <v>6864.5343066628247</v>
      </c>
      <c r="O36" s="59">
        <v>5716.3159167876147</v>
      </c>
      <c r="P36" s="59">
        <v>9483.8242733799289</v>
      </c>
      <c r="Q36" s="109">
        <v>0</v>
      </c>
      <c r="R36" s="109">
        <v>5573.8101721581797</v>
      </c>
      <c r="S36" s="109">
        <v>4563.2044569394648</v>
      </c>
      <c r="T36" s="109">
        <v>3071.7937319404309</v>
      </c>
      <c r="U36" s="109">
        <v>2921.776770071112</v>
      </c>
      <c r="V36" s="59">
        <v>3828.0632914617677</v>
      </c>
      <c r="W36" s="59">
        <v>3357.2170301142264</v>
      </c>
      <c r="X36" s="59">
        <v>3770.5746462604679</v>
      </c>
      <c r="Y36" s="59">
        <v>30797.441118838131</v>
      </c>
      <c r="Z36" s="59">
        <v>31422.176970069544</v>
      </c>
      <c r="AA36" s="109">
        <v>38061.413393432071</v>
      </c>
      <c r="AB36" s="109">
        <v>28950.106913756237</v>
      </c>
      <c r="AC36" s="109">
        <v>79813.071407179435</v>
      </c>
      <c r="AD36" s="109">
        <v>45976.248380167926</v>
      </c>
      <c r="AE36" s="109">
        <v>35822.400193174501</v>
      </c>
      <c r="AF36" s="109">
        <v>37157.422886851724</v>
      </c>
      <c r="AG36" s="109">
        <v>67858</v>
      </c>
      <c r="AH36" s="109">
        <v>138821</v>
      </c>
      <c r="AI36" s="109">
        <v>127274</v>
      </c>
      <c r="AJ36" s="109">
        <v>86583.008726505257</v>
      </c>
      <c r="AK36" s="109">
        <v>132640.14631038596</v>
      </c>
      <c r="AL36" s="109">
        <v>128447</v>
      </c>
      <c r="AM36" s="109">
        <v>154543.00148701432</v>
      </c>
      <c r="AN36" s="109">
        <v>84998</v>
      </c>
      <c r="AO36" s="109">
        <v>106703.11214117685</v>
      </c>
      <c r="AP36" s="109">
        <v>45413.507166618307</v>
      </c>
      <c r="AQ36" s="109">
        <v>-103066.33455185933</v>
      </c>
      <c r="AR36" s="109">
        <v>11380.8921054329</v>
      </c>
      <c r="AS36" s="109">
        <v>910227</v>
      </c>
      <c r="AT36" s="109">
        <v>1307596</v>
      </c>
      <c r="AU36" s="109">
        <v>1458777</v>
      </c>
      <c r="AV36" s="109">
        <v>1551248</v>
      </c>
      <c r="AW36" s="109">
        <v>1475932</v>
      </c>
      <c r="AX36" s="109">
        <v>1641312</v>
      </c>
      <c r="AY36" s="109">
        <v>1603590</v>
      </c>
      <c r="BA36" s="4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336"/>
      <c r="CV36" s="336"/>
      <c r="CW36" s="336"/>
      <c r="CX36" s="336"/>
      <c r="CY36" s="336"/>
    </row>
    <row r="37" spans="1:103" ht="20.100000000000001" customHeight="1" thickBot="1">
      <c r="A37" s="57" t="s">
        <v>131</v>
      </c>
      <c r="Z37" s="109">
        <v>0</v>
      </c>
      <c r="AA37" s="109">
        <v>0</v>
      </c>
      <c r="AB37" s="109">
        <v>0</v>
      </c>
      <c r="AC37" s="109">
        <v>0</v>
      </c>
      <c r="AD37" s="109">
        <v>0</v>
      </c>
      <c r="AE37" s="109">
        <v>0</v>
      </c>
      <c r="AF37" s="109">
        <v>0</v>
      </c>
      <c r="AG37" s="109">
        <v>0</v>
      </c>
      <c r="AH37" s="109">
        <v>0</v>
      </c>
      <c r="AI37" s="109">
        <v>0</v>
      </c>
      <c r="AJ37" s="109">
        <v>0</v>
      </c>
      <c r="AK37" s="109">
        <v>0</v>
      </c>
      <c r="AL37" s="109">
        <v>0</v>
      </c>
      <c r="AM37" s="109">
        <v>0</v>
      </c>
      <c r="AN37" s="109">
        <v>19134</v>
      </c>
      <c r="AO37" s="109">
        <v>16669</v>
      </c>
      <c r="AP37" s="109">
        <v>0</v>
      </c>
      <c r="AQ37" s="109">
        <v>0</v>
      </c>
      <c r="AR37" s="109">
        <v>0</v>
      </c>
      <c r="AS37" s="109">
        <v>0</v>
      </c>
      <c r="AT37" s="109">
        <v>0</v>
      </c>
      <c r="AU37" s="109">
        <v>0</v>
      </c>
      <c r="AV37" s="109">
        <v>0</v>
      </c>
      <c r="AW37" s="109">
        <v>0</v>
      </c>
      <c r="AX37" s="109">
        <v>0</v>
      </c>
      <c r="AY37" s="109">
        <v>0</v>
      </c>
      <c r="BA37" s="167" t="s">
        <v>130</v>
      </c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  <c r="CJ37" s="168"/>
      <c r="CK37" s="168"/>
      <c r="CL37" s="168"/>
      <c r="CM37" s="168"/>
      <c r="CN37" s="168"/>
      <c r="CO37" s="168"/>
      <c r="CP37" s="168"/>
      <c r="CQ37" s="168"/>
      <c r="CR37" s="168"/>
      <c r="CS37" s="168"/>
      <c r="CT37" s="168"/>
      <c r="CU37" s="318"/>
      <c r="CV37" s="318"/>
      <c r="CW37" s="318"/>
      <c r="CX37" s="318"/>
      <c r="CY37" s="318"/>
    </row>
    <row r="38" spans="1:103" ht="20.100000000000001" customHeight="1">
      <c r="A38" s="62" t="s">
        <v>133</v>
      </c>
      <c r="B38" s="63">
        <v>0</v>
      </c>
      <c r="C38" s="63">
        <v>0</v>
      </c>
      <c r="D38" s="63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64">
        <v>243116.67133793666</v>
      </c>
      <c r="W38" s="64">
        <v>238750.2596053998</v>
      </c>
      <c r="X38" s="64">
        <v>214385.64828183656</v>
      </c>
      <c r="Y38" s="64">
        <v>86845.775540784569</v>
      </c>
      <c r="Z38" s="59">
        <v>91584.039069043676</v>
      </c>
      <c r="AA38" s="109">
        <v>88316.16226658081</v>
      </c>
      <c r="AB38" s="109">
        <v>71255.34568781183</v>
      </c>
      <c r="AC38" s="109">
        <v>71204.522866769359</v>
      </c>
      <c r="AD38" s="109">
        <v>73408.481706992345</v>
      </c>
      <c r="AE38" s="109">
        <v>62611.276561493883</v>
      </c>
      <c r="AF38" s="109">
        <v>80726.581301783852</v>
      </c>
      <c r="AG38" s="109">
        <v>76313</v>
      </c>
      <c r="AH38" s="109">
        <v>182030</v>
      </c>
      <c r="AI38" s="109">
        <v>177211</v>
      </c>
      <c r="AJ38" s="109">
        <v>199582.5286508752</v>
      </c>
      <c r="AK38" s="109">
        <v>281920</v>
      </c>
      <c r="AL38" s="109">
        <v>301099</v>
      </c>
      <c r="AM38" s="109">
        <v>355823.65385999996</v>
      </c>
      <c r="AN38" s="109">
        <v>402033</v>
      </c>
      <c r="AO38" s="109">
        <v>422275.29741275229</v>
      </c>
      <c r="AP38" s="109">
        <v>410947.16344999999</v>
      </c>
      <c r="AQ38" s="109">
        <v>467673.39648455649</v>
      </c>
      <c r="AR38" s="109">
        <v>465739.09412000002</v>
      </c>
      <c r="AS38" s="109">
        <v>391010</v>
      </c>
      <c r="AT38" s="109">
        <v>459941</v>
      </c>
      <c r="AU38" s="109">
        <v>449504</v>
      </c>
      <c r="AV38" s="109">
        <v>439066</v>
      </c>
      <c r="AW38" s="109">
        <v>110933</v>
      </c>
      <c r="AX38" s="109">
        <v>137465</v>
      </c>
      <c r="AY38" s="109">
        <v>118429</v>
      </c>
      <c r="BA38" s="57" t="s">
        <v>132</v>
      </c>
      <c r="BB38" s="60">
        <v>1681794.3752475684</v>
      </c>
      <c r="BC38" s="60">
        <v>1725694.8019690195</v>
      </c>
      <c r="BD38" s="60">
        <v>1562098.7654320986</v>
      </c>
      <c r="BE38" s="61">
        <v>1437895.0141110064</v>
      </c>
      <c r="BF38" s="61">
        <v>1195696.2262970149</v>
      </c>
      <c r="BG38" s="61">
        <v>1034306.7998710924</v>
      </c>
      <c r="BH38" s="61">
        <v>812705.08773644606</v>
      </c>
      <c r="BI38" s="61">
        <v>824375.12623712386</v>
      </c>
      <c r="BJ38" s="61">
        <v>908638.37484346738</v>
      </c>
      <c r="BK38" s="61">
        <v>1016124.8403497855</v>
      </c>
      <c r="BL38" s="61">
        <v>1001507.7023525442</v>
      </c>
      <c r="BM38" s="61">
        <v>1003230.8851752848</v>
      </c>
      <c r="BN38" s="61">
        <v>1045437.8381839721</v>
      </c>
      <c r="BO38" s="61">
        <v>987305.27334300918</v>
      </c>
      <c r="BP38" s="61">
        <v>1032686.9356968909</v>
      </c>
      <c r="BQ38" s="61">
        <v>985737.66037735844</v>
      </c>
      <c r="BR38" s="61">
        <v>990321.01903119427</v>
      </c>
      <c r="BS38" s="61">
        <v>844217.0694591318</v>
      </c>
      <c r="BT38" s="61">
        <v>808355.93094761798</v>
      </c>
      <c r="BU38" s="61">
        <v>843325.26022879512</v>
      </c>
      <c r="BV38" s="61">
        <v>838843.98807552166</v>
      </c>
      <c r="BW38" s="61">
        <v>858578.92004153691</v>
      </c>
      <c r="BX38" s="61">
        <v>795852.8251034749</v>
      </c>
      <c r="BY38" s="61">
        <v>637109.73220117565</v>
      </c>
      <c r="BZ38" s="61">
        <v>639143.58166519378</v>
      </c>
      <c r="CA38" s="61">
        <v>669469.97746297496</v>
      </c>
      <c r="CB38" s="61">
        <v>592836.42195295799</v>
      </c>
      <c r="CC38" s="61">
        <v>640527.50079514866</v>
      </c>
      <c r="CD38" s="61">
        <v>941858.59087923588</v>
      </c>
      <c r="CE38" s="61">
        <v>1067217.4822923373</v>
      </c>
      <c r="CF38" s="61">
        <v>974343.41462348227</v>
      </c>
      <c r="CG38" s="61">
        <v>950389</v>
      </c>
      <c r="CH38" s="61">
        <v>953485</v>
      </c>
      <c r="CI38" s="61">
        <v>953485</v>
      </c>
      <c r="CJ38" s="61">
        <v>953379.78431000002</v>
      </c>
      <c r="CK38" s="61">
        <v>953379.78430999978</v>
      </c>
      <c r="CL38" s="61">
        <v>959899</v>
      </c>
      <c r="CM38" s="61">
        <v>959898.61627999973</v>
      </c>
      <c r="CN38" s="61">
        <v>959899</v>
      </c>
      <c r="CO38" s="111">
        <v>959898.61627999996</v>
      </c>
      <c r="CP38" s="61">
        <v>971626.45100999996</v>
      </c>
      <c r="CQ38" s="61">
        <v>1425544.97927</v>
      </c>
      <c r="CR38" s="61">
        <v>1425544.97927</v>
      </c>
      <c r="CS38" s="111">
        <v>2044525</v>
      </c>
      <c r="CT38" s="111">
        <v>2639470</v>
      </c>
      <c r="CU38" s="111">
        <v>2639470</v>
      </c>
      <c r="CV38" s="111">
        <v>2639470</v>
      </c>
      <c r="CW38" s="111">
        <v>3011834</v>
      </c>
      <c r="CX38" s="111">
        <v>3029276</v>
      </c>
      <c r="CY38" s="111">
        <v>3029276</v>
      </c>
    </row>
    <row r="39" spans="1:103" ht="20.100000000000001" customHeight="1">
      <c r="A39" s="57" t="s">
        <v>135</v>
      </c>
      <c r="B39" s="58">
        <v>59509.264557017734</v>
      </c>
      <c r="C39" s="58">
        <v>64902.678047238398</v>
      </c>
      <c r="D39" s="58">
        <v>56430.790614013567</v>
      </c>
      <c r="E39" s="59">
        <v>27441.204139228597</v>
      </c>
      <c r="F39" s="59">
        <v>23516.80330433694</v>
      </c>
      <c r="G39" s="59">
        <v>18486.625845955525</v>
      </c>
      <c r="H39" s="59">
        <v>15360.189425626117</v>
      </c>
      <c r="I39" s="59">
        <v>17660.321147242983</v>
      </c>
      <c r="J39" s="59">
        <v>16372.338945317935</v>
      </c>
      <c r="K39" s="59">
        <v>14953.294992015819</v>
      </c>
      <c r="L39" s="59">
        <v>15010.177209306945</v>
      </c>
      <c r="M39" s="59">
        <v>13590.87369531824</v>
      </c>
      <c r="N39" s="59">
        <v>25262.70291038325</v>
      </c>
      <c r="O39" s="59">
        <v>22877.660861151428</v>
      </c>
      <c r="P39" s="59">
        <v>21779.029151864383</v>
      </c>
      <c r="Q39" s="109">
        <v>37412.830188679247</v>
      </c>
      <c r="R39" s="109">
        <v>17581.313727269979</v>
      </c>
      <c r="S39" s="109">
        <v>15678.213097418173</v>
      </c>
      <c r="T39" s="109">
        <v>14901.583067842235</v>
      </c>
      <c r="U39" s="109">
        <v>69655.518911676802</v>
      </c>
      <c r="V39" s="59">
        <v>411223.02341580245</v>
      </c>
      <c r="W39" s="59">
        <v>415977.15472481831</v>
      </c>
      <c r="X39" s="59">
        <v>394622.19655404758</v>
      </c>
      <c r="Y39" s="59">
        <v>499965.9968494256</v>
      </c>
      <c r="Z39" s="64">
        <v>766484.5101963717</v>
      </c>
      <c r="AA39" s="110">
        <v>753802.51931745012</v>
      </c>
      <c r="AB39" s="110">
        <v>656427.65502494655</v>
      </c>
      <c r="AC39" s="110">
        <v>646710.21102508064</v>
      </c>
      <c r="AD39" s="110">
        <v>600760.65538849344</v>
      </c>
      <c r="AE39" s="110">
        <v>693119.16452028335</v>
      </c>
      <c r="AF39" s="110">
        <v>645739.16557970352</v>
      </c>
      <c r="AG39" s="110">
        <v>635973</v>
      </c>
      <c r="AH39" s="110">
        <v>637971</v>
      </c>
      <c r="AI39" s="110">
        <v>682535</v>
      </c>
      <c r="AJ39" s="110">
        <v>751636.59966490429</v>
      </c>
      <c r="AK39" s="109">
        <v>894111</v>
      </c>
      <c r="AL39" s="109">
        <v>1308050</v>
      </c>
      <c r="AM39" s="109">
        <v>1584043.6171978749</v>
      </c>
      <c r="AN39" s="109">
        <v>1725336</v>
      </c>
      <c r="AO39" s="109">
        <v>3770175</v>
      </c>
      <c r="AP39" s="109">
        <v>2133903.8521239175</v>
      </c>
      <c r="AQ39" s="109">
        <v>2217519.7827363117</v>
      </c>
      <c r="AR39" s="109">
        <v>2239769.4996202253</v>
      </c>
      <c r="AS39" s="109">
        <v>3694307</v>
      </c>
      <c r="AT39" s="109">
        <v>3667178</v>
      </c>
      <c r="AU39" s="109">
        <v>3734988</v>
      </c>
      <c r="AV39" s="109">
        <v>3903777</v>
      </c>
      <c r="AW39" s="109">
        <v>5557801</v>
      </c>
      <c r="AX39" s="109">
        <v>5808999</v>
      </c>
      <c r="AY39" s="109">
        <v>6007120</v>
      </c>
      <c r="BA39" s="57" t="s">
        <v>134</v>
      </c>
      <c r="BB39" s="60">
        <v>183492.80401390785</v>
      </c>
      <c r="BC39" s="60">
        <v>188282.52720950186</v>
      </c>
      <c r="BD39" s="60">
        <v>170433.32515738695</v>
      </c>
      <c r="BE39" s="61">
        <v>195157.47883349011</v>
      </c>
      <c r="BF39" s="61">
        <v>130456.84961511983</v>
      </c>
      <c r="BG39" s="61">
        <v>32781.179503706087</v>
      </c>
      <c r="BH39" s="61">
        <v>25757.861254463041</v>
      </c>
      <c r="BI39" s="61">
        <v>25681.680468592203</v>
      </c>
      <c r="BJ39" s="61">
        <v>28306.664811465143</v>
      </c>
      <c r="BK39" s="61">
        <v>31655.06002365096</v>
      </c>
      <c r="BL39" s="61">
        <v>31199.696310155508</v>
      </c>
      <c r="BM39" s="61">
        <v>30993.636249116662</v>
      </c>
      <c r="BN39" s="61">
        <v>30912.496398040534</v>
      </c>
      <c r="BO39" s="61">
        <v>28307.631833575229</v>
      </c>
      <c r="BP39" s="61">
        <v>25648.729055314849</v>
      </c>
      <c r="BQ39" s="61">
        <v>22294.943396226416</v>
      </c>
      <c r="BR39" s="61">
        <v>22086.169858703215</v>
      </c>
      <c r="BS39" s="61">
        <v>12655.593097934023</v>
      </c>
      <c r="BT39" s="61">
        <v>12474.377022054283</v>
      </c>
      <c r="BU39" s="61">
        <v>17286.921570648254</v>
      </c>
      <c r="BV39" s="61">
        <v>29628.761433994954</v>
      </c>
      <c r="BW39" s="61">
        <v>50220.145379023888</v>
      </c>
      <c r="BX39" s="61">
        <v>47714.890749831553</v>
      </c>
      <c r="BY39" s="61">
        <v>43805.855457793827</v>
      </c>
      <c r="BZ39" s="61">
        <v>44052.714488800091</v>
      </c>
      <c r="CA39" s="61">
        <v>46531.914037347073</v>
      </c>
      <c r="CB39" s="61">
        <v>41582.679971489662</v>
      </c>
      <c r="CC39" s="61">
        <v>61871.145007701198</v>
      </c>
      <c r="CD39" s="61">
        <v>57068.325848081942</v>
      </c>
      <c r="CE39" s="61">
        <v>64853.106889890536</v>
      </c>
      <c r="CF39" s="61">
        <v>62256.244833097568</v>
      </c>
      <c r="CG39" s="61">
        <v>62519</v>
      </c>
      <c r="CH39" s="61">
        <v>63536</v>
      </c>
      <c r="CI39" s="61">
        <v>66889</v>
      </c>
      <c r="CJ39" s="61">
        <v>69014.186190815672</v>
      </c>
      <c r="CK39" s="61">
        <v>68214.452940000003</v>
      </c>
      <c r="CL39" s="61">
        <v>30825</v>
      </c>
      <c r="CM39" s="109">
        <v>47346.221321799581</v>
      </c>
      <c r="CN39" s="109">
        <v>52009</v>
      </c>
      <c r="CO39" s="111">
        <v>-41856</v>
      </c>
      <c r="CP39" s="109">
        <v>29622.874686450916</v>
      </c>
      <c r="CQ39" s="109">
        <v>14006.994900639766</v>
      </c>
      <c r="CR39" s="109">
        <v>12147.089720640492</v>
      </c>
      <c r="CS39" s="111">
        <v>-188274</v>
      </c>
      <c r="CT39" s="111">
        <v>-229475</v>
      </c>
      <c r="CU39" s="111">
        <v>-247115</v>
      </c>
      <c r="CV39" s="111">
        <v>-250596</v>
      </c>
      <c r="CW39" s="111">
        <v>-250545</v>
      </c>
      <c r="CX39" s="111">
        <v>-304517</v>
      </c>
      <c r="CY39" s="111">
        <v>-411170</v>
      </c>
    </row>
    <row r="40" spans="1:103" ht="19.5" customHeight="1" thickBot="1">
      <c r="A40" s="158" t="s">
        <v>137</v>
      </c>
      <c r="B40" s="170">
        <v>528554.64108093828</v>
      </c>
      <c r="C40" s="170">
        <v>508569.29955290607</v>
      </c>
      <c r="D40" s="170">
        <v>467462.59504537645</v>
      </c>
      <c r="E40" s="171">
        <v>66585.512699905928</v>
      </c>
      <c r="F40" s="171">
        <v>75005.319481819883</v>
      </c>
      <c r="G40" s="171">
        <v>68729.616500161137</v>
      </c>
      <c r="H40" s="171">
        <v>63024.12857523562</v>
      </c>
      <c r="I40" s="171">
        <v>40841.749141587563</v>
      </c>
      <c r="J40" s="171">
        <v>64198.692082927504</v>
      </c>
      <c r="K40" s="171">
        <v>82214.371464477968</v>
      </c>
      <c r="L40" s="171">
        <v>71438.870697497827</v>
      </c>
      <c r="M40" s="171">
        <v>56098.366995422002</v>
      </c>
      <c r="N40" s="171">
        <v>97286.203694809985</v>
      </c>
      <c r="O40" s="171">
        <v>88334.240445089497</v>
      </c>
      <c r="P40" s="171">
        <v>87462.577454391343</v>
      </c>
      <c r="Q40" s="172">
        <v>59744.603773584902</v>
      </c>
      <c r="R40" s="172">
        <v>79041.178784303047</v>
      </c>
      <c r="S40" s="172">
        <v>79810.167393154683</v>
      </c>
      <c r="T40" s="172">
        <v>85575.560000987869</v>
      </c>
      <c r="U40" s="172">
        <v>36315.830155621974</v>
      </c>
      <c r="V40" s="171">
        <v>193369.93910362574</v>
      </c>
      <c r="W40" s="171">
        <v>196466.251298027</v>
      </c>
      <c r="X40" s="171">
        <v>186299.93262104149</v>
      </c>
      <c r="Y40" s="171">
        <v>132464.17182156991</v>
      </c>
      <c r="Z40" s="171">
        <v>105462.34315823887</v>
      </c>
      <c r="AA40" s="172">
        <v>163201.86735350935</v>
      </c>
      <c r="AB40" s="172">
        <v>194307.73342836779</v>
      </c>
      <c r="AC40" s="172">
        <v>184225.22520026591</v>
      </c>
      <c r="AD40" s="172">
        <v>200171.1252729306</v>
      </c>
      <c r="AE40" s="172">
        <v>204446.03187379267</v>
      </c>
      <c r="AF40" s="172">
        <v>328507.15558576601</v>
      </c>
      <c r="AG40" s="172">
        <v>312217</v>
      </c>
      <c r="AH40" s="172">
        <v>310634</v>
      </c>
      <c r="AI40" s="172">
        <v>590311</v>
      </c>
      <c r="AJ40" s="172">
        <v>579517.95435834606</v>
      </c>
      <c r="AK40" s="172">
        <v>543141</v>
      </c>
      <c r="AL40" s="172">
        <v>2486762</v>
      </c>
      <c r="AM40" s="172">
        <v>2508159.860557769</v>
      </c>
      <c r="AN40" s="172">
        <v>2441088</v>
      </c>
      <c r="AO40" s="172">
        <v>431175</v>
      </c>
      <c r="AP40" s="172">
        <v>2185966.4932877938</v>
      </c>
      <c r="AQ40" s="172">
        <v>2118292.7327054031</v>
      </c>
      <c r="AR40" s="172">
        <v>2060510.0181012582</v>
      </c>
      <c r="AS40" s="172">
        <v>2664997</v>
      </c>
      <c r="AT40" s="172">
        <v>2572251</v>
      </c>
      <c r="AU40" s="172">
        <v>2801264</v>
      </c>
      <c r="AV40" s="172">
        <v>2718478</v>
      </c>
      <c r="AW40" s="172">
        <v>2724230</v>
      </c>
      <c r="AX40" s="172">
        <v>2479621</v>
      </c>
      <c r="AY40" s="172">
        <v>2376050</v>
      </c>
      <c r="BA40" s="57" t="s">
        <v>136</v>
      </c>
      <c r="BB40" s="60">
        <v>90117.512433431621</v>
      </c>
      <c r="BC40" s="60">
        <v>88412.590886510399</v>
      </c>
      <c r="BD40" s="60">
        <v>94253.944894121494</v>
      </c>
      <c r="BE40" s="61">
        <v>98300.282220131689</v>
      </c>
      <c r="BF40" s="61">
        <v>131590.2121534514</v>
      </c>
      <c r="BG40" s="61">
        <v>101645.50435062841</v>
      </c>
      <c r="BH40" s="61">
        <v>98275.870826952421</v>
      </c>
      <c r="BI40" s="61">
        <v>97821.399717228851</v>
      </c>
      <c r="BJ40" s="61">
        <v>103998.33031863086</v>
      </c>
      <c r="BK40" s="61">
        <v>113353.26244636932</v>
      </c>
      <c r="BL40" s="61">
        <v>112199.596006609</v>
      </c>
      <c r="BM40" s="61">
        <v>20490.026601630103</v>
      </c>
      <c r="BN40" s="61">
        <v>44025.229724970384</v>
      </c>
      <c r="BO40" s="61">
        <v>36131.168359941948</v>
      </c>
      <c r="BP40" s="61">
        <v>48982.770247726345</v>
      </c>
      <c r="BQ40" s="61">
        <v>27713.207547169812</v>
      </c>
      <c r="BR40" s="61">
        <v>24232.852258630603</v>
      </c>
      <c r="BS40" s="61">
        <v>24076.242552423202</v>
      </c>
      <c r="BT40" s="61">
        <v>9653.0816547575469</v>
      </c>
      <c r="BU40" s="61">
        <v>3798.5674533649385</v>
      </c>
      <c r="BV40" s="61">
        <v>13731.495400922364</v>
      </c>
      <c r="BW40" s="61">
        <v>7484.1640706126691</v>
      </c>
      <c r="BX40" s="61">
        <v>29891.471748965254</v>
      </c>
      <c r="BY40" s="61">
        <v>28880.585545779384</v>
      </c>
      <c r="BZ40" s="61">
        <v>114738.54074614822</v>
      </c>
      <c r="CA40" s="61">
        <v>143597.87508048938</v>
      </c>
      <c r="CB40" s="61">
        <v>139655.38132573059</v>
      </c>
      <c r="CC40" s="61">
        <v>111632.72697163647</v>
      </c>
      <c r="CD40" s="61">
        <v>151141.60438819163</v>
      </c>
      <c r="CE40" s="61">
        <v>104308.79748873149</v>
      </c>
      <c r="CF40" s="61">
        <v>123058.92237344926</v>
      </c>
      <c r="CG40" s="61">
        <v>45763</v>
      </c>
      <c r="CH40" s="61">
        <v>0</v>
      </c>
      <c r="CI40" s="61">
        <v>129257</v>
      </c>
      <c r="CJ40" s="61">
        <v>120958.67068156424</v>
      </c>
      <c r="CK40" s="61">
        <v>112243</v>
      </c>
      <c r="CL40" s="61">
        <v>117623</v>
      </c>
      <c r="CM40" s="61">
        <v>149279.10775881284</v>
      </c>
      <c r="CN40" s="23">
        <v>0</v>
      </c>
      <c r="CO40" s="111">
        <v>0</v>
      </c>
      <c r="CP40" s="61">
        <v>125867.14811316523</v>
      </c>
      <c r="CQ40" s="61">
        <v>2914.447399320663</v>
      </c>
      <c r="CR40" s="61">
        <v>-8860.6086865427642</v>
      </c>
      <c r="CS40" s="111">
        <v>0</v>
      </c>
      <c r="CT40" s="111">
        <v>0</v>
      </c>
      <c r="CU40" s="111">
        <v>0</v>
      </c>
      <c r="CV40" s="111">
        <v>0</v>
      </c>
      <c r="CW40" s="111">
        <v>0</v>
      </c>
      <c r="CX40" s="111">
        <v>0</v>
      </c>
      <c r="CY40" s="111">
        <v>0</v>
      </c>
    </row>
    <row r="41" spans="1:103" ht="20.100000000000001" customHeight="1">
      <c r="A41" s="65" t="s">
        <v>139</v>
      </c>
      <c r="B41" s="67">
        <f t="shared" ref="B41:AP41" si="18">SUM(B33:B40)</f>
        <v>590143.03947889607</v>
      </c>
      <c r="C41" s="67">
        <f t="shared" si="18"/>
        <v>575645.57648015174</v>
      </c>
      <c r="D41" s="67">
        <f t="shared" si="18"/>
        <v>525928.37870983558</v>
      </c>
      <c r="E41" s="67">
        <f t="shared" si="18"/>
        <v>102779.30385700846</v>
      </c>
      <c r="F41" s="67">
        <f t="shared" si="18"/>
        <v>100116.71568934225</v>
      </c>
      <c r="G41" s="67">
        <f t="shared" si="18"/>
        <v>94766.999677731219</v>
      </c>
      <c r="H41" s="67">
        <f t="shared" si="18"/>
        <v>86768.794772377267</v>
      </c>
      <c r="I41" s="67">
        <f t="shared" si="18"/>
        <v>69989.648555847307</v>
      </c>
      <c r="J41" s="67">
        <f t="shared" si="18"/>
        <v>93886.461666898569</v>
      </c>
      <c r="K41" s="67">
        <f t="shared" si="18"/>
        <v>111385.31533120593</v>
      </c>
      <c r="L41" s="67">
        <f t="shared" si="18"/>
        <v>103040.34050257817</v>
      </c>
      <c r="M41" s="67">
        <f t="shared" si="18"/>
        <v>92417.216499263304</v>
      </c>
      <c r="N41" s="67">
        <f t="shared" si="18"/>
        <v>151366.8235520123</v>
      </c>
      <c r="O41" s="67">
        <f t="shared" si="18"/>
        <v>141397.25447508466</v>
      </c>
      <c r="P41" s="67">
        <f t="shared" si="18"/>
        <v>144186.55037424332</v>
      </c>
      <c r="Q41" s="67">
        <f t="shared" si="18"/>
        <v>121391.39622641509</v>
      </c>
      <c r="R41" s="67">
        <f t="shared" si="18"/>
        <v>127463.01170917673</v>
      </c>
      <c r="S41" s="67">
        <f t="shared" si="18"/>
        <v>122389.15684403291</v>
      </c>
      <c r="T41" s="67">
        <f t="shared" si="18"/>
        <v>119893.06265589883</v>
      </c>
      <c r="U41" s="67">
        <f t="shared" si="18"/>
        <v>123818.40667834692</v>
      </c>
      <c r="V41" s="67">
        <f t="shared" si="18"/>
        <v>867619.94547353929</v>
      </c>
      <c r="W41" s="67">
        <f t="shared" si="18"/>
        <v>872257.00934579445</v>
      </c>
      <c r="X41" s="67">
        <f t="shared" si="18"/>
        <v>813568.43777071917</v>
      </c>
      <c r="Y41" s="67">
        <f t="shared" si="18"/>
        <v>763949.16817151417</v>
      </c>
      <c r="Z41" s="67">
        <f t="shared" si="18"/>
        <v>1008975.0465712702</v>
      </c>
      <c r="AA41" s="67">
        <f t="shared" si="18"/>
        <v>1058538.5141661302</v>
      </c>
      <c r="AB41" s="67">
        <f t="shared" si="18"/>
        <v>963114.39771917323</v>
      </c>
      <c r="AC41" s="67">
        <f t="shared" si="18"/>
        <v>994614.00565524446</v>
      </c>
      <c r="AD41" s="67">
        <f t="shared" si="18"/>
        <v>930974.95681039535</v>
      </c>
      <c r="AE41" s="67">
        <f t="shared" si="18"/>
        <v>1003558.6365099807</v>
      </c>
      <c r="AF41" s="67">
        <f t="shared" si="18"/>
        <v>1098874.6759043229</v>
      </c>
      <c r="AG41" s="67">
        <f t="shared" si="18"/>
        <v>1095803</v>
      </c>
      <c r="AH41" s="67">
        <f t="shared" si="18"/>
        <v>1278550</v>
      </c>
      <c r="AI41" s="67">
        <f t="shared" si="18"/>
        <v>1587850</v>
      </c>
      <c r="AJ41" s="67">
        <f t="shared" si="18"/>
        <v>1627199.8102314961</v>
      </c>
      <c r="AK41" s="67">
        <f t="shared" si="18"/>
        <v>1858987.9410219702</v>
      </c>
      <c r="AL41" s="67">
        <f t="shared" si="18"/>
        <v>4233269</v>
      </c>
      <c r="AM41" s="67">
        <f t="shared" si="18"/>
        <v>4610681.6202297099</v>
      </c>
      <c r="AN41" s="67">
        <f t="shared" si="18"/>
        <v>4679911</v>
      </c>
      <c r="AO41" s="67">
        <f t="shared" si="18"/>
        <v>4754107.127473929</v>
      </c>
      <c r="AP41" s="67">
        <f t="shared" si="18"/>
        <v>4782702.7112677079</v>
      </c>
      <c r="AQ41" s="67">
        <f t="shared" ref="AQ41:AR41" si="19">SUM(AQ33:AQ40)</f>
        <v>4707950.677975364</v>
      </c>
      <c r="AR41" s="67">
        <f t="shared" si="19"/>
        <v>4795728.8669266226</v>
      </c>
      <c r="AS41" s="67">
        <f t="shared" ref="AS41:AT41" si="20">SUM(AS33:AS40)</f>
        <v>7718229</v>
      </c>
      <c r="AT41" s="67">
        <f t="shared" si="20"/>
        <v>8097183</v>
      </c>
      <c r="AU41" s="67">
        <f t="shared" ref="AU41:AV41" si="21">SUM(AU33:AU40)</f>
        <v>8498210</v>
      </c>
      <c r="AV41" s="67">
        <f t="shared" si="21"/>
        <v>8666438</v>
      </c>
      <c r="AW41" s="67">
        <f t="shared" ref="AW41:AX41" si="22">SUM(AW33:AW40)</f>
        <v>9924095</v>
      </c>
      <c r="AX41" s="67">
        <f t="shared" si="22"/>
        <v>10133575</v>
      </c>
      <c r="AY41" s="67">
        <f>SUM(AY33:AY40)</f>
        <v>10184360</v>
      </c>
      <c r="BA41" s="57" t="s">
        <v>138</v>
      </c>
      <c r="BB41" s="60">
        <v>0</v>
      </c>
      <c r="BC41" s="60">
        <v>0</v>
      </c>
      <c r="BD41" s="60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45763.219490000018</v>
      </c>
      <c r="CI41" s="61">
        <v>45763</v>
      </c>
      <c r="CJ41" s="61">
        <v>45763.219490000018</v>
      </c>
      <c r="CK41" s="61">
        <v>45763.219490000003</v>
      </c>
      <c r="CL41" s="61">
        <v>762020</v>
      </c>
      <c r="CM41" s="61">
        <v>676371.66686999996</v>
      </c>
      <c r="CN41" s="61">
        <v>676372</v>
      </c>
      <c r="CO41" s="61">
        <v>1810361</v>
      </c>
      <c r="CP41" s="61">
        <v>1723292.3181500004</v>
      </c>
      <c r="CQ41" s="61">
        <v>1269373.7898900004</v>
      </c>
      <c r="CR41" s="61">
        <v>1269373.7898900004</v>
      </c>
      <c r="CS41" s="111">
        <v>2459609</v>
      </c>
      <c r="CT41" s="111">
        <v>1881898</v>
      </c>
      <c r="CU41" s="111">
        <v>1881898</v>
      </c>
      <c r="CV41" s="111">
        <v>1881898</v>
      </c>
      <c r="CW41" s="111">
        <v>1891330</v>
      </c>
      <c r="CX41" s="111">
        <v>1891330</v>
      </c>
      <c r="CY41" s="111">
        <v>1891330</v>
      </c>
    </row>
    <row r="42" spans="1:103">
      <c r="A42" s="65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BA42" s="57" t="s">
        <v>140</v>
      </c>
      <c r="BB42" s="60"/>
      <c r="BC42" s="60"/>
      <c r="BD42" s="60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>
        <v>0</v>
      </c>
      <c r="CA42" s="61">
        <v>0</v>
      </c>
      <c r="CB42" s="61">
        <v>0</v>
      </c>
      <c r="CC42" s="61">
        <v>-510</v>
      </c>
      <c r="CD42" s="61">
        <v>82</v>
      </c>
      <c r="CE42" s="61">
        <v>-413</v>
      </c>
      <c r="CF42" s="61">
        <v>-523</v>
      </c>
      <c r="CG42" s="61">
        <v>0</v>
      </c>
      <c r="CH42" s="61">
        <v>132816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125082</v>
      </c>
      <c r="CO42" s="61">
        <v>121570</v>
      </c>
      <c r="CP42" s="61">
        <v>0</v>
      </c>
      <c r="CQ42" s="61">
        <v>0</v>
      </c>
      <c r="CR42" s="61">
        <v>0</v>
      </c>
      <c r="CS42" s="111">
        <v>110191</v>
      </c>
      <c r="CT42" s="111">
        <v>114481</v>
      </c>
      <c r="CU42" s="111">
        <v>114853</v>
      </c>
      <c r="CV42" s="111">
        <v>114610</v>
      </c>
      <c r="CW42" s="111">
        <v>114465</v>
      </c>
      <c r="CX42" s="111">
        <v>114466</v>
      </c>
      <c r="CY42" s="111">
        <v>114465</v>
      </c>
    </row>
    <row r="43" spans="1:103" ht="16.2" thickBot="1">
      <c r="A43" s="174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BA43" s="57" t="s">
        <v>141</v>
      </c>
      <c r="BB43" s="60">
        <v>-1309130.7600897849</v>
      </c>
      <c r="BC43" s="60">
        <v>-1338135.7539628777</v>
      </c>
      <c r="BD43" s="60">
        <v>-1207382.0619736733</v>
      </c>
      <c r="BE43" s="61">
        <v>-1119948.8240827846</v>
      </c>
      <c r="BF43" s="61">
        <v>-1244617.6231303585</v>
      </c>
      <c r="BG43" s="61">
        <v>-950909.44247502415</v>
      </c>
      <c r="BH43" s="61">
        <v>-747175.76056063443</v>
      </c>
      <c r="BI43" s="61">
        <v>-744968.69319329434</v>
      </c>
      <c r="BJ43" s="61">
        <v>-790385.41811604286</v>
      </c>
      <c r="BK43" s="61">
        <v>-883877.01786269981</v>
      </c>
      <c r="BL43" s="61">
        <v>-871162.28850105836</v>
      </c>
      <c r="BM43" s="61">
        <v>-872661.20047930675</v>
      </c>
      <c r="BN43" s="61">
        <v>-832013.89555918425</v>
      </c>
      <c r="BO43" s="61">
        <v>-785748.97194000974</v>
      </c>
      <c r="BP43" s="61">
        <v>-821856.64204750315</v>
      </c>
      <c r="BQ43" s="61">
        <v>-784491.77358490566</v>
      </c>
      <c r="BR43" s="61">
        <v>-770862.30371244438</v>
      </c>
      <c r="BS43" s="61">
        <v>-657134.71409042843</v>
      </c>
      <c r="BT43" s="61">
        <v>-629220.56753352599</v>
      </c>
      <c r="BU43" s="61">
        <v>-664504.01937545091</v>
      </c>
      <c r="BV43" s="61">
        <v>-604575.38155782607</v>
      </c>
      <c r="BW43" s="61">
        <v>-615985.72170301143</v>
      </c>
      <c r="BX43" s="61">
        <v>-570983.01087688911</v>
      </c>
      <c r="BY43" s="61">
        <v>-455829.90740384982</v>
      </c>
      <c r="BZ43" s="61">
        <v>-294008.33749567758</v>
      </c>
      <c r="CA43" s="61">
        <v>-307958.58821635548</v>
      </c>
      <c r="CB43" s="61">
        <v>-272706.87811831787</v>
      </c>
      <c r="CC43" s="61">
        <v>-294653.63881401619</v>
      </c>
      <c r="CD43" s="61">
        <v>-191302.43374221149</v>
      </c>
      <c r="CE43" s="61">
        <v>-216851.25563425629</v>
      </c>
      <c r="CF43" s="61">
        <v>-197979.98660738886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19134</v>
      </c>
      <c r="CO43" s="61">
        <v>0</v>
      </c>
      <c r="CP43" s="61">
        <v>0</v>
      </c>
      <c r="CQ43" s="61">
        <v>0</v>
      </c>
      <c r="CR43" s="61">
        <v>0</v>
      </c>
      <c r="CS43" s="111">
        <v>0</v>
      </c>
      <c r="CT43" s="111">
        <v>0</v>
      </c>
      <c r="CU43" s="111">
        <v>0</v>
      </c>
      <c r="CV43" s="111">
        <v>0</v>
      </c>
      <c r="CW43" s="111">
        <v>0</v>
      </c>
      <c r="CX43" s="111">
        <v>0</v>
      </c>
      <c r="CY43" s="111">
        <v>0</v>
      </c>
    </row>
    <row r="44" spans="1:103" ht="16.2" thickBot="1">
      <c r="A44" s="175" t="s">
        <v>143</v>
      </c>
      <c r="B44" s="176">
        <f t="shared" ref="B44:AP44" si="23">SUM(B41,B25)</f>
        <v>843435.14810087578</v>
      </c>
      <c r="C44" s="176">
        <f t="shared" si="23"/>
        <v>866649.95709705097</v>
      </c>
      <c r="D44" s="176">
        <f t="shared" si="23"/>
        <v>806931.15853159991</v>
      </c>
      <c r="E44" s="176">
        <f t="shared" si="23"/>
        <v>395510.81843838189</v>
      </c>
      <c r="F44" s="176">
        <f t="shared" si="23"/>
        <v>328988.3597221353</v>
      </c>
      <c r="G44" s="176">
        <f t="shared" si="23"/>
        <v>315849.17821463104</v>
      </c>
      <c r="H44" s="176">
        <f t="shared" si="23"/>
        <v>310079.90406764962</v>
      </c>
      <c r="I44" s="176">
        <f t="shared" si="23"/>
        <v>290789.48697232886</v>
      </c>
      <c r="J44" s="176">
        <f t="shared" si="23"/>
        <v>269717.26728815917</v>
      </c>
      <c r="K44" s="176">
        <f t="shared" si="23"/>
        <v>284672.4413472513</v>
      </c>
      <c r="L44" s="176">
        <f t="shared" si="23"/>
        <v>299546.04909730033</v>
      </c>
      <c r="M44" s="176">
        <f t="shared" si="23"/>
        <v>322356.97310478589</v>
      </c>
      <c r="N44" s="176">
        <f t="shared" si="23"/>
        <v>428069.02955207636</v>
      </c>
      <c r="O44" s="176">
        <f t="shared" si="23"/>
        <v>404295.77890662797</v>
      </c>
      <c r="P44" s="176">
        <f t="shared" si="23"/>
        <v>417684.53951118363</v>
      </c>
      <c r="Q44" s="176">
        <f t="shared" si="23"/>
        <v>365461.13207547169</v>
      </c>
      <c r="R44" s="176">
        <f t="shared" si="23"/>
        <v>353505.49151311605</v>
      </c>
      <c r="S44" s="176">
        <f t="shared" si="23"/>
        <v>364191.79283485084</v>
      </c>
      <c r="T44" s="176">
        <f t="shared" si="23"/>
        <v>295910.94317255681</v>
      </c>
      <c r="U44" s="176">
        <f t="shared" si="23"/>
        <v>375626.61032670306</v>
      </c>
      <c r="V44" s="176">
        <f t="shared" si="23"/>
        <v>1011563.6863964123</v>
      </c>
      <c r="W44" s="176">
        <f t="shared" si="23"/>
        <v>1114616.5628245068</v>
      </c>
      <c r="X44" s="176">
        <f t="shared" si="23"/>
        <v>1056763.8848782368</v>
      </c>
      <c r="Y44" s="176">
        <f t="shared" si="23"/>
        <v>1030521.5737503362</v>
      </c>
      <c r="Z44" s="176">
        <f t="shared" si="23"/>
        <v>1311281.6801200386</v>
      </c>
      <c r="AA44" s="176">
        <f t="shared" si="23"/>
        <v>1289960.5602060528</v>
      </c>
      <c r="AB44" s="176">
        <f t="shared" si="23"/>
        <v>1197961.5110477549</v>
      </c>
      <c r="AC44" s="176">
        <f t="shared" si="23"/>
        <v>1311662.3698630964</v>
      </c>
      <c r="AD44" s="176">
        <f t="shared" si="23"/>
        <v>1588050.9158397389</v>
      </c>
      <c r="AE44" s="176">
        <f t="shared" si="23"/>
        <v>2036796.1204121057</v>
      </c>
      <c r="AF44" s="176">
        <f t="shared" si="23"/>
        <v>2031945.0592278822</v>
      </c>
      <c r="AG44" s="176">
        <f t="shared" si="23"/>
        <v>2151042.0790479779</v>
      </c>
      <c r="AH44" s="176">
        <f t="shared" si="23"/>
        <v>2655609.3809899813</v>
      </c>
      <c r="AI44" s="176">
        <f t="shared" si="23"/>
        <v>3057766</v>
      </c>
      <c r="AJ44" s="176">
        <f t="shared" si="23"/>
        <v>3621802.4721025457</v>
      </c>
      <c r="AK44" s="176">
        <f t="shared" si="23"/>
        <v>3804185.1005837666</v>
      </c>
      <c r="AL44" s="176">
        <f t="shared" si="23"/>
        <v>4879865</v>
      </c>
      <c r="AM44" s="176">
        <f t="shared" si="23"/>
        <v>5371025.4634432206</v>
      </c>
      <c r="AN44" s="176">
        <f t="shared" si="23"/>
        <v>5695680</v>
      </c>
      <c r="AO44" s="176">
        <f t="shared" si="23"/>
        <v>5847795.9870666387</v>
      </c>
      <c r="AP44" s="176">
        <f t="shared" si="23"/>
        <v>6139994.2018832397</v>
      </c>
      <c r="AQ44" s="176">
        <f t="shared" ref="AQ44:AR44" si="24">SUM(AQ41,AQ25)</f>
        <v>6604605.0878427876</v>
      </c>
      <c r="AR44" s="176">
        <f t="shared" si="24"/>
        <v>7948865.3861143421</v>
      </c>
      <c r="AS44" s="176">
        <f t="shared" ref="AS44:AT44" si="25">SUM(AS41,AS25)</f>
        <v>9002496.4750967473</v>
      </c>
      <c r="AT44" s="176">
        <f t="shared" si="25"/>
        <v>9541614</v>
      </c>
      <c r="AU44" s="176">
        <f t="shared" ref="AU44:AV44" si="26">SUM(AU41,AU25)</f>
        <v>10158824</v>
      </c>
      <c r="AV44" s="176">
        <f t="shared" si="26"/>
        <v>11230343</v>
      </c>
      <c r="AW44" s="176">
        <f t="shared" ref="AW44:AX44" si="27">SUM(AW41,AW25)</f>
        <v>11663930</v>
      </c>
      <c r="AX44" s="176">
        <f t="shared" si="27"/>
        <v>12175482</v>
      </c>
      <c r="AY44" s="176">
        <f>SUM(AY41,AY25)</f>
        <v>12268792</v>
      </c>
      <c r="BA44" s="57" t="s">
        <v>142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16669</v>
      </c>
      <c r="CP44" s="61">
        <v>0</v>
      </c>
      <c r="CQ44" s="61">
        <v>0</v>
      </c>
      <c r="CR44" s="61">
        <v>0</v>
      </c>
      <c r="CS44" s="111">
        <v>-239530</v>
      </c>
      <c r="CT44" s="111">
        <v>-126375</v>
      </c>
      <c r="CU44" s="111">
        <v>-66966</v>
      </c>
      <c r="CV44" s="111">
        <v>-46282</v>
      </c>
      <c r="CW44" s="111">
        <v>-81878</v>
      </c>
      <c r="CX44" s="111">
        <v>-86749</v>
      </c>
      <c r="CY44" s="111">
        <v>-24703</v>
      </c>
    </row>
    <row r="45" spans="1:103" ht="16.2" thickBot="1">
      <c r="U45" s="59"/>
      <c r="V45" s="59"/>
      <c r="W45" s="59"/>
      <c r="X45" s="59"/>
      <c r="Y45" s="59"/>
      <c r="Z45" s="5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BA45" s="158" t="s">
        <v>144</v>
      </c>
      <c r="BB45" s="177">
        <v>747.76638352185205</v>
      </c>
      <c r="BC45" s="177">
        <v>0</v>
      </c>
      <c r="BD45" s="177">
        <v>0</v>
      </c>
      <c r="BE45" s="165">
        <v>-377449.85888993414</v>
      </c>
      <c r="BF45" s="165">
        <v>-16752.925715000936</v>
      </c>
      <c r="BG45" s="165">
        <v>-22485.981308411214</v>
      </c>
      <c r="BH45" s="165">
        <v>-17659.479862885924</v>
      </c>
      <c r="BI45" s="165">
        <v>27878.458897192486</v>
      </c>
      <c r="BJ45" s="165">
        <v>-22489.216641157644</v>
      </c>
      <c r="BK45" s="165">
        <v>-36226.263495252533</v>
      </c>
      <c r="BL45" s="165">
        <v>-13783.46849216444</v>
      </c>
      <c r="BM45" s="165">
        <v>74237.838422617642</v>
      </c>
      <c r="BN45" s="165">
        <v>1286.7800083245286</v>
      </c>
      <c r="BO45" s="165">
        <v>15458.696178035801</v>
      </c>
      <c r="BP45" s="165">
        <v>21350.221280932576</v>
      </c>
      <c r="BQ45" s="165">
        <v>15351.245283018869</v>
      </c>
      <c r="BR45" s="165">
        <v>815.10393028955252</v>
      </c>
      <c r="BS45" s="165">
        <v>18894.018725335947</v>
      </c>
      <c r="BT45" s="165">
        <v>35739.300091378333</v>
      </c>
      <c r="BU45" s="165">
        <v>53152.633206224877</v>
      </c>
      <c r="BV45" s="165">
        <v>-31315.514561622545</v>
      </c>
      <c r="BW45" s="165">
        <v>10866.562824506751</v>
      </c>
      <c r="BX45" s="165">
        <v>-5362.1619020117432</v>
      </c>
      <c r="BY45" s="165">
        <v>161821.56990817227</v>
      </c>
      <c r="BZ45" s="165">
        <v>-11807.161793522111</v>
      </c>
      <c r="CA45" s="165">
        <v>-32449.895363811978</v>
      </c>
      <c r="CB45" s="165">
        <v>-48442.801140413401</v>
      </c>
      <c r="CC45" s="165">
        <v>87171.02222309378</v>
      </c>
      <c r="CD45" s="165">
        <v>-11679.122361670779</v>
      </c>
      <c r="CE45" s="165">
        <v>71456.455247907274</v>
      </c>
      <c r="CF45" s="165">
        <v>83077.177447504277</v>
      </c>
      <c r="CG45" s="165">
        <v>127648</v>
      </c>
      <c r="CH45" s="165">
        <v>223402</v>
      </c>
      <c r="CI45" s="165">
        <v>364672</v>
      </c>
      <c r="CJ45" s="165">
        <v>519522.13754668285</v>
      </c>
      <c r="CK45" s="165">
        <v>716256.82796494802</v>
      </c>
      <c r="CL45" s="165">
        <v>202404</v>
      </c>
      <c r="CM45" s="165">
        <v>398571.88538181316</v>
      </c>
      <c r="CN45" s="165">
        <v>743809</v>
      </c>
      <c r="CO45" s="165">
        <v>0</v>
      </c>
      <c r="CP45" s="165">
        <v>217715.08002187544</v>
      </c>
      <c r="CQ45" s="165">
        <v>484256.64674538351</v>
      </c>
      <c r="CR45" s="165">
        <v>640832.35024444945</v>
      </c>
      <c r="CS45" s="315">
        <v>0</v>
      </c>
      <c r="CT45" s="315">
        <v>352923</v>
      </c>
      <c r="CU45" s="315">
        <v>475443</v>
      </c>
      <c r="CV45" s="315">
        <v>539439</v>
      </c>
      <c r="CW45" s="315" t="s">
        <v>97</v>
      </c>
      <c r="CX45" s="315">
        <v>458422</v>
      </c>
      <c r="CY45" s="315">
        <v>851117</v>
      </c>
    </row>
    <row r="46" spans="1:103">
      <c r="U46" s="59"/>
      <c r="V46" s="59"/>
      <c r="W46" s="59"/>
      <c r="X46" s="59"/>
      <c r="Y46" s="59"/>
      <c r="Z46" s="5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BA46" s="65" t="s">
        <v>145</v>
      </c>
      <c r="BB46" s="107">
        <f t="shared" ref="BB46:CN46" si="28">SUM(BB38:BB45)</f>
        <v>647021.69798864482</v>
      </c>
      <c r="BC46" s="107">
        <f t="shared" si="28"/>
        <v>664254.16610215418</v>
      </c>
      <c r="BD46" s="107">
        <f t="shared" si="28"/>
        <v>619403.9735099338</v>
      </c>
      <c r="BE46" s="107">
        <f t="shared" si="28"/>
        <v>233954.09219190944</v>
      </c>
      <c r="BF46" s="107">
        <f t="shared" si="28"/>
        <v>196372.73922022677</v>
      </c>
      <c r="BG46" s="107">
        <f t="shared" si="28"/>
        <v>195338.05994199158</v>
      </c>
      <c r="BH46" s="107">
        <f t="shared" si="28"/>
        <v>171903.57939434118</v>
      </c>
      <c r="BI46" s="107">
        <f t="shared" si="28"/>
        <v>230787.97212684306</v>
      </c>
      <c r="BJ46" s="107">
        <f t="shared" si="28"/>
        <v>228068.73521636298</v>
      </c>
      <c r="BK46" s="107">
        <f t="shared" si="28"/>
        <v>241029.88146185345</v>
      </c>
      <c r="BL46" s="107">
        <f t="shared" si="28"/>
        <v>259961.23767608585</v>
      </c>
      <c r="BM46" s="107">
        <f t="shared" si="28"/>
        <v>256291.18596934248</v>
      </c>
      <c r="BN46" s="107">
        <f t="shared" si="28"/>
        <v>289648.44875612331</v>
      </c>
      <c r="BO46" s="107">
        <f t="shared" si="28"/>
        <v>281453.79777455248</v>
      </c>
      <c r="BP46" s="107">
        <f t="shared" si="28"/>
        <v>306812.01423336152</v>
      </c>
      <c r="BQ46" s="107">
        <f t="shared" si="28"/>
        <v>266605.28301886778</v>
      </c>
      <c r="BR46" s="107">
        <f t="shared" si="28"/>
        <v>266592.84136637318</v>
      </c>
      <c r="BS46" s="107">
        <f t="shared" si="28"/>
        <v>242708.2097443965</v>
      </c>
      <c r="BT46" s="107">
        <f t="shared" si="28"/>
        <v>237002.1221822821</v>
      </c>
      <c r="BU46" s="107">
        <f t="shared" si="28"/>
        <v>253059.36308358226</v>
      </c>
      <c r="BV46" s="107">
        <f t="shared" si="28"/>
        <v>246313.34879099039</v>
      </c>
      <c r="BW46" s="107">
        <f t="shared" si="28"/>
        <v>311164.07061266876</v>
      </c>
      <c r="BX46" s="107">
        <f t="shared" si="28"/>
        <v>297114.01482337085</v>
      </c>
      <c r="BY46" s="107">
        <f t="shared" si="28"/>
        <v>415787.83570907137</v>
      </c>
      <c r="BZ46" s="107">
        <f t="shared" si="28"/>
        <v>492119.33761094231</v>
      </c>
      <c r="CA46" s="107">
        <f t="shared" si="28"/>
        <v>519191.28300064395</v>
      </c>
      <c r="CB46" s="107">
        <f t="shared" si="28"/>
        <v>452924.80399144703</v>
      </c>
      <c r="CC46" s="107">
        <f t="shared" si="28"/>
        <v>606038.75618356396</v>
      </c>
      <c r="CD46" s="107">
        <f t="shared" si="28"/>
        <v>947168.9650116273</v>
      </c>
      <c r="CE46" s="107">
        <f t="shared" si="28"/>
        <v>1090571.5862846104</v>
      </c>
      <c r="CF46" s="107">
        <f t="shared" si="28"/>
        <v>1044232.7726701446</v>
      </c>
      <c r="CG46" s="107">
        <f t="shared" si="28"/>
        <v>1186319</v>
      </c>
      <c r="CH46" s="107">
        <f t="shared" si="28"/>
        <v>1419002.21949</v>
      </c>
      <c r="CI46" s="107">
        <f t="shared" si="28"/>
        <v>1560066</v>
      </c>
      <c r="CJ46" s="107">
        <f t="shared" si="28"/>
        <v>1708637.9982190626</v>
      </c>
      <c r="CK46" s="107">
        <f t="shared" si="28"/>
        <v>1895857.2847049478</v>
      </c>
      <c r="CL46" s="107">
        <f t="shared" si="28"/>
        <v>2072771</v>
      </c>
      <c r="CM46" s="107">
        <f t="shared" si="28"/>
        <v>2231467.4976124251</v>
      </c>
      <c r="CN46" s="107">
        <f t="shared" si="28"/>
        <v>2576305</v>
      </c>
      <c r="CO46" s="107">
        <f>SUM(CO38:CO45)</f>
        <v>2866642.6162799997</v>
      </c>
      <c r="CP46" s="107">
        <f t="shared" ref="CP46:CR46" si="29">SUM(CP38:CP45)</f>
        <v>3068123.8719814918</v>
      </c>
      <c r="CQ46" s="107">
        <f t="shared" si="29"/>
        <v>3196096.8582053445</v>
      </c>
      <c r="CR46" s="107">
        <f t="shared" si="29"/>
        <v>3339037.6004385473</v>
      </c>
      <c r="CS46" s="330">
        <f t="shared" ref="CS46:CX46" si="30">SUM(CS38:CS45)</f>
        <v>4186521</v>
      </c>
      <c r="CT46" s="330">
        <f t="shared" si="30"/>
        <v>4632922</v>
      </c>
      <c r="CU46" s="330">
        <f t="shared" si="30"/>
        <v>4797583</v>
      </c>
      <c r="CV46" s="330">
        <f t="shared" si="30"/>
        <v>4878539</v>
      </c>
      <c r="CW46" s="330">
        <f t="shared" si="30"/>
        <v>4685206</v>
      </c>
      <c r="CX46" s="330">
        <f t="shared" si="30"/>
        <v>5102228</v>
      </c>
      <c r="CY46" s="330">
        <f t="shared" ref="CY46" si="31">SUM(CY38:CY45)</f>
        <v>5450315</v>
      </c>
    </row>
    <row r="47" spans="1:103" ht="16.2" thickBot="1">
      <c r="U47" s="59"/>
      <c r="V47" s="59"/>
      <c r="W47" s="59"/>
      <c r="X47" s="59"/>
      <c r="Y47" s="59"/>
      <c r="Z47" s="5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BA47" s="173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331"/>
      <c r="CT47" s="331"/>
      <c r="CU47" s="331"/>
      <c r="CV47" s="331"/>
      <c r="CW47" s="331"/>
      <c r="CX47" s="331"/>
      <c r="CY47" s="331"/>
    </row>
    <row r="48" spans="1:103" ht="16.2" thickBo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59"/>
      <c r="V48" s="59"/>
      <c r="W48" s="59"/>
      <c r="X48" s="59"/>
      <c r="Y48" s="59"/>
      <c r="Z48" s="5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BA48" s="332" t="s">
        <v>146</v>
      </c>
      <c r="BB48" s="225">
        <f t="shared" ref="BB48:CR48" si="32">SUM(BB46,BB35,BB34,BB21)</f>
        <v>756220.67690682621</v>
      </c>
      <c r="BC48" s="225">
        <f t="shared" si="32"/>
        <v>759956.19383100758</v>
      </c>
      <c r="BD48" s="225">
        <f t="shared" si="32"/>
        <v>715473.79609189765</v>
      </c>
      <c r="BE48" s="225">
        <f t="shared" si="32"/>
        <v>340743.93226716813</v>
      </c>
      <c r="BF48" s="225">
        <f t="shared" si="32"/>
        <v>291881.53201076435</v>
      </c>
      <c r="BG48" s="225">
        <f t="shared" si="32"/>
        <v>296025.13696422812</v>
      </c>
      <c r="BH48" s="225">
        <f t="shared" si="32"/>
        <v>265402.87864609499</v>
      </c>
      <c r="BI48" s="225">
        <f t="shared" si="32"/>
        <v>275604.67582306603</v>
      </c>
      <c r="BJ48" s="225">
        <f t="shared" si="32"/>
        <v>274483.92931682215</v>
      </c>
      <c r="BK48" s="225">
        <f t="shared" si="32"/>
        <v>287454.65307695069</v>
      </c>
      <c r="BL48" s="225">
        <f t="shared" si="32"/>
        <v>315550.34307327704</v>
      </c>
      <c r="BM48" s="225">
        <f t="shared" si="32"/>
        <v>308092.11595974606</v>
      </c>
      <c r="BN48" s="225">
        <f t="shared" si="32"/>
        <v>367474.78628373833</v>
      </c>
      <c r="BO48" s="225">
        <f t="shared" si="32"/>
        <v>337973.5123367199</v>
      </c>
      <c r="BP48" s="225">
        <f t="shared" si="32"/>
        <v>373142.44269872853</v>
      </c>
      <c r="BQ48" s="225">
        <f t="shared" si="32"/>
        <v>377891.01886792434</v>
      </c>
      <c r="BR48" s="225">
        <f t="shared" si="32"/>
        <v>371675.60252479377</v>
      </c>
      <c r="BS48" s="225">
        <f t="shared" si="32"/>
        <v>376467.85346051783</v>
      </c>
      <c r="BT48" s="225">
        <f t="shared" si="32"/>
        <v>316116.6695493469</v>
      </c>
      <c r="BU48" s="225">
        <f t="shared" si="32"/>
        <v>390647.22250850237</v>
      </c>
      <c r="BV48" s="225">
        <f t="shared" si="32"/>
        <v>1054182.7400820444</v>
      </c>
      <c r="BW48" s="225">
        <f t="shared" si="32"/>
        <v>1138926.2720664591</v>
      </c>
      <c r="BX48" s="225">
        <f t="shared" si="32"/>
        <v>1087707.1902974299</v>
      </c>
      <c r="BY48" s="225">
        <f t="shared" si="32"/>
        <v>1054626.1574518769</v>
      </c>
      <c r="BZ48" s="225">
        <f t="shared" si="32"/>
        <v>1341758.1742037113</v>
      </c>
      <c r="CA48" s="225">
        <f t="shared" si="32"/>
        <v>1340266.0173857054</v>
      </c>
      <c r="CB48" s="225">
        <f t="shared" si="32"/>
        <v>1257204.3834640058</v>
      </c>
      <c r="CC48" s="225">
        <f t="shared" si="32"/>
        <v>1348631.4046920126</v>
      </c>
      <c r="CD48" s="225">
        <f t="shared" si="32"/>
        <v>1658390.2577885075</v>
      </c>
      <c r="CE48" s="225">
        <f t="shared" si="32"/>
        <v>2113338.6097875079</v>
      </c>
      <c r="CF48" s="225">
        <f t="shared" si="32"/>
        <v>2102092.3592904038</v>
      </c>
      <c r="CG48" s="225">
        <f t="shared" si="32"/>
        <v>2190023.0310878968</v>
      </c>
      <c r="CH48" s="225">
        <f t="shared" si="32"/>
        <v>2714956.00697</v>
      </c>
      <c r="CI48" s="225">
        <f t="shared" si="32"/>
        <v>3110398.9316151203</v>
      </c>
      <c r="CJ48" s="225">
        <f t="shared" si="32"/>
        <v>3684413.7257790198</v>
      </c>
      <c r="CK48" s="225">
        <f t="shared" si="32"/>
        <v>3891086.1448256597</v>
      </c>
      <c r="CL48" s="225">
        <f t="shared" si="32"/>
        <v>4997891</v>
      </c>
      <c r="CM48" s="225">
        <f t="shared" si="32"/>
        <v>5371024.9460158413</v>
      </c>
      <c r="CN48" s="225">
        <f t="shared" si="32"/>
        <v>5695680</v>
      </c>
      <c r="CO48" s="225">
        <f t="shared" si="32"/>
        <v>5847795.4046338722</v>
      </c>
      <c r="CP48" s="225">
        <f t="shared" si="32"/>
        <v>6139993.8425633684</v>
      </c>
      <c r="CQ48" s="225">
        <f t="shared" si="32"/>
        <v>6604605.0699194726</v>
      </c>
      <c r="CR48" s="225">
        <f t="shared" si="32"/>
        <v>7948865.6587821255</v>
      </c>
      <c r="CS48" s="225">
        <f t="shared" ref="CS48:CX48" si="33">SUM(CS46,CS35,CS34,CS21)</f>
        <v>9002496</v>
      </c>
      <c r="CT48" s="225">
        <f t="shared" si="33"/>
        <v>9541614</v>
      </c>
      <c r="CU48" s="225">
        <f t="shared" si="33"/>
        <v>10158824</v>
      </c>
      <c r="CV48" s="225">
        <f t="shared" si="33"/>
        <v>11230343</v>
      </c>
      <c r="CW48" s="225">
        <f t="shared" si="33"/>
        <v>11663930</v>
      </c>
      <c r="CX48" s="225">
        <f t="shared" si="33"/>
        <v>12175482</v>
      </c>
      <c r="CY48" s="225">
        <f t="shared" ref="CY48" si="34">SUM(CY46,CY35,CY34,CY21)</f>
        <v>12268792</v>
      </c>
    </row>
    <row r="49" spans="2:103">
      <c r="U49" s="59"/>
      <c r="V49" s="59"/>
      <c r="W49" s="59"/>
      <c r="X49" s="59"/>
      <c r="Y49" s="59"/>
      <c r="Z49" s="5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BA49" s="18"/>
      <c r="BI49" s="18"/>
      <c r="BJ49" s="26"/>
      <c r="BK49" s="26"/>
      <c r="BL49" s="18"/>
      <c r="BM49" s="18"/>
      <c r="BN49" s="18"/>
      <c r="BO49" s="18"/>
      <c r="BP49" s="18"/>
      <c r="BQ49" s="18"/>
      <c r="CR49" s="29"/>
      <c r="CS49" s="29"/>
      <c r="CT49" s="29"/>
      <c r="CU49" s="29"/>
      <c r="CV49" s="29"/>
      <c r="CW49" s="29"/>
      <c r="CX49" s="29"/>
      <c r="CY49" s="29"/>
    </row>
    <row r="50" spans="2:10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59"/>
      <c r="V50" s="59"/>
      <c r="W50" s="59"/>
      <c r="X50" s="59"/>
      <c r="Y50" s="59"/>
      <c r="Z50" s="5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BE50" s="26"/>
      <c r="BF50" s="26"/>
      <c r="BG50" s="26"/>
      <c r="BH50" s="27"/>
    </row>
    <row r="51" spans="2:10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9"/>
      <c r="V51" s="59"/>
      <c r="W51" s="59"/>
      <c r="X51" s="59"/>
      <c r="Y51" s="59"/>
      <c r="Z51" s="5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BB51" s="18"/>
      <c r="BC51" s="18"/>
      <c r="BD51" s="18"/>
    </row>
    <row r="52" spans="2:103">
      <c r="U52" s="59"/>
      <c r="V52" s="59"/>
      <c r="W52" s="59"/>
      <c r="X52" s="59"/>
      <c r="Y52" s="59"/>
      <c r="Z52" s="5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</row>
    <row r="53" spans="2:103">
      <c r="U53" s="59"/>
      <c r="V53" s="59"/>
      <c r="W53" s="59"/>
      <c r="X53" s="59"/>
      <c r="Y53" s="59"/>
      <c r="Z53" s="5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</row>
    <row r="54" spans="2:103">
      <c r="U54" s="64"/>
      <c r="V54" s="64"/>
      <c r="W54" s="64"/>
      <c r="X54" s="64"/>
      <c r="Y54" s="64"/>
      <c r="Z54" s="64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BB54" s="29"/>
      <c r="BC54" s="29"/>
      <c r="BD54" s="29"/>
      <c r="BE54" s="29"/>
      <c r="BF54" s="29"/>
      <c r="BG54" s="29"/>
      <c r="BH54" s="30"/>
      <c r="BI54" s="29"/>
      <c r="BJ54" s="29"/>
      <c r="BK54" s="29"/>
      <c r="BL54" s="29"/>
      <c r="BM54" s="29"/>
      <c r="BN54" s="29"/>
      <c r="BQ54" s="29"/>
    </row>
    <row r="55" spans="2:103">
      <c r="BB55" s="25"/>
      <c r="BC55" s="25"/>
      <c r="BD55" s="25"/>
      <c r="BE55" s="25"/>
      <c r="BF55" s="25"/>
      <c r="BG55" s="25"/>
      <c r="BH55" s="31"/>
      <c r="BI55" s="25"/>
      <c r="BJ55" s="25"/>
      <c r="BK55" s="25"/>
      <c r="BL55" s="25"/>
      <c r="BM55" s="25"/>
      <c r="BN55" s="25"/>
      <c r="BQ55" s="25"/>
    </row>
    <row r="56" spans="2:103">
      <c r="BB56" s="25"/>
      <c r="BC56" s="25"/>
      <c r="BD56" s="25"/>
      <c r="BE56" s="25"/>
      <c r="BF56" s="25"/>
      <c r="BG56" s="25"/>
      <c r="BH56" s="31"/>
      <c r="BI56" s="25"/>
      <c r="BJ56" s="25"/>
      <c r="BK56" s="25"/>
      <c r="BL56" s="25"/>
      <c r="BM56" s="25"/>
      <c r="BN56" s="25"/>
      <c r="BQ56" s="25"/>
    </row>
    <row r="65" spans="21:60">
      <c r="U65" s="59"/>
      <c r="V65" s="59"/>
      <c r="W65" s="59"/>
      <c r="X65" s="59"/>
      <c r="Y65" s="59"/>
      <c r="Z65" s="5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</row>
    <row r="66" spans="21:60">
      <c r="U66" s="59"/>
      <c r="V66" s="59"/>
      <c r="W66" s="59"/>
      <c r="X66" s="59"/>
      <c r="Y66" s="59"/>
      <c r="Z66" s="5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</row>
    <row r="67" spans="21:60">
      <c r="U67" s="59"/>
      <c r="V67" s="59"/>
      <c r="W67" s="59"/>
      <c r="X67" s="59"/>
      <c r="Y67" s="59"/>
      <c r="Z67" s="5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</row>
    <row r="71" spans="21:60">
      <c r="BH71" s="23"/>
    </row>
    <row r="72" spans="21:60">
      <c r="BH72" s="23"/>
    </row>
    <row r="73" spans="21:60">
      <c r="BH73" s="23"/>
    </row>
  </sheetData>
  <phoneticPr fontId="81" type="noConversion"/>
  <pageMargins left="0.51181102362204722" right="0.51181102362204722" top="0.78740157480314965" bottom="0.78740157480314965" header="0.31496062992125984" footer="0.31496062992125984"/>
  <pageSetup paperSize="9" scale="22" fitToHeight="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1B3E-6E1D-4438-BE76-9029AE8DF464}">
  <dimension ref="A2:J76"/>
  <sheetViews>
    <sheetView showGridLines="0" zoomScale="82" zoomScaleNormal="82" workbookViewId="0">
      <pane xSplit="2" ySplit="6" topLeftCell="C7" activePane="bottomRight" state="frozen"/>
      <selection pane="topRight" activeCell="AR7" sqref="AR7"/>
      <selection pane="bottomLeft" activeCell="AR7" sqref="AR7"/>
      <selection pane="bottomRight" activeCell="J8" sqref="J8"/>
    </sheetView>
  </sheetViews>
  <sheetFormatPr defaultColWidth="9.33203125" defaultRowHeight="15.6"/>
  <cols>
    <col min="1" max="1" width="9.33203125" style="32" customWidth="1"/>
    <col min="2" max="2" width="73.6640625" style="32" bestFit="1" customWidth="1"/>
    <col min="3" max="4" width="14.44140625" style="32" customWidth="1"/>
    <col min="5" max="5" width="15.33203125" style="32" bestFit="1" customWidth="1"/>
    <col min="6" max="6" width="15.44140625" style="32" bestFit="1" customWidth="1"/>
    <col min="7" max="7" width="16" style="32" bestFit="1" customWidth="1"/>
    <col min="8" max="9" width="17.33203125" style="32" bestFit="1" customWidth="1"/>
    <col min="10" max="10" width="17.33203125" style="32" customWidth="1"/>
    <col min="11" max="14" width="9.33203125" style="32"/>
    <col min="15" max="15" width="9.6640625" style="32" bestFit="1" customWidth="1"/>
    <col min="16" max="16384" width="9.33203125" style="32"/>
  </cols>
  <sheetData>
    <row r="2" spans="1:10">
      <c r="C2" s="222" t="s">
        <v>23</v>
      </c>
      <c r="D2" s="222" t="s">
        <v>27</v>
      </c>
      <c r="E2" s="222" t="s">
        <v>31</v>
      </c>
    </row>
    <row r="3" spans="1:10">
      <c r="C3" s="222"/>
      <c r="D3" s="222"/>
      <c r="E3" s="222"/>
    </row>
    <row r="4" spans="1:10">
      <c r="B4" s="274"/>
      <c r="C4" s="222"/>
      <c r="D4" s="222"/>
      <c r="E4" s="222"/>
    </row>
    <row r="5" spans="1:10" ht="18" customHeight="1" thickBot="1">
      <c r="A5" s="204"/>
      <c r="B5" s="205"/>
      <c r="C5" s="216">
        <v>43800</v>
      </c>
      <c r="D5" s="216">
        <v>44166</v>
      </c>
      <c r="E5" s="216">
        <v>44531</v>
      </c>
      <c r="F5" s="216">
        <v>44896</v>
      </c>
      <c r="G5" s="216">
        <v>45261</v>
      </c>
      <c r="H5" s="216">
        <v>45627</v>
      </c>
      <c r="I5" s="342">
        <v>45992</v>
      </c>
      <c r="J5" s="342">
        <v>46174</v>
      </c>
    </row>
    <row r="6" spans="1:10" ht="18" hidden="1" customHeight="1" thickBot="1">
      <c r="A6" s="204"/>
      <c r="B6" s="205"/>
      <c r="C6" s="206"/>
      <c r="D6" s="206">
        <v>2020</v>
      </c>
      <c r="E6" s="206">
        <v>2021</v>
      </c>
      <c r="G6" s="283"/>
      <c r="H6" s="283"/>
      <c r="I6" s="283"/>
      <c r="J6" s="283"/>
    </row>
    <row r="7" spans="1:10" ht="18" customHeight="1">
      <c r="A7" s="204"/>
      <c r="B7" s="207" t="s">
        <v>147</v>
      </c>
      <c r="C7" s="204"/>
      <c r="D7" s="204"/>
      <c r="E7" s="204"/>
      <c r="G7" s="283"/>
      <c r="H7" s="283"/>
      <c r="I7" s="283"/>
      <c r="J7" s="283"/>
    </row>
    <row r="8" spans="1:10" ht="18">
      <c r="A8" s="208"/>
      <c r="B8" s="209" t="s">
        <v>148</v>
      </c>
      <c r="C8" s="213">
        <v>137161.63906392007</v>
      </c>
      <c r="D8" s="213">
        <v>93914.608860242006</v>
      </c>
      <c r="E8" s="213">
        <v>291421.47799831541</v>
      </c>
      <c r="F8" s="213">
        <v>761913</v>
      </c>
      <c r="G8" s="213">
        <v>1248259</v>
      </c>
      <c r="H8" s="213">
        <v>1128087</v>
      </c>
      <c r="I8" s="319">
        <v>-48333</v>
      </c>
      <c r="J8" s="319">
        <v>747197</v>
      </c>
    </row>
    <row r="9" spans="1:10" ht="18">
      <c r="A9" s="210"/>
      <c r="B9" s="211" t="s">
        <v>149</v>
      </c>
      <c r="C9" s="275">
        <v>129037.44070205772</v>
      </c>
      <c r="D9" s="275">
        <v>163702.58419325776</v>
      </c>
      <c r="E9" s="275">
        <v>171314.58857360642</v>
      </c>
      <c r="F9" s="275">
        <v>156961</v>
      </c>
      <c r="G9" s="275">
        <v>392175</v>
      </c>
      <c r="H9" s="275">
        <v>497319</v>
      </c>
      <c r="I9" s="280">
        <v>1045333</v>
      </c>
      <c r="J9" s="280">
        <v>701565</v>
      </c>
    </row>
    <row r="10" spans="1:10" ht="18">
      <c r="A10" s="210"/>
      <c r="B10" s="211" t="s">
        <v>280</v>
      </c>
      <c r="C10" s="275">
        <v>81911.816725352604</v>
      </c>
      <c r="D10" s="275">
        <v>130058.77364519206</v>
      </c>
      <c r="E10" s="275">
        <v>103771.30273048457</v>
      </c>
      <c r="F10" s="275">
        <v>26718</v>
      </c>
      <c r="G10" s="275">
        <v>206176</v>
      </c>
      <c r="H10" s="275">
        <v>-39980</v>
      </c>
      <c r="I10" s="280">
        <v>357183</v>
      </c>
      <c r="J10" s="280">
        <v>280571</v>
      </c>
    </row>
    <row r="11" spans="1:10" ht="18">
      <c r="A11" s="210"/>
      <c r="B11" s="211" t="s">
        <v>150</v>
      </c>
      <c r="C11" s="275">
        <v>3380.3500424014078</v>
      </c>
      <c r="D11" s="275">
        <v>1463.7781437996323</v>
      </c>
      <c r="E11" s="275">
        <v>5351.1084327813624</v>
      </c>
      <c r="F11" s="275">
        <v>6929</v>
      </c>
      <c r="G11" s="275">
        <v>18118</v>
      </c>
      <c r="H11" s="275">
        <v>12795</v>
      </c>
      <c r="I11" s="280">
        <v>12757</v>
      </c>
      <c r="J11" s="280">
        <v>10700</v>
      </c>
    </row>
    <row r="12" spans="1:10" ht="18">
      <c r="A12" s="210"/>
      <c r="B12" s="211" t="s">
        <v>151</v>
      </c>
      <c r="C12" s="275">
        <v>0</v>
      </c>
      <c r="D12" s="275">
        <v>0</v>
      </c>
      <c r="E12" s="275">
        <v>0</v>
      </c>
      <c r="F12" s="275">
        <v>0</v>
      </c>
      <c r="G12" s="275">
        <v>0</v>
      </c>
      <c r="H12" s="275">
        <v>0</v>
      </c>
      <c r="I12" s="280">
        <v>0</v>
      </c>
      <c r="J12" s="280">
        <v>0</v>
      </c>
    </row>
    <row r="13" spans="1:10" ht="18">
      <c r="A13" s="210"/>
      <c r="B13" s="211" t="s">
        <v>152</v>
      </c>
      <c r="C13" s="275">
        <v>0</v>
      </c>
      <c r="D13" s="275">
        <v>0</v>
      </c>
      <c r="E13" s="275">
        <v>0</v>
      </c>
      <c r="F13" s="275">
        <v>0</v>
      </c>
      <c r="G13" s="275">
        <v>0</v>
      </c>
      <c r="H13" s="275">
        <v>0</v>
      </c>
      <c r="I13" s="280">
        <v>0</v>
      </c>
      <c r="J13" s="280">
        <v>0</v>
      </c>
    </row>
    <row r="14" spans="1:10" ht="18">
      <c r="A14" s="210"/>
      <c r="B14" s="211" t="s">
        <v>153</v>
      </c>
      <c r="C14" s="275">
        <v>0</v>
      </c>
      <c r="D14" s="275">
        <v>0</v>
      </c>
      <c r="E14" s="275">
        <v>0</v>
      </c>
      <c r="F14" s="275">
        <v>0</v>
      </c>
      <c r="G14" s="275">
        <v>0</v>
      </c>
      <c r="H14" s="275">
        <v>0</v>
      </c>
      <c r="I14" s="280">
        <v>0</v>
      </c>
      <c r="J14" s="280">
        <v>0</v>
      </c>
    </row>
    <row r="15" spans="1:10" ht="18">
      <c r="A15" s="210"/>
      <c r="B15" s="211" t="s">
        <v>154</v>
      </c>
      <c r="C15" s="210">
        <v>4955.2945007676826</v>
      </c>
      <c r="D15" s="210">
        <v>-2642.5609140748561</v>
      </c>
      <c r="E15" s="210">
        <v>17188.008333987087</v>
      </c>
      <c r="F15" s="210">
        <v>7767</v>
      </c>
      <c r="G15" s="210">
        <v>12360</v>
      </c>
      <c r="H15" s="210">
        <v>-69265</v>
      </c>
      <c r="I15" s="341">
        <v>8156</v>
      </c>
      <c r="J15" s="341">
        <v>2564</v>
      </c>
    </row>
    <row r="16" spans="1:10" ht="18">
      <c r="A16" s="210"/>
      <c r="B16" s="211" t="s">
        <v>155</v>
      </c>
      <c r="C16" s="210">
        <v>-18960.181322354074</v>
      </c>
      <c r="D16" s="210">
        <v>0</v>
      </c>
      <c r="E16" s="210">
        <v>0</v>
      </c>
      <c r="F16" s="210">
        <v>0</v>
      </c>
      <c r="G16" s="210">
        <v>0</v>
      </c>
      <c r="H16" s="210">
        <v>0</v>
      </c>
      <c r="I16" s="341">
        <v>-23633</v>
      </c>
      <c r="J16" s="341"/>
    </row>
    <row r="17" spans="1:10" ht="18">
      <c r="A17" s="210"/>
      <c r="B17" s="211" t="s">
        <v>156</v>
      </c>
      <c r="C17" s="210">
        <v>-3346.8837403240818</v>
      </c>
      <c r="D17" s="210">
        <v>-116851.98327262512</v>
      </c>
      <c r="E17" s="210">
        <v>-29780.326819484173</v>
      </c>
      <c r="F17" s="210">
        <v>-71034</v>
      </c>
      <c r="G17" s="210">
        <v>-109216</v>
      </c>
      <c r="H17" s="210">
        <v>2469</v>
      </c>
      <c r="I17" s="341">
        <v>0</v>
      </c>
      <c r="J17" s="341">
        <v>-16584</v>
      </c>
    </row>
    <row r="18" spans="1:10" ht="18">
      <c r="A18" s="210"/>
      <c r="B18" s="211" t="s">
        <v>157</v>
      </c>
      <c r="C18" s="275">
        <v>-144100.3190279523</v>
      </c>
      <c r="D18" s="275">
        <v>0</v>
      </c>
      <c r="E18" s="275">
        <v>0</v>
      </c>
      <c r="F18" s="275">
        <v>0</v>
      </c>
      <c r="G18" s="275">
        <v>0</v>
      </c>
      <c r="H18" s="275">
        <v>0</v>
      </c>
      <c r="I18" s="280">
        <v>0</v>
      </c>
      <c r="J18" s="280">
        <v>0</v>
      </c>
    </row>
    <row r="19" spans="1:10" ht="18">
      <c r="A19" s="210"/>
      <c r="B19" s="211" t="s">
        <v>158</v>
      </c>
      <c r="C19" s="275">
        <v>7010.429687425285</v>
      </c>
      <c r="D19" s="275">
        <v>0</v>
      </c>
      <c r="E19" s="275">
        <v>0</v>
      </c>
      <c r="F19" s="275">
        <v>0</v>
      </c>
      <c r="G19" s="275">
        <v>0</v>
      </c>
      <c r="H19" s="275">
        <v>0</v>
      </c>
      <c r="I19" s="280">
        <v>0</v>
      </c>
      <c r="J19" s="280">
        <v>0</v>
      </c>
    </row>
    <row r="20" spans="1:10" ht="18">
      <c r="A20" s="210"/>
      <c r="B20" s="211" t="s">
        <v>159</v>
      </c>
      <c r="C20" s="275">
        <v>0</v>
      </c>
      <c r="D20" s="275">
        <v>0</v>
      </c>
      <c r="E20" s="275">
        <v>0</v>
      </c>
      <c r="F20" s="275">
        <v>0</v>
      </c>
      <c r="G20" s="275">
        <v>-7134</v>
      </c>
      <c r="H20" s="275">
        <v>0</v>
      </c>
      <c r="I20" s="280">
        <v>0</v>
      </c>
      <c r="J20" s="280">
        <v>0</v>
      </c>
    </row>
    <row r="21" spans="1:10" ht="18">
      <c r="A21" s="210"/>
      <c r="B21" s="211" t="s">
        <v>160</v>
      </c>
      <c r="C21" s="275">
        <v>0</v>
      </c>
      <c r="D21" s="275">
        <v>0</v>
      </c>
      <c r="E21" s="275">
        <v>0</v>
      </c>
      <c r="F21" s="275">
        <v>0</v>
      </c>
      <c r="G21" s="275">
        <v>0</v>
      </c>
      <c r="H21" s="275">
        <v>-9760</v>
      </c>
      <c r="I21" s="280">
        <v>0</v>
      </c>
      <c r="J21" s="280">
        <v>0</v>
      </c>
    </row>
    <row r="22" spans="1:10" ht="18.600000000000001" thickBot="1">
      <c r="A22" s="210"/>
      <c r="B22" s="212"/>
      <c r="C22" s="285"/>
      <c r="D22" s="285"/>
      <c r="E22" s="285"/>
      <c r="F22" s="285"/>
      <c r="G22" s="276"/>
      <c r="H22" s="276"/>
      <c r="I22" s="281"/>
      <c r="J22" s="281"/>
    </row>
    <row r="23" spans="1:10" ht="18">
      <c r="A23" s="208"/>
      <c r="B23" s="211"/>
      <c r="C23" s="213">
        <f>SUM(C8:C20)</f>
        <v>197049.58663129434</v>
      </c>
      <c r="D23" s="213">
        <f>SUM(D8:D20)</f>
        <v>269645.2006557915</v>
      </c>
      <c r="E23" s="213">
        <f>SUM(E8:E20)</f>
        <v>559266.15924969083</v>
      </c>
      <c r="F23" s="213">
        <f>SUM(F8:F20)</f>
        <v>889254</v>
      </c>
      <c r="G23" s="213">
        <f>SUM(G8:G22)</f>
        <v>1760738</v>
      </c>
      <c r="H23" s="213">
        <f>SUM(H8:H22)</f>
        <v>1521665</v>
      </c>
      <c r="I23" s="213">
        <f>SUM(I8:I22)</f>
        <v>1351463</v>
      </c>
      <c r="J23" s="213">
        <f>SUM(J8:J22)</f>
        <v>1726013</v>
      </c>
    </row>
    <row r="24" spans="1:10" ht="18">
      <c r="A24" s="208"/>
      <c r="B24" s="209" t="s">
        <v>161</v>
      </c>
      <c r="C24" s="213"/>
      <c r="D24" s="213"/>
      <c r="E24" s="213"/>
      <c r="F24" s="213"/>
      <c r="G24" s="283"/>
      <c r="H24" s="283"/>
      <c r="I24" s="283"/>
      <c r="J24" s="283"/>
    </row>
    <row r="25" spans="1:10" ht="18">
      <c r="A25" s="210"/>
      <c r="B25" s="211" t="s">
        <v>99</v>
      </c>
      <c r="C25" s="275">
        <v>-85128.638246240196</v>
      </c>
      <c r="D25" s="275">
        <v>6122.2593616812455</v>
      </c>
      <c r="E25" s="280">
        <v>-97893.578511587577</v>
      </c>
      <c r="F25" s="280">
        <v>132410</v>
      </c>
      <c r="G25" s="280">
        <v>-305968</v>
      </c>
      <c r="H25" s="280">
        <v>291063</v>
      </c>
      <c r="I25" s="280">
        <v>-158650</v>
      </c>
      <c r="J25" s="280">
        <v>-498695</v>
      </c>
    </row>
    <row r="26" spans="1:10" ht="18">
      <c r="A26" s="210"/>
      <c r="B26" s="211" t="s">
        <v>128</v>
      </c>
      <c r="C26" s="275">
        <v>-6428.0653247615155</v>
      </c>
      <c r="D26" s="275">
        <v>1662.8286905906757</v>
      </c>
      <c r="E26" s="280">
        <v>-1674.906464810703</v>
      </c>
      <c r="F26" s="280">
        <v>8306</v>
      </c>
      <c r="G26" s="280">
        <v>-85787</v>
      </c>
      <c r="H26" s="280">
        <v>98475</v>
      </c>
      <c r="I26" s="280">
        <v>60323</v>
      </c>
      <c r="J26" s="280">
        <v>-56209</v>
      </c>
    </row>
    <row r="27" spans="1:10" ht="18">
      <c r="A27" s="210"/>
      <c r="B27" s="211" t="s">
        <v>111</v>
      </c>
      <c r="C27" s="275">
        <v>-1263.8599686020414</v>
      </c>
      <c r="D27" s="275">
        <v>-3313.2409728045222</v>
      </c>
      <c r="E27" s="280">
        <v>3144.1431246342049</v>
      </c>
      <c r="F27" s="280">
        <v>-206</v>
      </c>
      <c r="G27" s="280">
        <v>-2150</v>
      </c>
      <c r="H27" s="280">
        <v>-844</v>
      </c>
      <c r="I27" s="280">
        <v>-1058</v>
      </c>
      <c r="J27" s="280">
        <v>-3414</v>
      </c>
    </row>
    <row r="28" spans="1:10" ht="18">
      <c r="A28" s="210"/>
      <c r="B28" s="211" t="s">
        <v>107</v>
      </c>
      <c r="C28" s="275">
        <v>-3349.9261314220203</v>
      </c>
      <c r="D28" s="275">
        <v>171.69564708584156</v>
      </c>
      <c r="E28" s="280">
        <v>-7163.2576975173624</v>
      </c>
      <c r="F28" s="280">
        <v>-20668</v>
      </c>
      <c r="G28" s="280">
        <v>5201</v>
      </c>
      <c r="H28" s="280">
        <v>-73758</v>
      </c>
      <c r="I28" s="280">
        <v>17344</v>
      </c>
      <c r="J28" s="280">
        <v>61402</v>
      </c>
    </row>
    <row r="29" spans="1:10" ht="18">
      <c r="A29" s="210"/>
      <c r="B29" s="211" t="s">
        <v>278</v>
      </c>
      <c r="C29" s="275">
        <v>15076.315553243809</v>
      </c>
      <c r="D29" s="275">
        <v>-6081.1300089329989</v>
      </c>
      <c r="E29" s="275">
        <v>-9920.5549696709149</v>
      </c>
      <c r="F29" s="275">
        <v>-47918</v>
      </c>
      <c r="G29" s="275">
        <v>34231</v>
      </c>
      <c r="H29" s="275">
        <v>-6833</v>
      </c>
      <c r="I29" s="275">
        <v>-33609</v>
      </c>
      <c r="J29" s="280">
        <v>114855</v>
      </c>
    </row>
    <row r="30" spans="1:10" ht="18">
      <c r="A30" s="210"/>
      <c r="B30" s="211" t="s">
        <v>162</v>
      </c>
      <c r="C30" s="275">
        <v>0</v>
      </c>
      <c r="D30" s="275">
        <v>0</v>
      </c>
      <c r="E30" s="275">
        <v>0</v>
      </c>
      <c r="F30" s="275">
        <v>0</v>
      </c>
      <c r="G30" s="275">
        <v>0</v>
      </c>
      <c r="H30" s="275">
        <v>0</v>
      </c>
      <c r="I30" s="280">
        <v>0</v>
      </c>
      <c r="J30" s="280">
        <v>0</v>
      </c>
    </row>
    <row r="31" spans="1:10" ht="18">
      <c r="A31" s="210"/>
      <c r="B31" s="211" t="s">
        <v>163</v>
      </c>
      <c r="C31" s="275">
        <v>-3195.5247832016307</v>
      </c>
      <c r="D31" s="275">
        <v>45325.710766853292</v>
      </c>
      <c r="E31" s="280">
        <v>8694.1175408767267</v>
      </c>
      <c r="F31" s="280">
        <v>1519</v>
      </c>
      <c r="G31" s="275">
        <v>-23998</v>
      </c>
      <c r="H31" s="275">
        <v>12159</v>
      </c>
      <c r="I31" s="280">
        <v>-8569</v>
      </c>
      <c r="J31" s="356">
        <v>31687</v>
      </c>
    </row>
    <row r="32" spans="1:10" ht="18">
      <c r="A32" s="210"/>
      <c r="B32" s="211" t="s">
        <v>126</v>
      </c>
      <c r="C32" s="275">
        <v>-1425.360229384288</v>
      </c>
      <c r="D32" s="275">
        <v>-3256.5911095852389</v>
      </c>
      <c r="E32" s="280">
        <v>1881.7426392023681</v>
      </c>
      <c r="F32" s="280">
        <v>-453</v>
      </c>
      <c r="G32" s="280">
        <v>361</v>
      </c>
      <c r="H32" s="280">
        <v>1393</v>
      </c>
      <c r="I32" s="280">
        <v>77</v>
      </c>
      <c r="J32" s="356">
        <v>7</v>
      </c>
    </row>
    <row r="33" spans="1:10" ht="18">
      <c r="A33" s="210"/>
      <c r="B33" s="211" t="s">
        <v>113</v>
      </c>
      <c r="C33" s="275">
        <v>327.56410821140167</v>
      </c>
      <c r="D33" s="275">
        <v>26.966886943425962</v>
      </c>
      <c r="E33" s="280">
        <v>-99.724584081695753</v>
      </c>
      <c r="F33" s="280">
        <v>439</v>
      </c>
      <c r="G33" s="280">
        <v>111</v>
      </c>
      <c r="H33" s="280">
        <v>1504</v>
      </c>
      <c r="I33" s="280">
        <v>113</v>
      </c>
      <c r="J33" s="356">
        <v>-138</v>
      </c>
    </row>
    <row r="34" spans="1:10" ht="18">
      <c r="A34" s="210"/>
      <c r="B34" s="209" t="s">
        <v>164</v>
      </c>
      <c r="C34" s="275"/>
      <c r="D34" s="275"/>
      <c r="E34" s="280"/>
      <c r="F34" s="280"/>
      <c r="G34" s="280"/>
      <c r="H34" s="280"/>
      <c r="I34" s="280"/>
      <c r="J34" s="356"/>
    </row>
    <row r="35" spans="1:10" ht="18">
      <c r="A35" s="210"/>
      <c r="B35" s="211" t="s">
        <v>93</v>
      </c>
      <c r="C35" s="275">
        <v>-9011.3088995029793</v>
      </c>
      <c r="D35" s="275">
        <v>15687.937977742831</v>
      </c>
      <c r="E35" s="280">
        <v>12377.123330373428</v>
      </c>
      <c r="F35" s="280">
        <v>70309</v>
      </c>
      <c r="G35" s="280">
        <v>37803</v>
      </c>
      <c r="H35" s="280">
        <v>-44325</v>
      </c>
      <c r="I35" s="280">
        <v>240751</v>
      </c>
      <c r="J35" s="356">
        <v>-181959</v>
      </c>
    </row>
    <row r="36" spans="1:10" ht="18">
      <c r="A36" s="210"/>
      <c r="B36" s="211" t="s">
        <v>95</v>
      </c>
      <c r="C36" s="275">
        <v>3316.2062967531997</v>
      </c>
      <c r="D36" s="275">
        <v>3087.0295326891646</v>
      </c>
      <c r="E36" s="280">
        <v>14864.989270095732</v>
      </c>
      <c r="F36" s="280">
        <v>-422</v>
      </c>
      <c r="G36" s="280">
        <v>24640</v>
      </c>
      <c r="H36" s="280">
        <v>-12197</v>
      </c>
      <c r="I36" s="280">
        <v>47608</v>
      </c>
      <c r="J36" s="356">
        <v>-22882</v>
      </c>
    </row>
    <row r="37" spans="1:10" ht="18">
      <c r="A37" s="210"/>
      <c r="B37" s="211" t="s">
        <v>98</v>
      </c>
      <c r="C37" s="275">
        <v>797.86706543442813</v>
      </c>
      <c r="D37" s="275">
        <v>-16017.942831633245</v>
      </c>
      <c r="E37" s="280">
        <v>-38276.550351403457</v>
      </c>
      <c r="F37" s="280">
        <v>-117803</v>
      </c>
      <c r="G37" s="280">
        <v>-69281</v>
      </c>
      <c r="H37" s="280">
        <v>-150431</v>
      </c>
      <c r="I37" s="280">
        <v>-140612</v>
      </c>
      <c r="J37" s="356">
        <v>19113</v>
      </c>
    </row>
    <row r="38" spans="1:10" ht="22.5" customHeight="1">
      <c r="A38" s="210"/>
      <c r="B38" s="211" t="s">
        <v>162</v>
      </c>
      <c r="C38" s="275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80">
        <v>0</v>
      </c>
      <c r="J38" s="356">
        <v>0</v>
      </c>
    </row>
    <row r="39" spans="1:10" ht="18">
      <c r="A39" s="210"/>
      <c r="B39" s="211" t="s">
        <v>165</v>
      </c>
      <c r="C39" s="275">
        <v>4966.4499347934579</v>
      </c>
      <c r="D39" s="275">
        <v>3146.3954852408797</v>
      </c>
      <c r="E39" s="275">
        <v>-20576.311453955812</v>
      </c>
      <c r="F39" s="275">
        <v>0</v>
      </c>
      <c r="G39" s="275">
        <v>0</v>
      </c>
      <c r="H39" s="275">
        <v>0</v>
      </c>
      <c r="I39" s="280"/>
      <c r="J39" s="356">
        <v>0</v>
      </c>
    </row>
    <row r="40" spans="1:10" ht="18">
      <c r="A40" s="210"/>
      <c r="B40" s="211" t="s">
        <v>163</v>
      </c>
      <c r="C40" s="275">
        <v>307.78856607480003</v>
      </c>
      <c r="D40" s="275">
        <v>0.77602552355182619</v>
      </c>
      <c r="E40" s="275">
        <v>0</v>
      </c>
      <c r="F40" s="275">
        <v>0</v>
      </c>
      <c r="G40" s="275">
        <v>0</v>
      </c>
      <c r="H40" s="275">
        <v>0</v>
      </c>
      <c r="I40" s="280">
        <v>0</v>
      </c>
      <c r="J40" s="356">
        <v>0</v>
      </c>
    </row>
    <row r="41" spans="1:10" ht="18">
      <c r="A41" s="210"/>
      <c r="B41" s="211" t="s">
        <v>166</v>
      </c>
      <c r="C41" s="275">
        <v>-373.1999746804824</v>
      </c>
      <c r="D41" s="275">
        <v>0</v>
      </c>
      <c r="E41" s="280">
        <v>-540.80661386993677</v>
      </c>
      <c r="F41" s="280">
        <v>883</v>
      </c>
      <c r="G41" s="280">
        <v>0</v>
      </c>
      <c r="H41" s="280">
        <v>0</v>
      </c>
      <c r="I41" s="280">
        <v>-820</v>
      </c>
      <c r="J41" s="356">
        <v>0</v>
      </c>
    </row>
    <row r="42" spans="1:10" ht="18.600000000000001" thickBot="1">
      <c r="A42" s="210"/>
      <c r="B42" s="214" t="s">
        <v>167</v>
      </c>
      <c r="C42" s="276">
        <v>-725.86380944987854</v>
      </c>
      <c r="D42" s="276">
        <v>-2393.6507273956081</v>
      </c>
      <c r="E42" s="281">
        <v>-116.24815064493968</v>
      </c>
      <c r="F42" s="281">
        <v>284</v>
      </c>
      <c r="G42" s="281">
        <v>23251</v>
      </c>
      <c r="H42" s="281">
        <v>-7925</v>
      </c>
      <c r="I42" s="281">
        <v>9135</v>
      </c>
      <c r="J42" s="357">
        <v>9921</v>
      </c>
    </row>
    <row r="43" spans="1:10" ht="18">
      <c r="A43" s="208"/>
      <c r="B43" s="209" t="s">
        <v>168</v>
      </c>
      <c r="C43" s="213">
        <f t="shared" ref="C43:I43" si="0">SUM(C23:C42)</f>
        <v>110940.03078856041</v>
      </c>
      <c r="D43" s="213">
        <f t="shared" si="0"/>
        <v>313814.24537979078</v>
      </c>
      <c r="E43" s="213">
        <f t="shared" si="0"/>
        <v>423966.3363573309</v>
      </c>
      <c r="F43" s="213">
        <f t="shared" si="0"/>
        <v>915934</v>
      </c>
      <c r="G43" s="319">
        <f t="shared" si="0"/>
        <v>1399152</v>
      </c>
      <c r="H43" s="319">
        <f t="shared" si="0"/>
        <v>1629946</v>
      </c>
      <c r="I43" s="319">
        <f t="shared" si="0"/>
        <v>1383496</v>
      </c>
      <c r="J43" s="319">
        <f>SUM(J23:J42)</f>
        <v>1199701</v>
      </c>
    </row>
    <row r="44" spans="1:10" ht="18">
      <c r="A44" s="210"/>
      <c r="B44" s="211"/>
    </row>
    <row r="45" spans="1:10" ht="18">
      <c r="A45" s="210"/>
      <c r="B45" s="207" t="s">
        <v>169</v>
      </c>
    </row>
    <row r="46" spans="1:10" ht="18">
      <c r="A46" s="210"/>
      <c r="B46" s="211" t="s">
        <v>170</v>
      </c>
      <c r="C46" s="275">
        <v>109407.17274038265</v>
      </c>
      <c r="D46" s="275">
        <v>40060.571595935042</v>
      </c>
      <c r="E46" s="280">
        <v>-672878.50943544181</v>
      </c>
      <c r="F46" s="280">
        <v>668486</v>
      </c>
      <c r="G46" s="280">
        <v>0</v>
      </c>
      <c r="H46" s="280">
        <v>0</v>
      </c>
      <c r="I46" s="280">
        <v>0</v>
      </c>
      <c r="J46" s="280">
        <v>0</v>
      </c>
    </row>
    <row r="47" spans="1:10" ht="18">
      <c r="A47" s="210"/>
      <c r="B47" s="211" t="s">
        <v>171</v>
      </c>
      <c r="C47" s="275">
        <v>-8870.0912460403251</v>
      </c>
      <c r="D47" s="275">
        <v>12794.720819560735</v>
      </c>
      <c r="E47" s="280">
        <v>6507.5636973076944</v>
      </c>
      <c r="F47" s="280">
        <v>0</v>
      </c>
      <c r="G47" s="280">
        <v>0</v>
      </c>
      <c r="H47" s="280">
        <v>0</v>
      </c>
      <c r="I47" s="280">
        <v>0</v>
      </c>
      <c r="J47" s="280">
        <v>0</v>
      </c>
    </row>
    <row r="48" spans="1:10" ht="18">
      <c r="A48" s="210"/>
      <c r="B48" s="211" t="s">
        <v>117</v>
      </c>
      <c r="C48" s="275">
        <v>0</v>
      </c>
      <c r="D48" s="275">
        <v>0</v>
      </c>
      <c r="E48" s="275">
        <v>0</v>
      </c>
      <c r="F48" s="275">
        <v>0</v>
      </c>
      <c r="G48" s="275">
        <v>-2594</v>
      </c>
      <c r="H48" s="275">
        <v>0</v>
      </c>
      <c r="I48" s="280">
        <v>0</v>
      </c>
      <c r="J48" s="280">
        <v>0</v>
      </c>
    </row>
    <row r="49" spans="1:10" ht="18">
      <c r="A49" s="210"/>
      <c r="B49" s="211" t="s">
        <v>172</v>
      </c>
      <c r="C49" s="275">
        <v>-37563.895821066326</v>
      </c>
      <c r="D49" s="275">
        <v>-31646.902869586138</v>
      </c>
      <c r="E49" s="280">
        <v>-122915.1181608575</v>
      </c>
      <c r="F49" s="280">
        <v>-368804</v>
      </c>
      <c r="G49" s="275">
        <v>-864149</v>
      </c>
      <c r="H49" s="275">
        <v>-643755</v>
      </c>
      <c r="I49" s="280">
        <v>-951991</v>
      </c>
      <c r="J49" s="280">
        <v>-595510</v>
      </c>
    </row>
    <row r="50" spans="1:10" ht="18">
      <c r="A50" s="210"/>
      <c r="B50" s="211" t="s">
        <v>173</v>
      </c>
      <c r="C50" s="275">
        <v>-10304.325116126935</v>
      </c>
      <c r="D50" s="275">
        <v>-17648.178450234744</v>
      </c>
      <c r="E50" s="280">
        <v>-71721.998629515889</v>
      </c>
      <c r="F50" s="280">
        <v>-165</v>
      </c>
      <c r="G50" s="275">
        <v>-78</v>
      </c>
      <c r="H50" s="280">
        <v>-2616</v>
      </c>
      <c r="I50" s="280">
        <v>0</v>
      </c>
      <c r="J50" s="280">
        <v>0</v>
      </c>
    </row>
    <row r="51" spans="1:10" ht="18">
      <c r="A51" s="210"/>
      <c r="B51" s="211" t="s">
        <v>174</v>
      </c>
      <c r="C51" s="275">
        <v>0</v>
      </c>
      <c r="D51" s="275">
        <v>0</v>
      </c>
      <c r="E51" s="280">
        <v>0</v>
      </c>
      <c r="F51" s="280">
        <v>0</v>
      </c>
      <c r="G51" s="275">
        <v>0</v>
      </c>
      <c r="H51" s="280">
        <v>0</v>
      </c>
      <c r="I51" s="280">
        <v>0</v>
      </c>
      <c r="J51" s="280">
        <v>0</v>
      </c>
    </row>
    <row r="52" spans="1:10" ht="18.600000000000001" thickBot="1">
      <c r="A52" s="210"/>
      <c r="B52" s="214" t="s">
        <v>175</v>
      </c>
      <c r="C52" s="276">
        <v>-401583.96242870163</v>
      </c>
      <c r="D52" s="276">
        <v>-117081.29881483468</v>
      </c>
      <c r="E52" s="281">
        <v>-60527.962665070721</v>
      </c>
      <c r="F52" s="281">
        <v>-360150</v>
      </c>
      <c r="G52" s="281">
        <v>-1699894</v>
      </c>
      <c r="H52" s="281">
        <v>-1881928</v>
      </c>
      <c r="I52" s="281">
        <v>-2073736</v>
      </c>
      <c r="J52" s="281">
        <v>0</v>
      </c>
    </row>
    <row r="53" spans="1:10" ht="18">
      <c r="A53" s="208"/>
      <c r="B53" s="209" t="s">
        <v>176</v>
      </c>
      <c r="C53" s="213">
        <f t="shared" ref="C53:I53" si="1">SUM(C46:C52)</f>
        <v>-348915.10187155259</v>
      </c>
      <c r="D53" s="213">
        <f t="shared" si="1"/>
        <v>-113521.08771915978</v>
      </c>
      <c r="E53" s="213">
        <f t="shared" si="1"/>
        <v>-921536.0251935781</v>
      </c>
      <c r="F53" s="213">
        <f t="shared" si="1"/>
        <v>-60633</v>
      </c>
      <c r="G53" s="213">
        <f t="shared" si="1"/>
        <v>-2566715</v>
      </c>
      <c r="H53" s="213">
        <f t="shared" si="1"/>
        <v>-2528299</v>
      </c>
      <c r="I53" s="319">
        <f t="shared" si="1"/>
        <v>-3025727</v>
      </c>
      <c r="J53" s="319">
        <f>SUM(J46:J52)</f>
        <v>-595510</v>
      </c>
    </row>
    <row r="54" spans="1:10" ht="18">
      <c r="A54" s="210"/>
      <c r="B54" s="211"/>
    </row>
    <row r="55" spans="1:10" ht="18">
      <c r="A55" s="210"/>
      <c r="B55" s="207" t="s">
        <v>177</v>
      </c>
      <c r="G55" s="283"/>
      <c r="H55" s="283"/>
      <c r="I55" s="283"/>
      <c r="J55" s="283"/>
    </row>
    <row r="56" spans="1:10" ht="18">
      <c r="A56" s="210"/>
      <c r="B56" s="211" t="s">
        <v>178</v>
      </c>
      <c r="C56" s="275">
        <v>329309.93363643554</v>
      </c>
      <c r="D56" s="275">
        <v>242606.72535781766</v>
      </c>
      <c r="E56" s="280">
        <v>814719.33194803749</v>
      </c>
      <c r="F56" s="280">
        <v>478000</v>
      </c>
      <c r="G56" s="280">
        <v>328000</v>
      </c>
      <c r="H56" s="280">
        <v>1260000</v>
      </c>
      <c r="I56" s="280">
        <v>1903956</v>
      </c>
      <c r="J56" s="280">
        <v>525000</v>
      </c>
    </row>
    <row r="57" spans="1:10" ht="18">
      <c r="A57" s="210"/>
      <c r="B57" s="211" t="s">
        <v>179</v>
      </c>
      <c r="C57" s="275">
        <v>0</v>
      </c>
      <c r="D57" s="275">
        <v>-306879.68130133144</v>
      </c>
      <c r="E57" s="280">
        <v>-577962.08882874937</v>
      </c>
      <c r="F57" s="280">
        <v>0</v>
      </c>
      <c r="G57" s="280">
        <v>-270000</v>
      </c>
      <c r="H57" s="280">
        <v>-486000</v>
      </c>
      <c r="I57" s="280">
        <v>-761559</v>
      </c>
      <c r="J57" s="280">
        <v>-706233</v>
      </c>
    </row>
    <row r="58" spans="1:10" ht="18">
      <c r="A58" s="210"/>
      <c r="B58" s="211" t="s">
        <v>118</v>
      </c>
      <c r="C58" s="275">
        <v>-299.67552314696343</v>
      </c>
      <c r="D58" s="275">
        <v>0</v>
      </c>
      <c r="E58" s="280">
        <v>0</v>
      </c>
      <c r="F58" s="280">
        <v>397520</v>
      </c>
      <c r="G58" s="280">
        <v>0</v>
      </c>
      <c r="H58" s="280">
        <v>630692</v>
      </c>
      <c r="I58" s="280">
        <v>741335</v>
      </c>
      <c r="J58" s="280">
        <v>0</v>
      </c>
    </row>
    <row r="59" spans="1:10" ht="18">
      <c r="A59" s="210"/>
      <c r="B59" s="211" t="s">
        <v>180</v>
      </c>
      <c r="C59" s="275">
        <v>0</v>
      </c>
      <c r="D59" s="275">
        <v>0</v>
      </c>
      <c r="E59" s="275">
        <v>0</v>
      </c>
      <c r="F59" s="275">
        <v>0</v>
      </c>
      <c r="G59" s="280">
        <v>-36488</v>
      </c>
      <c r="H59" s="275">
        <v>-44208</v>
      </c>
      <c r="I59" s="280">
        <v>-53809</v>
      </c>
      <c r="J59" s="280">
        <v>-58028</v>
      </c>
    </row>
    <row r="60" spans="1:10" ht="18">
      <c r="A60" s="210"/>
      <c r="B60" s="211" t="s">
        <v>181</v>
      </c>
      <c r="C60" s="275">
        <v>0</v>
      </c>
      <c r="D60" s="275">
        <v>-15160.434628108478</v>
      </c>
      <c r="E60" s="280">
        <v>-52013.271617580751</v>
      </c>
      <c r="F60" s="280">
        <v>-44062</v>
      </c>
      <c r="G60" s="280">
        <v>-70103</v>
      </c>
      <c r="H60" s="280">
        <v>-81976</v>
      </c>
      <c r="I60" s="280">
        <v>-103181</v>
      </c>
      <c r="J60" s="280">
        <v>-94273</v>
      </c>
    </row>
    <row r="61" spans="1:10" ht="18">
      <c r="A61" s="210"/>
      <c r="B61" s="211" t="s">
        <v>182</v>
      </c>
      <c r="C61" s="275">
        <v>-24519.897521245581</v>
      </c>
      <c r="D61" s="275">
        <v>-38549.261888817855</v>
      </c>
      <c r="E61" s="280">
        <v>-27005.728401164401</v>
      </c>
      <c r="F61" s="280">
        <v>33058</v>
      </c>
      <c r="G61" s="280">
        <v>-8876</v>
      </c>
      <c r="H61" s="280">
        <v>-14282</v>
      </c>
      <c r="I61" s="280">
        <v>-54977</v>
      </c>
      <c r="J61" s="280">
        <v>-41307</v>
      </c>
    </row>
    <row r="62" spans="1:10" ht="18">
      <c r="A62" s="210"/>
      <c r="B62" s="211" t="s">
        <v>183</v>
      </c>
      <c r="C62" s="275">
        <v>-15663.750567737476</v>
      </c>
      <c r="D62" s="275">
        <v>-8822.0521581180492</v>
      </c>
      <c r="E62" s="280">
        <v>-8747.7705334820839</v>
      </c>
      <c r="F62" s="280">
        <v>-56957</v>
      </c>
      <c r="G62" s="280">
        <v>-29957</v>
      </c>
      <c r="H62" s="280">
        <v>-38659</v>
      </c>
      <c r="I62" s="280">
        <v>-3859</v>
      </c>
      <c r="J62" s="280">
        <v>-5972</v>
      </c>
    </row>
    <row r="63" spans="1:10" ht="18">
      <c r="A63" s="210"/>
      <c r="B63" s="211" t="s">
        <v>184</v>
      </c>
      <c r="C63" s="275">
        <v>-1264.6205663765261</v>
      </c>
      <c r="D63" s="275">
        <v>-30257.235163285706</v>
      </c>
      <c r="E63" s="280">
        <v>-22371.159572525594</v>
      </c>
      <c r="F63" s="280">
        <v>6274</v>
      </c>
      <c r="G63" s="280">
        <v>0</v>
      </c>
      <c r="H63" s="280">
        <v>-2311</v>
      </c>
      <c r="I63" s="280">
        <v>4830</v>
      </c>
      <c r="J63" s="280">
        <v>26388</v>
      </c>
    </row>
    <row r="64" spans="1:10" ht="18">
      <c r="A64" s="210"/>
      <c r="B64" s="211" t="s">
        <v>185</v>
      </c>
      <c r="C64" s="275">
        <v>11023.597078197945</v>
      </c>
      <c r="D64" s="275">
        <v>16643.225397235128</v>
      </c>
      <c r="E64" s="280">
        <v>-129.46700389553484</v>
      </c>
      <c r="F64" s="280">
        <v>-3571</v>
      </c>
      <c r="G64" s="280">
        <v>-101894</v>
      </c>
      <c r="H64" s="280">
        <v>-164504</v>
      </c>
      <c r="I64" s="280">
        <v>-75028</v>
      </c>
      <c r="J64" s="280">
        <v>-171325</v>
      </c>
    </row>
    <row r="65" spans="1:10" ht="18">
      <c r="A65" s="210"/>
      <c r="B65" s="211" t="s">
        <v>186</v>
      </c>
      <c r="C65" s="275">
        <v>3056.3353904709343</v>
      </c>
      <c r="D65" s="275">
        <v>2034.9329291337763</v>
      </c>
      <c r="E65" s="280">
        <v>384268.95367638906</v>
      </c>
      <c r="F65" s="280">
        <v>2991</v>
      </c>
      <c r="G65" s="280">
        <v>6519</v>
      </c>
      <c r="H65" s="280">
        <v>11727</v>
      </c>
      <c r="I65" s="280">
        <v>17234</v>
      </c>
      <c r="J65" s="280">
        <v>17442</v>
      </c>
    </row>
    <row r="66" spans="1:10" ht="18.600000000000001" thickBot="1">
      <c r="A66" s="210"/>
      <c r="B66" s="214" t="s">
        <v>187</v>
      </c>
      <c r="C66" s="276">
        <v>0</v>
      </c>
      <c r="D66" s="276">
        <v>0</v>
      </c>
      <c r="E66" s="281">
        <v>0</v>
      </c>
      <c r="F66" s="281">
        <v>0</v>
      </c>
      <c r="G66" s="281">
        <v>-10862</v>
      </c>
      <c r="H66" s="281">
        <v>0</v>
      </c>
      <c r="I66" s="281">
        <v>0</v>
      </c>
      <c r="J66" s="281">
        <v>0</v>
      </c>
    </row>
    <row r="67" spans="1:10" ht="18">
      <c r="A67" s="208"/>
      <c r="B67" s="209" t="s">
        <v>188</v>
      </c>
      <c r="C67" s="277">
        <f t="shared" ref="C67:G67" si="2">SUM(C56:C66)</f>
        <v>301641.92192659777</v>
      </c>
      <c r="D67" s="277">
        <f t="shared" si="2"/>
        <v>-138383.78145547496</v>
      </c>
      <c r="E67" s="277">
        <f t="shared" si="2"/>
        <v>510758.79966702883</v>
      </c>
      <c r="F67" s="277">
        <f t="shared" si="2"/>
        <v>813253</v>
      </c>
      <c r="G67" s="320">
        <f t="shared" si="2"/>
        <v>-193661</v>
      </c>
      <c r="H67" s="320">
        <f>SUM(H56:H66)</f>
        <v>1070479</v>
      </c>
      <c r="I67" s="320">
        <f>SUM(I56:I66)</f>
        <v>1614942</v>
      </c>
      <c r="J67" s="320">
        <f>SUM(J56:J66)</f>
        <v>-508308</v>
      </c>
    </row>
    <row r="68" spans="1:10" ht="18.600000000000001" thickBot="1">
      <c r="A68" s="210"/>
      <c r="B68" s="214" t="s">
        <v>189</v>
      </c>
      <c r="C68" s="276">
        <v>-23592</v>
      </c>
      <c r="D68" s="276">
        <v>-5145</v>
      </c>
      <c r="E68" s="276">
        <v>15735</v>
      </c>
      <c r="F68" s="281">
        <v>-121</v>
      </c>
      <c r="G68" s="281">
        <v>1238</v>
      </c>
      <c r="H68" s="281">
        <v>-9627</v>
      </c>
      <c r="I68" s="281">
        <v>0</v>
      </c>
      <c r="J68" s="281">
        <v>0</v>
      </c>
    </row>
    <row r="69" spans="1:10" ht="18.600000000000001" thickBot="1">
      <c r="A69" s="208"/>
      <c r="B69" s="215" t="s">
        <v>190</v>
      </c>
      <c r="C69" s="278">
        <f>+C43+C53+C67+C68</f>
        <v>40074.850843605585</v>
      </c>
      <c r="D69" s="278">
        <f>+D43+D53+D67+D68</f>
        <v>56764.376205156033</v>
      </c>
      <c r="E69" s="278">
        <f>+E43+E53+E67+E68</f>
        <v>28924.110830781632</v>
      </c>
      <c r="F69" s="278">
        <f>+F43+F53+F67+F68</f>
        <v>1668433</v>
      </c>
      <c r="G69" s="322">
        <f>+G43+G53+G67+G68+3</f>
        <v>-1359983</v>
      </c>
      <c r="H69" s="321">
        <f>+H43+H53+H67+H68</f>
        <v>162499</v>
      </c>
      <c r="I69" s="321">
        <f>+I43+I53+I67+I68</f>
        <v>-27289</v>
      </c>
      <c r="J69" s="321">
        <f>J73</f>
        <v>95883</v>
      </c>
    </row>
    <row r="70" spans="1:10" ht="18">
      <c r="A70" s="210"/>
      <c r="B70" s="211"/>
      <c r="C70" s="211"/>
      <c r="D70" s="211"/>
      <c r="E70" s="211"/>
      <c r="F70" s="211"/>
      <c r="G70" s="211"/>
      <c r="H70" s="211"/>
      <c r="I70" s="211"/>
      <c r="J70" s="211"/>
    </row>
    <row r="71" spans="1:10" ht="18">
      <c r="A71" s="210"/>
      <c r="B71" s="211" t="s">
        <v>191</v>
      </c>
      <c r="C71" s="275">
        <v>48179.171390291704</v>
      </c>
      <c r="D71" s="275">
        <v>88253.928612594609</v>
      </c>
      <c r="E71" s="275">
        <v>145018.00913896604</v>
      </c>
      <c r="F71" s="275">
        <v>173941.58229549325</v>
      </c>
      <c r="G71" s="280">
        <v>1842375</v>
      </c>
      <c r="H71" s="280">
        <v>482392</v>
      </c>
      <c r="I71" s="280">
        <v>644891</v>
      </c>
      <c r="J71" s="280">
        <v>617602</v>
      </c>
    </row>
    <row r="72" spans="1:10" ht="18.600000000000001" thickBot="1">
      <c r="A72" s="210"/>
      <c r="B72" s="214" t="s">
        <v>192</v>
      </c>
      <c r="C72" s="275">
        <v>88253.928612594609</v>
      </c>
      <c r="D72" s="275">
        <v>145018.00913896604</v>
      </c>
      <c r="E72" s="275">
        <v>173941.58229549325</v>
      </c>
      <c r="F72" s="275">
        <v>1842375</v>
      </c>
      <c r="G72" s="280">
        <v>482392</v>
      </c>
      <c r="H72" s="280">
        <v>644891</v>
      </c>
      <c r="I72" s="280">
        <v>617602</v>
      </c>
      <c r="J72" s="280">
        <v>713485</v>
      </c>
    </row>
    <row r="73" spans="1:10" ht="18.600000000000001" thickBot="1">
      <c r="A73" s="208"/>
      <c r="B73" s="215" t="s">
        <v>190</v>
      </c>
      <c r="C73" s="279">
        <f>C72-C71</f>
        <v>40074.757222302906</v>
      </c>
      <c r="D73" s="279">
        <f>D72-D71</f>
        <v>56764.080526371428</v>
      </c>
      <c r="E73" s="279">
        <f>E72-E71</f>
        <v>28923.573156527214</v>
      </c>
      <c r="F73" s="279">
        <f t="shared" ref="F73" si="3">F72-F71</f>
        <v>1668433.4177045068</v>
      </c>
      <c r="G73" s="322">
        <f>G72-G71</f>
        <v>-1359983</v>
      </c>
      <c r="H73" s="322">
        <f t="shared" ref="H73:I73" si="4">H72-H71</f>
        <v>162499</v>
      </c>
      <c r="I73" s="322">
        <f t="shared" si="4"/>
        <v>-27289</v>
      </c>
      <c r="J73" s="322">
        <f>J72-J71</f>
        <v>95883</v>
      </c>
    </row>
    <row r="74" spans="1:10">
      <c r="C74" s="191"/>
      <c r="D74" s="191"/>
      <c r="E74" s="191"/>
    </row>
    <row r="75" spans="1:10">
      <c r="C75" s="191"/>
      <c r="D75" s="191"/>
      <c r="E75" s="191"/>
      <c r="F75" s="191"/>
    </row>
    <row r="76" spans="1:10">
      <c r="C76" s="223"/>
      <c r="D76" s="223"/>
      <c r="E76" s="223"/>
    </row>
  </sheetData>
  <hyperlinks>
    <hyperlink ref="B14" r:id="rId1" display="https://www.linguee.com.br/ingles-portugues/traducao/equity+equivalence.html" xr:uid="{1D8E7F4A-BAA4-4CCC-8A9D-8961EDFA5C6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F3B6-AA14-42E4-A2F4-386EAC753A6F}">
  <sheetPr>
    <pageSetUpPr fitToPage="1"/>
  </sheetPr>
  <dimension ref="A1:BL59"/>
  <sheetViews>
    <sheetView showGridLines="0" zoomScaleNormal="75" workbookViewId="0">
      <pane xSplit="1" ySplit="8" topLeftCell="AV9" activePane="bottomRight" state="frozen"/>
      <selection pane="topRight" activeCell="AR7" sqref="AR7"/>
      <selection pane="bottomLeft" activeCell="AR7" sqref="AR7"/>
      <selection pane="bottomRight" activeCell="AY8" sqref="AY8"/>
    </sheetView>
  </sheetViews>
  <sheetFormatPr defaultColWidth="9.33203125" defaultRowHeight="14.4" outlineLevelRow="1"/>
  <cols>
    <col min="1" max="1" width="46.5546875" style="1" bestFit="1" customWidth="1"/>
    <col min="2" max="50" width="15.6640625" style="1" customWidth="1"/>
    <col min="51" max="51" width="15.6640625" style="3" customWidth="1"/>
    <col min="52" max="52" width="15.6640625" style="1" customWidth="1"/>
    <col min="53" max="53" width="15.6640625" style="4" customWidth="1"/>
    <col min="54" max="64" width="15.6640625" style="1" customWidth="1"/>
    <col min="65" max="16384" width="9.33203125" style="1"/>
  </cols>
  <sheetData>
    <row r="1" spans="1:64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BB1" s="3"/>
      <c r="BC1" s="3"/>
    </row>
    <row r="2" spans="1:64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/>
      <c r="BB2" s="34"/>
      <c r="BC2" s="36"/>
      <c r="BD2" s="34"/>
    </row>
    <row r="3" spans="1:64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4"/>
      <c r="BB3" s="34"/>
      <c r="BC3" s="36"/>
      <c r="BD3" s="34"/>
    </row>
    <row r="4" spans="1:64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  <c r="AY4" s="355"/>
    </row>
    <row r="5" spans="1:64" customFormat="1" ht="18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94"/>
      <c r="AH5" s="113"/>
      <c r="AI5" s="113"/>
      <c r="AJ5" s="113"/>
      <c r="AK5" s="113"/>
      <c r="AY5" s="217"/>
    </row>
    <row r="6" spans="1:64" s="23" customFormat="1" ht="15.6">
      <c r="A6" s="71" t="s">
        <v>193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  <c r="AY6" s="355"/>
    </row>
    <row r="7" spans="1:64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49"/>
      <c r="AH7" s="34"/>
      <c r="AI7" s="34"/>
      <c r="AJ7" s="36"/>
      <c r="AK7" s="34"/>
    </row>
    <row r="8" spans="1:64" s="6" customFormat="1" ht="21.45" customHeight="1">
      <c r="A8" s="186"/>
      <c r="B8" s="189" t="s">
        <v>1</v>
      </c>
      <c r="C8" s="189" t="s">
        <v>2</v>
      </c>
      <c r="D8" s="189" t="s">
        <v>3</v>
      </c>
      <c r="E8" s="189" t="s">
        <v>4</v>
      </c>
      <c r="F8" s="189" t="s">
        <v>5</v>
      </c>
      <c r="G8" s="189" t="s">
        <v>6</v>
      </c>
      <c r="H8" s="189" t="s">
        <v>7</v>
      </c>
      <c r="I8" s="189" t="s">
        <v>8</v>
      </c>
      <c r="J8" s="189" t="s">
        <v>9</v>
      </c>
      <c r="K8" s="189" t="s">
        <v>10</v>
      </c>
      <c r="L8" s="189" t="s">
        <v>11</v>
      </c>
      <c r="M8" s="190" t="s">
        <v>12</v>
      </c>
      <c r="N8" s="190" t="s">
        <v>13</v>
      </c>
      <c r="O8" s="190" t="s">
        <v>14</v>
      </c>
      <c r="P8" s="190" t="s">
        <v>15</v>
      </c>
      <c r="Q8" s="190" t="s">
        <v>16</v>
      </c>
      <c r="R8" s="190" t="s">
        <v>17</v>
      </c>
      <c r="S8" s="190" t="s">
        <v>18</v>
      </c>
      <c r="T8" s="190" t="s">
        <v>19</v>
      </c>
      <c r="U8" s="190" t="s">
        <v>20</v>
      </c>
      <c r="V8" s="190" t="s">
        <v>21</v>
      </c>
      <c r="W8" s="190" t="s">
        <v>22</v>
      </c>
      <c r="X8" s="190" t="s">
        <v>23</v>
      </c>
      <c r="Y8" s="190" t="s">
        <v>24</v>
      </c>
      <c r="Z8" s="190" t="s">
        <v>25</v>
      </c>
      <c r="AA8" s="190" t="s">
        <v>26</v>
      </c>
      <c r="AB8" s="190" t="s">
        <v>27</v>
      </c>
      <c r="AC8" s="190" t="s">
        <v>28</v>
      </c>
      <c r="AD8" s="190" t="s">
        <v>29</v>
      </c>
      <c r="AE8" s="190" t="s">
        <v>30</v>
      </c>
      <c r="AF8" s="190" t="s">
        <v>31</v>
      </c>
      <c r="AG8" s="190" t="s">
        <v>32</v>
      </c>
      <c r="AH8" s="190" t="s">
        <v>33</v>
      </c>
      <c r="AI8" s="190" t="s">
        <v>34</v>
      </c>
      <c r="AJ8" s="190" t="s">
        <v>35</v>
      </c>
      <c r="AK8" s="190" t="s">
        <v>36</v>
      </c>
      <c r="AL8" s="190" t="s">
        <v>37</v>
      </c>
      <c r="AM8" s="190" t="s">
        <v>38</v>
      </c>
      <c r="AN8" s="190" t="s">
        <v>39</v>
      </c>
      <c r="AO8" s="190" t="s">
        <v>40</v>
      </c>
      <c r="AP8" s="190" t="s">
        <v>41</v>
      </c>
      <c r="AQ8" s="190" t="s">
        <v>42</v>
      </c>
      <c r="AR8" s="190" t="s">
        <v>43</v>
      </c>
      <c r="AS8" s="190" t="s">
        <v>44</v>
      </c>
      <c r="AT8" s="190" t="s">
        <v>45</v>
      </c>
      <c r="AU8" s="190" t="s">
        <v>46</v>
      </c>
      <c r="AV8" s="190" t="s">
        <v>47</v>
      </c>
      <c r="AW8" s="190" t="s">
        <v>48</v>
      </c>
      <c r="AX8" s="190" t="s">
        <v>279</v>
      </c>
      <c r="AY8" s="190" t="s">
        <v>292</v>
      </c>
      <c r="AZ8" s="325"/>
      <c r="BA8" s="190">
        <v>2014</v>
      </c>
      <c r="BB8" s="190">
        <v>2015</v>
      </c>
      <c r="BC8" s="190">
        <v>2016</v>
      </c>
      <c r="BD8" s="190">
        <v>2017</v>
      </c>
      <c r="BE8" s="190">
        <v>2018</v>
      </c>
      <c r="BF8" s="190">
        <v>2019</v>
      </c>
      <c r="BG8" s="190">
        <v>2020</v>
      </c>
      <c r="BH8" s="190">
        <v>2021</v>
      </c>
      <c r="BI8" s="190">
        <v>2022</v>
      </c>
      <c r="BJ8" s="190">
        <v>2023</v>
      </c>
      <c r="BK8" s="190">
        <v>2024</v>
      </c>
      <c r="BL8" s="190">
        <v>2025</v>
      </c>
    </row>
    <row r="9" spans="1:64" s="6" customFormat="1" ht="15.6">
      <c r="A9" s="187" t="s">
        <v>49</v>
      </c>
      <c r="B9" s="188">
        <v>143303</v>
      </c>
      <c r="C9" s="188">
        <v>137603</v>
      </c>
      <c r="D9" s="188">
        <v>126706</v>
      </c>
      <c r="E9" s="188">
        <v>79227</v>
      </c>
      <c r="F9" s="188">
        <v>4853</v>
      </c>
      <c r="G9" s="188">
        <v>96808</v>
      </c>
      <c r="H9" s="188">
        <v>127941.0508489441</v>
      </c>
      <c r="I9" s="188">
        <v>23468.949151055887</v>
      </c>
      <c r="J9" s="188">
        <v>41509</v>
      </c>
      <c r="K9" s="188">
        <v>103381</v>
      </c>
      <c r="L9" s="188">
        <v>139242</v>
      </c>
      <c r="M9" s="188">
        <v>113739</v>
      </c>
      <c r="N9" s="188">
        <v>74786.065622849186</v>
      </c>
      <c r="O9" s="188">
        <v>155507</v>
      </c>
      <c r="P9" s="188">
        <v>110014</v>
      </c>
      <c r="Q9" s="188">
        <v>193615</v>
      </c>
      <c r="R9" s="188">
        <v>117155</v>
      </c>
      <c r="S9" s="188">
        <v>239405</v>
      </c>
      <c r="T9" s="188">
        <v>224627</v>
      </c>
      <c r="U9" s="188">
        <v>267733</v>
      </c>
      <c r="V9" s="188">
        <v>139072.93148999999</v>
      </c>
      <c r="W9" s="188">
        <v>548233</v>
      </c>
      <c r="X9" s="188">
        <v>399045.1688249741</v>
      </c>
      <c r="Y9" s="188">
        <v>557994.89104842965</v>
      </c>
      <c r="Z9" s="188">
        <v>223162.01037337197</v>
      </c>
      <c r="AA9" s="188">
        <v>312292</v>
      </c>
      <c r="AB9" s="188">
        <v>488695</v>
      </c>
      <c r="AC9" s="188">
        <v>880035.06967999996</v>
      </c>
      <c r="AD9" s="188">
        <v>655334</v>
      </c>
      <c r="AE9" s="188">
        <v>1022837</v>
      </c>
      <c r="AF9" s="188">
        <v>939517</v>
      </c>
      <c r="AG9" s="188">
        <v>1778314.7750389285</v>
      </c>
      <c r="AH9" s="188">
        <v>1529995</v>
      </c>
      <c r="AI9" s="188">
        <v>1873985</v>
      </c>
      <c r="AJ9" s="188">
        <f>1985786</f>
        <v>1985786</v>
      </c>
      <c r="AK9" s="188">
        <f>BI9-SUM(AH9:AJ9)</f>
        <v>973709</v>
      </c>
      <c r="AL9" s="188">
        <v>2814955</v>
      </c>
      <c r="AM9" s="188">
        <v>2311206</v>
      </c>
      <c r="AN9" s="188">
        <v>4207359</v>
      </c>
      <c r="AO9" s="188">
        <f>BJ9-SUM(AL9:AN9)</f>
        <v>3252044</v>
      </c>
      <c r="AP9" s="188">
        <f>3395436-208841</f>
        <v>3186595</v>
      </c>
      <c r="AQ9" s="188">
        <f>4894182-940850</f>
        <v>3953332</v>
      </c>
      <c r="AR9" s="188">
        <f>3703111-1023453</f>
        <v>2679658</v>
      </c>
      <c r="AS9" s="188">
        <f>BK9-SUM(AP9:AR9)</f>
        <v>3118074</v>
      </c>
      <c r="AT9" s="188">
        <f>4637268-376169</f>
        <v>4261099</v>
      </c>
      <c r="AU9" s="188">
        <f>3542286-624640</f>
        <v>2917646</v>
      </c>
      <c r="AV9" s="188">
        <f>3793920-603464</f>
        <v>3190456</v>
      </c>
      <c r="AW9" s="188">
        <f>BL9-SUM(AT9:AV9)</f>
        <v>3460498</v>
      </c>
      <c r="AX9" s="188">
        <f>6529947-168451</f>
        <v>6361496</v>
      </c>
      <c r="AY9" s="188">
        <f>7016243-315747</f>
        <v>6700496</v>
      </c>
      <c r="AZ9" s="74"/>
      <c r="BA9" s="188">
        <f t="shared" ref="BA9:BA16" si="0">SUM(B9:E9)</f>
        <v>486839</v>
      </c>
      <c r="BB9" s="188">
        <f t="shared" ref="BB9:BB16" si="1">SUM(F9:I9)</f>
        <v>253071</v>
      </c>
      <c r="BC9" s="188">
        <f t="shared" ref="BC9:BC16" si="2">SUM(J9:M9)</f>
        <v>397871</v>
      </c>
      <c r="BD9" s="188">
        <f t="shared" ref="BD9:BD16" si="3">SUM(N9:Q9)</f>
        <v>533922.06562284916</v>
      </c>
      <c r="BE9" s="188">
        <f t="shared" ref="BE9:BE16" si="4">SUM(R9:U9)</f>
        <v>848920</v>
      </c>
      <c r="BF9" s="188">
        <f t="shared" ref="BF9:BF16" si="5">SUM(V9:Y9)</f>
        <v>1644345.9913634039</v>
      </c>
      <c r="BG9" s="188">
        <f t="shared" ref="BG9:BG20" si="6">SUM(Z9:AC9)</f>
        <v>1904184.0800533718</v>
      </c>
      <c r="BH9" s="188">
        <f t="shared" ref="BH9:BH20" si="7">SUM(AD9:AG9)</f>
        <v>4396002.7750389287</v>
      </c>
      <c r="BI9" s="188">
        <v>6363475</v>
      </c>
      <c r="BJ9" s="188">
        <f>11905041-BJ24</f>
        <v>12585564</v>
      </c>
      <c r="BK9" s="188">
        <f>15137704-2200045</f>
        <v>12937659</v>
      </c>
      <c r="BL9" s="188">
        <f>15583960-1754261</f>
        <v>13829699</v>
      </c>
    </row>
    <row r="10" spans="1:64" ht="15.6">
      <c r="A10" s="143" t="s">
        <v>50</v>
      </c>
      <c r="B10" s="41">
        <f t="shared" ref="B10:Q10" si="8">SUM(B11:B18)</f>
        <v>-85636</v>
      </c>
      <c r="C10" s="41">
        <f t="shared" si="8"/>
        <v>-49601</v>
      </c>
      <c r="D10" s="41">
        <f t="shared" si="8"/>
        <v>-59071</v>
      </c>
      <c r="E10" s="41">
        <f t="shared" si="8"/>
        <v>-60543.000000000022</v>
      </c>
      <c r="F10" s="41">
        <f t="shared" si="8"/>
        <v>0</v>
      </c>
      <c r="G10" s="41">
        <f t="shared" si="8"/>
        <v>-63834</v>
      </c>
      <c r="H10" s="41">
        <f t="shared" si="8"/>
        <v>-90519</v>
      </c>
      <c r="I10" s="41">
        <f t="shared" si="8"/>
        <v>-51204</v>
      </c>
      <c r="J10" s="41">
        <f t="shared" si="8"/>
        <v>-50376</v>
      </c>
      <c r="K10" s="41">
        <f t="shared" si="8"/>
        <v>-84843</v>
      </c>
      <c r="L10" s="41">
        <f t="shared" si="8"/>
        <v>-96048</v>
      </c>
      <c r="M10" s="41">
        <f t="shared" si="8"/>
        <v>-72549</v>
      </c>
      <c r="N10" s="41">
        <f t="shared" si="8"/>
        <v>-47600</v>
      </c>
      <c r="O10" s="41">
        <f t="shared" si="8"/>
        <v>-89258</v>
      </c>
      <c r="P10" s="41">
        <f t="shared" si="8"/>
        <v>-62241</v>
      </c>
      <c r="Q10" s="41">
        <f t="shared" si="8"/>
        <v>-100197</v>
      </c>
      <c r="R10" s="41">
        <f t="shared" ref="R10:Z10" si="9">SUM(R11:R18)</f>
        <v>-66566</v>
      </c>
      <c r="S10" s="41">
        <f t="shared" si="9"/>
        <v>-104237</v>
      </c>
      <c r="T10" s="41">
        <f t="shared" si="9"/>
        <v>-76864</v>
      </c>
      <c r="U10" s="41">
        <f t="shared" si="9"/>
        <v>-130030</v>
      </c>
      <c r="V10" s="41">
        <f t="shared" si="9"/>
        <v>-51536</v>
      </c>
      <c r="W10" s="41">
        <f t="shared" si="9"/>
        <v>-132169</v>
      </c>
      <c r="X10" s="41">
        <f t="shared" si="9"/>
        <v>-118125</v>
      </c>
      <c r="Y10" s="41">
        <f t="shared" si="9"/>
        <v>-111891</v>
      </c>
      <c r="Z10" s="70">
        <f t="shared" si="9"/>
        <v>-84514</v>
      </c>
      <c r="AA10" s="70">
        <f>SUM(AA11:AA18)</f>
        <v>-55855</v>
      </c>
      <c r="AB10" s="70">
        <f>SUM(AB11:AB18)</f>
        <v>-153390</v>
      </c>
      <c r="AC10" s="41">
        <f t="shared" ref="AC10" si="10">SUM(AC11:AC18)</f>
        <v>-219247</v>
      </c>
      <c r="AD10" s="41">
        <f t="shared" ref="AD10" si="11">SUM(AD11:AD18)</f>
        <v>-101329</v>
      </c>
      <c r="AE10" s="41">
        <f t="shared" ref="AE10" si="12">SUM(AE11:AE18)</f>
        <v>-169351</v>
      </c>
      <c r="AF10" s="41">
        <f t="shared" ref="AF10" si="13">SUM(AF11:AF18)</f>
        <v>-211187</v>
      </c>
      <c r="AG10" s="41">
        <f t="shared" ref="AG10" si="14">SUM(AG11:AG18)</f>
        <v>-320271</v>
      </c>
      <c r="AH10" s="41">
        <f t="shared" ref="AH10:AI10" si="15">SUM(AH11:AH18)</f>
        <v>-189809</v>
      </c>
      <c r="AI10" s="41">
        <f t="shared" si="15"/>
        <v>-312598</v>
      </c>
      <c r="AJ10" s="41">
        <f t="shared" ref="AJ10:AQ10" si="16">SUM(AJ11:AJ18)</f>
        <v>-241886</v>
      </c>
      <c r="AK10" s="41">
        <f t="shared" si="16"/>
        <v>-121896</v>
      </c>
      <c r="AL10" s="41">
        <f t="shared" si="16"/>
        <v>-419354</v>
      </c>
      <c r="AM10" s="191">
        <f t="shared" si="16"/>
        <v>-138434</v>
      </c>
      <c r="AN10" s="191">
        <f t="shared" si="16"/>
        <v>-478937</v>
      </c>
      <c r="AO10" s="191">
        <f>SUM(AO11:AO18)</f>
        <v>-157403</v>
      </c>
      <c r="AP10" s="191">
        <f t="shared" si="16"/>
        <v>-304025</v>
      </c>
      <c r="AQ10" s="191">
        <f t="shared" si="16"/>
        <v>-422773</v>
      </c>
      <c r="AR10" s="191">
        <f t="shared" ref="AR10:AW10" si="17">SUM(AR11:AR18)</f>
        <v>-268919</v>
      </c>
      <c r="AS10" s="191">
        <f t="shared" si="17"/>
        <v>-381104</v>
      </c>
      <c r="AT10" s="191">
        <f t="shared" si="17"/>
        <v>-762354</v>
      </c>
      <c r="AU10" s="191">
        <f t="shared" si="17"/>
        <v>-506777</v>
      </c>
      <c r="AV10" s="191">
        <f t="shared" si="17"/>
        <v>-713002</v>
      </c>
      <c r="AW10" s="191">
        <f t="shared" si="17"/>
        <v>-709605</v>
      </c>
      <c r="AX10" s="191">
        <f t="shared" ref="AX10" si="18">SUM(AX11:AX18)</f>
        <v>-697746</v>
      </c>
      <c r="AY10" s="358">
        <f>SUM(AY11:AY18)</f>
        <v>-673655</v>
      </c>
      <c r="AZ10" s="74"/>
      <c r="BA10" s="41">
        <f t="shared" si="0"/>
        <v>-254851.00000000003</v>
      </c>
      <c r="BB10" s="41">
        <f t="shared" si="1"/>
        <v>-205557</v>
      </c>
      <c r="BC10" s="41">
        <f t="shared" si="2"/>
        <v>-303816</v>
      </c>
      <c r="BD10" s="41">
        <f t="shared" si="3"/>
        <v>-299296</v>
      </c>
      <c r="BE10" s="41">
        <f t="shared" si="4"/>
        <v>-377697</v>
      </c>
      <c r="BF10" s="70">
        <f t="shared" si="5"/>
        <v>-413721</v>
      </c>
      <c r="BG10" s="41">
        <f t="shared" si="6"/>
        <v>-513006</v>
      </c>
      <c r="BH10" s="41">
        <f t="shared" si="7"/>
        <v>-802138</v>
      </c>
      <c r="BI10" s="41">
        <f>SUM(BI11:BI18)</f>
        <v>-866189</v>
      </c>
      <c r="BJ10" s="41">
        <f>SUM(BJ11:BJ18)</f>
        <v>-1194128</v>
      </c>
      <c r="BK10" s="70">
        <f>SUM(BK11:BK18)</f>
        <v>-1376821</v>
      </c>
      <c r="BL10" s="70">
        <f>SUM(BL11:BL18)</f>
        <v>-2691738</v>
      </c>
    </row>
    <row r="11" spans="1:64" ht="15.6" outlineLevel="1">
      <c r="A11" s="138" t="s">
        <v>51</v>
      </c>
      <c r="B11" s="41">
        <v>-8335</v>
      </c>
      <c r="C11" s="41">
        <v>-26337</v>
      </c>
      <c r="D11" s="41">
        <v>-15251</v>
      </c>
      <c r="E11" s="41">
        <v>-8506.0000000000109</v>
      </c>
      <c r="F11" s="41">
        <v>0</v>
      </c>
      <c r="G11" s="41">
        <v>-19965</v>
      </c>
      <c r="H11" s="41">
        <v>-30880</v>
      </c>
      <c r="I11" s="41">
        <v>-16184.999999999998</v>
      </c>
      <c r="J11" s="41">
        <v>-17255</v>
      </c>
      <c r="K11" s="41">
        <v>-26789</v>
      </c>
      <c r="L11" s="41">
        <v>-13921</v>
      </c>
      <c r="M11" s="41">
        <v>-49135</v>
      </c>
      <c r="N11" s="41">
        <v>-17861</v>
      </c>
      <c r="O11" s="41">
        <v>-31220</v>
      </c>
      <c r="P11" s="41">
        <v>-21532</v>
      </c>
      <c r="Q11" s="41">
        <v>-34491</v>
      </c>
      <c r="R11" s="41">
        <v>-22859</v>
      </c>
      <c r="S11" s="41">
        <v>-38495</v>
      </c>
      <c r="T11" s="41">
        <v>-32471</v>
      </c>
      <c r="U11" s="41">
        <v>-52292</v>
      </c>
      <c r="V11" s="41">
        <v>-11809</v>
      </c>
      <c r="W11" s="41">
        <v>-12571</v>
      </c>
      <c r="X11" s="41">
        <v>-4311</v>
      </c>
      <c r="Y11" s="41">
        <v>-4821</v>
      </c>
      <c r="Z11" s="70">
        <v>-11453</v>
      </c>
      <c r="AA11" s="70">
        <v>0</v>
      </c>
      <c r="AB11" s="70">
        <v>-1247</v>
      </c>
      <c r="AC11" s="41">
        <v>-16042</v>
      </c>
      <c r="AD11" s="41">
        <v>-3095</v>
      </c>
      <c r="AE11" s="41">
        <v>0</v>
      </c>
      <c r="AF11" s="41">
        <v>-5627</v>
      </c>
      <c r="AG11" s="41">
        <f>-13217-SUM(AD11:AF11)</f>
        <v>-4495</v>
      </c>
      <c r="AH11" s="41">
        <v>0</v>
      </c>
      <c r="AI11" s="41">
        <v>0</v>
      </c>
      <c r="AJ11" s="41">
        <v>0</v>
      </c>
      <c r="AK11" s="41">
        <f t="shared" ref="AK11:AK20" si="19">BI11-SUM(AH11:AJ11)</f>
        <v>0</v>
      </c>
      <c r="AL11" s="41">
        <v>0</v>
      </c>
      <c r="AM11" s="70">
        <v>0</v>
      </c>
      <c r="AN11" s="70">
        <v>0</v>
      </c>
      <c r="AO11" s="70">
        <f>BJ11-SUM(AL11:AN11)</f>
        <v>0</v>
      </c>
      <c r="AP11" s="70">
        <f>BK11-SUM(AM11:AO11)</f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>BL11-SUM(AT11:AV11)</f>
        <v>0</v>
      </c>
      <c r="AX11" s="70">
        <v>0</v>
      </c>
      <c r="AY11" s="70">
        <v>0</v>
      </c>
      <c r="AZ11" s="74"/>
      <c r="BA11" s="41">
        <f t="shared" si="0"/>
        <v>-58429.000000000015</v>
      </c>
      <c r="BB11" s="41">
        <f t="shared" si="1"/>
        <v>-67030</v>
      </c>
      <c r="BC11" s="41">
        <f t="shared" si="2"/>
        <v>-107100</v>
      </c>
      <c r="BD11" s="41">
        <f t="shared" si="3"/>
        <v>-105104</v>
      </c>
      <c r="BE11" s="41">
        <f t="shared" si="4"/>
        <v>-146117</v>
      </c>
      <c r="BF11" s="70">
        <f t="shared" si="5"/>
        <v>-33512</v>
      </c>
      <c r="BG11" s="41">
        <f t="shared" si="6"/>
        <v>-28742</v>
      </c>
      <c r="BH11" s="70">
        <f t="shared" si="7"/>
        <v>-13217</v>
      </c>
      <c r="BI11" s="70">
        <v>0</v>
      </c>
      <c r="BJ11" s="41">
        <f>SUM(AL11:AN11)</f>
        <v>0</v>
      </c>
      <c r="BK11" s="70">
        <f>SUM(AM11:AO11)</f>
        <v>0</v>
      </c>
      <c r="BL11" s="70">
        <f>SUM(AN11:AP11)</f>
        <v>0</v>
      </c>
    </row>
    <row r="12" spans="1:64" ht="15.6" outlineLevel="1">
      <c r="A12" s="138" t="s">
        <v>52</v>
      </c>
      <c r="B12" s="41">
        <v>-9940</v>
      </c>
      <c r="C12" s="41">
        <v>-15097</v>
      </c>
      <c r="D12" s="41">
        <v>-8705</v>
      </c>
      <c r="E12" s="41">
        <v>-8699.0000000000109</v>
      </c>
      <c r="F12" s="41">
        <v>0</v>
      </c>
      <c r="G12" s="41">
        <v>-9495</v>
      </c>
      <c r="H12" s="41">
        <v>-12738</v>
      </c>
      <c r="I12" s="41">
        <v>-7444</v>
      </c>
      <c r="J12" s="41">
        <v>-7961</v>
      </c>
      <c r="K12" s="41">
        <v>-12587</v>
      </c>
      <c r="L12" s="41">
        <v>-7317</v>
      </c>
      <c r="M12" s="41">
        <v>-29777</v>
      </c>
      <c r="N12" s="41">
        <v>-7845</v>
      </c>
      <c r="O12" s="41">
        <v>-14199</v>
      </c>
      <c r="P12" s="41">
        <v>-9754</v>
      </c>
      <c r="Q12" s="41">
        <v>-14703</v>
      </c>
      <c r="R12" s="41">
        <v>-9773</v>
      </c>
      <c r="S12" s="41">
        <v>-14430</v>
      </c>
      <c r="T12" s="41">
        <v>-10837</v>
      </c>
      <c r="U12" s="41">
        <v>-16462</v>
      </c>
      <c r="V12" s="41">
        <v>-6206</v>
      </c>
      <c r="W12" s="41">
        <v>-16820</v>
      </c>
      <c r="X12" s="41">
        <v>-28305</v>
      </c>
      <c r="Y12" s="41">
        <v>-22031</v>
      </c>
      <c r="Z12" s="41">
        <v>-10740</v>
      </c>
      <c r="AA12" s="41">
        <v>-12660</v>
      </c>
      <c r="AB12" s="41">
        <v>-11835</v>
      </c>
      <c r="AC12" s="41">
        <v>-27990</v>
      </c>
      <c r="AD12" s="41">
        <v>-10055</v>
      </c>
      <c r="AE12" s="41">
        <v>-18245</v>
      </c>
      <c r="AF12" s="41">
        <f>-14889-38</f>
        <v>-14927</v>
      </c>
      <c r="AG12" s="41">
        <f>-78989-SUM(AD12:AF12)+14</f>
        <v>-35748</v>
      </c>
      <c r="AH12" s="41">
        <v>-32866</v>
      </c>
      <c r="AI12" s="41">
        <v>-14188</v>
      </c>
      <c r="AJ12" s="41">
        <f>-2115</f>
        <v>-2115</v>
      </c>
      <c r="AK12" s="41">
        <f t="shared" si="19"/>
        <v>-3637</v>
      </c>
      <c r="AL12" s="70">
        <v>-15619</v>
      </c>
      <c r="AM12" s="70">
        <v>-24666</v>
      </c>
      <c r="AN12" s="70">
        <v>-38802</v>
      </c>
      <c r="AO12" s="70">
        <f t="shared" ref="AO12:AO20" si="20">BJ12-SUM(AL12:AN12)</f>
        <v>-28016</v>
      </c>
      <c r="AP12" s="70">
        <v>-15585</v>
      </c>
      <c r="AQ12" s="70">
        <v>-24504</v>
      </c>
      <c r="AR12" s="70">
        <v>-65153</v>
      </c>
      <c r="AS12" s="70">
        <f t="shared" ref="AS12:AS20" si="21">BK12-SUM(AP12:AR12)</f>
        <v>-4273</v>
      </c>
      <c r="AT12" s="70">
        <v>-29534</v>
      </c>
      <c r="AU12" s="70">
        <v>-50440</v>
      </c>
      <c r="AV12" s="70">
        <v>-70419</v>
      </c>
      <c r="AW12" s="70">
        <f t="shared" ref="AW12:AW20" si="22">BL12-SUM(AT12:AV12)</f>
        <v>-71318</v>
      </c>
      <c r="AX12" s="70">
        <v>-7090</v>
      </c>
      <c r="AY12" s="94">
        <v>-14</v>
      </c>
      <c r="AZ12" s="74"/>
      <c r="BA12" s="41">
        <f t="shared" si="0"/>
        <v>-42441.000000000015</v>
      </c>
      <c r="BB12" s="41">
        <f t="shared" si="1"/>
        <v>-29677</v>
      </c>
      <c r="BC12" s="41">
        <f t="shared" si="2"/>
        <v>-57642</v>
      </c>
      <c r="BD12" s="41">
        <f t="shared" si="3"/>
        <v>-46501</v>
      </c>
      <c r="BE12" s="41">
        <f t="shared" si="4"/>
        <v>-51502</v>
      </c>
      <c r="BF12" s="70">
        <f t="shared" si="5"/>
        <v>-73362</v>
      </c>
      <c r="BG12" s="41">
        <f t="shared" si="6"/>
        <v>-63225</v>
      </c>
      <c r="BH12" s="70">
        <f t="shared" si="7"/>
        <v>-78975</v>
      </c>
      <c r="BI12" s="70">
        <v>-52806</v>
      </c>
      <c r="BJ12" s="41">
        <v>-107103</v>
      </c>
      <c r="BK12" s="70">
        <v>-109515</v>
      </c>
      <c r="BL12" s="70">
        <v>-221711</v>
      </c>
    </row>
    <row r="13" spans="1:64" ht="15.6" outlineLevel="1">
      <c r="A13" s="138" t="s">
        <v>53</v>
      </c>
      <c r="B13" s="41">
        <v>-5997</v>
      </c>
      <c r="C13" s="41">
        <v>-6994</v>
      </c>
      <c r="D13" s="41">
        <v>-10201</v>
      </c>
      <c r="E13" s="41">
        <v>-5866</v>
      </c>
      <c r="F13" s="41">
        <v>0</v>
      </c>
      <c r="G13" s="41">
        <v>-12415</v>
      </c>
      <c r="H13" s="41">
        <v>-16388</v>
      </c>
      <c r="I13" s="41">
        <v>-10606</v>
      </c>
      <c r="J13" s="41">
        <v>-10403</v>
      </c>
      <c r="K13" s="41">
        <v>-15037</v>
      </c>
      <c r="L13" s="41">
        <v>-7745</v>
      </c>
      <c r="M13" s="41">
        <v>-27455</v>
      </c>
      <c r="N13" s="41">
        <v>-8944</v>
      </c>
      <c r="O13" s="41">
        <v>-16254</v>
      </c>
      <c r="P13" s="41">
        <v>-9691</v>
      </c>
      <c r="Q13" s="41">
        <v>-20262</v>
      </c>
      <c r="R13" s="41">
        <v>-13625</v>
      </c>
      <c r="S13" s="41">
        <v>-23507</v>
      </c>
      <c r="T13" s="41">
        <v>-13094</v>
      </c>
      <c r="U13" s="41">
        <v>-27015</v>
      </c>
      <c r="V13" s="41">
        <v>-13713</v>
      </c>
      <c r="W13" s="41">
        <v>-31104</v>
      </c>
      <c r="X13" s="41">
        <v>-22531</v>
      </c>
      <c r="Y13" s="41">
        <v>-34451</v>
      </c>
      <c r="Z13" s="41">
        <v>-18080</v>
      </c>
      <c r="AA13" s="41">
        <v>-15505</v>
      </c>
      <c r="AB13" s="41">
        <v>-33385</v>
      </c>
      <c r="AC13" s="41">
        <v>-48086</v>
      </c>
      <c r="AD13" s="41">
        <v>-24090</v>
      </c>
      <c r="AE13" s="41">
        <v>-46916</v>
      </c>
      <c r="AF13" s="41">
        <f>-47131</f>
        <v>-47131</v>
      </c>
      <c r="AG13" s="41">
        <f>-181724-SUM(AD13:AF13)</f>
        <v>-63587</v>
      </c>
      <c r="AH13" s="41">
        <v>-19961</v>
      </c>
      <c r="AI13" s="41">
        <v>-50250</v>
      </c>
      <c r="AJ13" s="41">
        <f>-61733</f>
        <v>-61733</v>
      </c>
      <c r="AK13" s="41">
        <f t="shared" si="19"/>
        <v>-37318</v>
      </c>
      <c r="AL13" s="70">
        <v>-115327</v>
      </c>
      <c r="AM13" s="70">
        <v>-61407</v>
      </c>
      <c r="AN13" s="70">
        <v>-103221</v>
      </c>
      <c r="AO13" s="70">
        <f t="shared" si="20"/>
        <v>-120711</v>
      </c>
      <c r="AP13" s="70">
        <v>-126125</v>
      </c>
      <c r="AQ13" s="70">
        <v>-128548</v>
      </c>
      <c r="AR13" s="70">
        <v>-155557</v>
      </c>
      <c r="AS13" s="70">
        <f t="shared" si="21"/>
        <v>-154304</v>
      </c>
      <c r="AT13" s="70">
        <v>-190517</v>
      </c>
      <c r="AU13" s="70">
        <v>-109742</v>
      </c>
      <c r="AV13" s="70">
        <v>-133725</v>
      </c>
      <c r="AW13" s="70">
        <f t="shared" si="22"/>
        <v>-191202</v>
      </c>
      <c r="AX13" s="70">
        <v>-252093</v>
      </c>
      <c r="AY13" s="94">
        <v>-297021</v>
      </c>
      <c r="AZ13" s="74"/>
      <c r="BA13" s="41">
        <f t="shared" si="0"/>
        <v>-29058</v>
      </c>
      <c r="BB13" s="41">
        <f t="shared" si="1"/>
        <v>-39409</v>
      </c>
      <c r="BC13" s="41">
        <f t="shared" si="2"/>
        <v>-60640</v>
      </c>
      <c r="BD13" s="41">
        <f t="shared" si="3"/>
        <v>-55151</v>
      </c>
      <c r="BE13" s="41">
        <f t="shared" si="4"/>
        <v>-77241</v>
      </c>
      <c r="BF13" s="70">
        <f t="shared" si="5"/>
        <v>-101799</v>
      </c>
      <c r="BG13" s="41">
        <f t="shared" si="6"/>
        <v>-115056</v>
      </c>
      <c r="BH13" s="70">
        <f t="shared" si="7"/>
        <v>-181724</v>
      </c>
      <c r="BI13" s="70">
        <v>-169262</v>
      </c>
      <c r="BJ13" s="41">
        <v>-400666</v>
      </c>
      <c r="BK13" s="70">
        <v>-564534</v>
      </c>
      <c r="BL13" s="70">
        <v>-625186</v>
      </c>
    </row>
    <row r="14" spans="1:64" ht="15.6" outlineLevel="1">
      <c r="A14" s="138" t="s">
        <v>54</v>
      </c>
      <c r="B14" s="41">
        <v>-7501</v>
      </c>
      <c r="C14" s="41">
        <v>-2586</v>
      </c>
      <c r="D14" s="41">
        <v>-21270</v>
      </c>
      <c r="E14" s="41">
        <v>5279</v>
      </c>
      <c r="F14" s="41">
        <v>0</v>
      </c>
      <c r="G14" s="41">
        <v>-11777</v>
      </c>
      <c r="H14" s="41">
        <v>-14615</v>
      </c>
      <c r="I14" s="41">
        <v>-6010</v>
      </c>
      <c r="J14" s="41">
        <v>-7128</v>
      </c>
      <c r="K14" s="41">
        <v>-8918</v>
      </c>
      <c r="L14" s="41">
        <v>-4724</v>
      </c>
      <c r="M14" s="41">
        <v>-23003</v>
      </c>
      <c r="N14" s="41">
        <v>-7311</v>
      </c>
      <c r="O14" s="41">
        <v>-17889</v>
      </c>
      <c r="P14" s="41">
        <v>-13053</v>
      </c>
      <c r="Q14" s="41">
        <v>-19889</v>
      </c>
      <c r="R14" s="41">
        <v>-11212</v>
      </c>
      <c r="S14" s="41">
        <v>-15382</v>
      </c>
      <c r="T14" s="41">
        <v>-11337</v>
      </c>
      <c r="U14" s="41">
        <v>-18761</v>
      </c>
      <c r="V14" s="41">
        <v>-12757</v>
      </c>
      <c r="W14" s="41">
        <v>-32931</v>
      </c>
      <c r="X14" s="41">
        <v>-21168</v>
      </c>
      <c r="Y14" s="41">
        <v>-38232</v>
      </c>
      <c r="Z14" s="41">
        <v>-22994</v>
      </c>
      <c r="AA14" s="41">
        <v>-13911</v>
      </c>
      <c r="AB14" s="41">
        <v>-23365</v>
      </c>
      <c r="AC14" s="41">
        <v>-47808</v>
      </c>
      <c r="AD14" s="41">
        <v>-24508</v>
      </c>
      <c r="AE14" s="41">
        <v>-54518</v>
      </c>
      <c r="AF14" s="41">
        <f>-68405</f>
        <v>-68405</v>
      </c>
      <c r="AG14" s="41">
        <f>-212505-SUM(AD14:AF14)</f>
        <v>-65074</v>
      </c>
      <c r="AH14" s="41">
        <v>-52835</v>
      </c>
      <c r="AI14" s="41">
        <v>-44103</v>
      </c>
      <c r="AJ14" s="41">
        <f>-44347</f>
        <v>-44347</v>
      </c>
      <c r="AK14" s="41">
        <f t="shared" si="19"/>
        <v>-28240</v>
      </c>
      <c r="AL14" s="70">
        <v>-108922</v>
      </c>
      <c r="AM14" s="70">
        <v>-12954</v>
      </c>
      <c r="AN14" s="70">
        <v>-82597</v>
      </c>
      <c r="AO14" s="70">
        <f t="shared" si="20"/>
        <v>-96242</v>
      </c>
      <c r="AP14" s="70">
        <v>-54860</v>
      </c>
      <c r="AQ14" s="70">
        <v>-76619</v>
      </c>
      <c r="AR14" s="70">
        <v>-76907</v>
      </c>
      <c r="AS14" s="70">
        <f t="shared" si="21"/>
        <v>-127501</v>
      </c>
      <c r="AT14" s="70">
        <v>-341133</v>
      </c>
      <c r="AU14" s="70">
        <v>-211161</v>
      </c>
      <c r="AV14" s="70">
        <v>-295432</v>
      </c>
      <c r="AW14" s="70">
        <f t="shared" si="22"/>
        <v>-215663</v>
      </c>
      <c r="AX14" s="70">
        <v>-157763</v>
      </c>
      <c r="AY14" s="94">
        <v>-249709</v>
      </c>
      <c r="AZ14" s="74"/>
      <c r="BA14" s="41">
        <f t="shared" si="0"/>
        <v>-26078</v>
      </c>
      <c r="BB14" s="41">
        <f t="shared" si="1"/>
        <v>-32402</v>
      </c>
      <c r="BC14" s="41">
        <f t="shared" si="2"/>
        <v>-43773</v>
      </c>
      <c r="BD14" s="41">
        <f t="shared" si="3"/>
        <v>-58142</v>
      </c>
      <c r="BE14" s="41">
        <f t="shared" si="4"/>
        <v>-56692</v>
      </c>
      <c r="BF14" s="70">
        <f t="shared" si="5"/>
        <v>-105088</v>
      </c>
      <c r="BG14" s="41">
        <f t="shared" si="6"/>
        <v>-108078</v>
      </c>
      <c r="BH14" s="70">
        <f t="shared" si="7"/>
        <v>-212505</v>
      </c>
      <c r="BI14" s="70">
        <v>-169525</v>
      </c>
      <c r="BJ14" s="41">
        <v>-300715</v>
      </c>
      <c r="BK14" s="70">
        <v>-335887</v>
      </c>
      <c r="BL14" s="70">
        <v>-1063389</v>
      </c>
    </row>
    <row r="15" spans="1:64" ht="15.6" outlineLevel="1">
      <c r="A15" s="138" t="s">
        <v>55</v>
      </c>
      <c r="B15" s="41">
        <v>-2458</v>
      </c>
      <c r="C15" s="41">
        <v>-2233</v>
      </c>
      <c r="D15" s="41">
        <v>-2109</v>
      </c>
      <c r="E15" s="41">
        <v>-6403</v>
      </c>
      <c r="F15" s="41">
        <v>0</v>
      </c>
      <c r="G15" s="41">
        <v>-2747</v>
      </c>
      <c r="H15" s="41">
        <v>-3440</v>
      </c>
      <c r="I15" s="41">
        <v>-2283</v>
      </c>
      <c r="J15" s="41">
        <v>-1873</v>
      </c>
      <c r="K15" s="41">
        <v>-3066</v>
      </c>
      <c r="L15" s="41">
        <v>-1670</v>
      </c>
      <c r="M15" s="41">
        <v>-4638</v>
      </c>
      <c r="N15" s="41">
        <v>-2052</v>
      </c>
      <c r="O15" s="41">
        <v>-3074</v>
      </c>
      <c r="P15" s="41">
        <v>-2706</v>
      </c>
      <c r="Q15" s="41">
        <v>-3862</v>
      </c>
      <c r="R15" s="41">
        <v>-2545</v>
      </c>
      <c r="S15" s="41">
        <v>-3712</v>
      </c>
      <c r="T15" s="41">
        <v>-2359</v>
      </c>
      <c r="U15" s="41">
        <v>-5410</v>
      </c>
      <c r="V15" s="41">
        <v>-3046</v>
      </c>
      <c r="W15" s="41">
        <v>-22022</v>
      </c>
      <c r="X15" s="41">
        <v>-12390</v>
      </c>
      <c r="Y15" s="41">
        <v>-18525</v>
      </c>
      <c r="Z15" s="41">
        <v>-13297</v>
      </c>
      <c r="AA15" s="41">
        <v>-12644</v>
      </c>
      <c r="AB15" s="41">
        <v>-14174</v>
      </c>
      <c r="AC15" s="41">
        <v>-29700</v>
      </c>
      <c r="AD15" s="41">
        <v>-13671</v>
      </c>
      <c r="AE15" s="41">
        <v>-27625</v>
      </c>
      <c r="AF15" s="41">
        <v>-35036</v>
      </c>
      <c r="AG15" s="41">
        <f>-130552-SUM(AD15:AF15)</f>
        <v>-54220</v>
      </c>
      <c r="AH15" s="41">
        <v>-34373</v>
      </c>
      <c r="AI15" s="41">
        <v>-41619</v>
      </c>
      <c r="AJ15" s="41">
        <f>-35372</f>
        <v>-35372</v>
      </c>
      <c r="AK15" s="41">
        <f t="shared" si="19"/>
        <v>-20295</v>
      </c>
      <c r="AL15" s="70">
        <v>-64951</v>
      </c>
      <c r="AM15" s="70">
        <v>-67340</v>
      </c>
      <c r="AN15" s="70">
        <v>-56932</v>
      </c>
      <c r="AO15" s="70">
        <f t="shared" si="20"/>
        <v>-50413</v>
      </c>
      <c r="AP15" s="70">
        <v>-56978</v>
      </c>
      <c r="AQ15" s="70">
        <v>-67582</v>
      </c>
      <c r="AR15" s="70">
        <v>-71256</v>
      </c>
      <c r="AS15" s="70">
        <f t="shared" si="21"/>
        <v>-59611</v>
      </c>
      <c r="AT15" s="70">
        <v>-135040</v>
      </c>
      <c r="AU15" s="70">
        <v>-109492</v>
      </c>
      <c r="AV15" s="70">
        <v>-151522</v>
      </c>
      <c r="AW15" s="70">
        <f t="shared" si="22"/>
        <v>-157488</v>
      </c>
      <c r="AX15" s="70">
        <v>-203644</v>
      </c>
      <c r="AY15" s="94">
        <v>-59533</v>
      </c>
      <c r="AZ15" s="74"/>
      <c r="BA15" s="41">
        <f t="shared" si="0"/>
        <v>-13203</v>
      </c>
      <c r="BB15" s="41">
        <f t="shared" si="1"/>
        <v>-8470</v>
      </c>
      <c r="BC15" s="41">
        <f t="shared" si="2"/>
        <v>-11247</v>
      </c>
      <c r="BD15" s="41">
        <f t="shared" si="3"/>
        <v>-11694</v>
      </c>
      <c r="BE15" s="41">
        <f t="shared" si="4"/>
        <v>-14026</v>
      </c>
      <c r="BF15" s="70">
        <f t="shared" si="5"/>
        <v>-55983</v>
      </c>
      <c r="BG15" s="41">
        <f t="shared" si="6"/>
        <v>-69815</v>
      </c>
      <c r="BH15" s="70">
        <f t="shared" si="7"/>
        <v>-130552</v>
      </c>
      <c r="BI15" s="70">
        <v>-131659</v>
      </c>
      <c r="BJ15" s="41">
        <v>-239636</v>
      </c>
      <c r="BK15" s="70">
        <v>-255427</v>
      </c>
      <c r="BL15" s="70">
        <v>-553542</v>
      </c>
    </row>
    <row r="16" spans="1:64" ht="15.6" outlineLevel="1">
      <c r="A16" s="138" t="s">
        <v>56</v>
      </c>
      <c r="B16" s="41">
        <v>-3516</v>
      </c>
      <c r="C16" s="41">
        <v>-1879</v>
      </c>
      <c r="D16" s="41">
        <v>-3483</v>
      </c>
      <c r="E16" s="41">
        <v>-3626</v>
      </c>
      <c r="F16" s="41">
        <v>0</v>
      </c>
      <c r="G16" s="41">
        <v>-4512</v>
      </c>
      <c r="H16" s="41">
        <v>-6087</v>
      </c>
      <c r="I16" s="41">
        <v>-3251</v>
      </c>
      <c r="J16" s="41">
        <v>-3594</v>
      </c>
      <c r="K16" s="41">
        <v>-3834</v>
      </c>
      <c r="L16" s="41">
        <v>-2081</v>
      </c>
      <c r="M16" s="41">
        <v>-4110</v>
      </c>
      <c r="N16" s="41">
        <v>-1885</v>
      </c>
      <c r="O16" s="41">
        <v>-3982</v>
      </c>
      <c r="P16" s="41">
        <v>-2547</v>
      </c>
      <c r="Q16" s="41">
        <v>-2963</v>
      </c>
      <c r="R16" s="41">
        <v>-2209</v>
      </c>
      <c r="S16" s="41">
        <v>-3487</v>
      </c>
      <c r="T16" s="41">
        <v>-2615</v>
      </c>
      <c r="U16" s="41">
        <v>-4255</v>
      </c>
      <c r="V16" s="41">
        <v>-1674</v>
      </c>
      <c r="W16" s="41">
        <v>-3000</v>
      </c>
      <c r="X16" s="41">
        <v>-1913</v>
      </c>
      <c r="Y16" s="41">
        <v>-3546</v>
      </c>
      <c r="Z16" s="41">
        <v>-1194</v>
      </c>
      <c r="AA16" s="41">
        <v>-1040</v>
      </c>
      <c r="AB16" s="41">
        <v>-1823</v>
      </c>
      <c r="AC16" s="41">
        <v>-3287</v>
      </c>
      <c r="AD16" s="41">
        <v>-2053</v>
      </c>
      <c r="AE16" s="41">
        <v>-2420</v>
      </c>
      <c r="AF16" s="41">
        <v>-2490</v>
      </c>
      <c r="AG16" s="41">
        <f>-9140-SUM(AD16:AF16)</f>
        <v>-2177</v>
      </c>
      <c r="AH16" s="41">
        <v>0</v>
      </c>
      <c r="AI16" s="41">
        <v>0</v>
      </c>
      <c r="AJ16" s="41"/>
      <c r="AK16" s="41">
        <f t="shared" si="19"/>
        <v>0</v>
      </c>
      <c r="AL16" s="70">
        <v>0</v>
      </c>
      <c r="AM16" s="70">
        <v>0</v>
      </c>
      <c r="AN16" s="70">
        <v>0</v>
      </c>
      <c r="AO16" s="70">
        <f t="shared" si="20"/>
        <v>0</v>
      </c>
      <c r="AP16" s="70">
        <f>BK16-SUM(AM16:AO16)</f>
        <v>0</v>
      </c>
      <c r="AQ16" s="70">
        <v>0</v>
      </c>
      <c r="AR16" s="70">
        <v>0</v>
      </c>
      <c r="AS16" s="70">
        <f t="shared" si="21"/>
        <v>0</v>
      </c>
      <c r="AT16" s="70">
        <f t="shared" ref="AT16:AV17" si="23">BL16-SUM(AQ16:AS16)</f>
        <v>0</v>
      </c>
      <c r="AU16" s="70">
        <f t="shared" si="23"/>
        <v>0</v>
      </c>
      <c r="AV16" s="70">
        <f t="shared" si="23"/>
        <v>0</v>
      </c>
      <c r="AW16" s="70">
        <f t="shared" si="22"/>
        <v>0</v>
      </c>
      <c r="AX16" s="70">
        <v>0</v>
      </c>
      <c r="AY16" s="70">
        <v>0</v>
      </c>
      <c r="AZ16" s="74"/>
      <c r="BA16" s="41">
        <f t="shared" si="0"/>
        <v>-12504</v>
      </c>
      <c r="BB16" s="41">
        <f t="shared" si="1"/>
        <v>-13850</v>
      </c>
      <c r="BC16" s="41">
        <f t="shared" si="2"/>
        <v>-13619</v>
      </c>
      <c r="BD16" s="41">
        <f t="shared" si="3"/>
        <v>-11377</v>
      </c>
      <c r="BE16" s="41">
        <f t="shared" si="4"/>
        <v>-12566</v>
      </c>
      <c r="BF16" s="70">
        <f t="shared" si="5"/>
        <v>-10133</v>
      </c>
      <c r="BG16" s="41">
        <f t="shared" si="6"/>
        <v>-7344</v>
      </c>
      <c r="BH16" s="70">
        <f t="shared" si="7"/>
        <v>-9140</v>
      </c>
      <c r="BI16" s="70">
        <v>0</v>
      </c>
      <c r="BJ16" s="41">
        <f>SUM(AL16:AN16)</f>
        <v>0</v>
      </c>
      <c r="BK16" s="70">
        <f>SUM(AM16:AO16)</f>
        <v>0</v>
      </c>
      <c r="BL16" s="70">
        <f>SUM(AN16:AP16)</f>
        <v>0</v>
      </c>
    </row>
    <row r="17" spans="1:64" ht="15.6" outlineLevel="1">
      <c r="A17" s="138" t="s">
        <v>57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>
        <v>-62500</v>
      </c>
      <c r="AC17" s="41">
        <f>-72165-AB17</f>
        <v>-9665</v>
      </c>
      <c r="AD17" s="41">
        <v>-21451</v>
      </c>
      <c r="AE17" s="41">
        <v>0</v>
      </c>
      <c r="AF17" s="41">
        <v>0</v>
      </c>
      <c r="AG17" s="41">
        <f>-120370-SUM(AD17:AF17)</f>
        <v>-98919</v>
      </c>
      <c r="AH17" s="41">
        <v>0</v>
      </c>
      <c r="AI17" s="41">
        <v>-105607</v>
      </c>
      <c r="AJ17" s="41">
        <f>-91815</f>
        <v>-91815</v>
      </c>
      <c r="AK17" s="41">
        <f t="shared" si="19"/>
        <v>-121785</v>
      </c>
      <c r="AL17" s="70">
        <v>-56365</v>
      </c>
      <c r="AM17" s="70">
        <v>17407</v>
      </c>
      <c r="AN17" s="70">
        <v>0</v>
      </c>
      <c r="AO17" s="70">
        <f t="shared" si="20"/>
        <v>523</v>
      </c>
      <c r="AP17" s="70">
        <v>0</v>
      </c>
      <c r="AQ17" s="70">
        <v>0</v>
      </c>
      <c r="AR17" s="70">
        <v>0</v>
      </c>
      <c r="AS17" s="70">
        <f t="shared" si="21"/>
        <v>0</v>
      </c>
      <c r="AT17" s="70">
        <f t="shared" si="23"/>
        <v>0</v>
      </c>
      <c r="AU17" s="70">
        <f t="shared" si="23"/>
        <v>0</v>
      </c>
      <c r="AV17" s="70">
        <f t="shared" si="23"/>
        <v>0</v>
      </c>
      <c r="AW17" s="70">
        <f t="shared" si="22"/>
        <v>0</v>
      </c>
      <c r="AX17" s="70">
        <v>0</v>
      </c>
      <c r="AY17" s="70">
        <v>0</v>
      </c>
      <c r="AZ17" s="74"/>
      <c r="BA17" s="41"/>
      <c r="BB17" s="41"/>
      <c r="BC17" s="41"/>
      <c r="BD17" s="41"/>
      <c r="BE17" s="41"/>
      <c r="BF17" s="70"/>
      <c r="BG17" s="41">
        <f t="shared" si="6"/>
        <v>-72165</v>
      </c>
      <c r="BH17" s="70">
        <f t="shared" si="7"/>
        <v>-120370</v>
      </c>
      <c r="BI17" s="70">
        <v>-319207</v>
      </c>
      <c r="BJ17" s="41">
        <v>-38435</v>
      </c>
      <c r="BK17" s="70">
        <v>0</v>
      </c>
      <c r="BL17" s="70">
        <v>0</v>
      </c>
    </row>
    <row r="18" spans="1:64" ht="15.6" outlineLevel="1">
      <c r="A18" s="138" t="s">
        <v>58</v>
      </c>
      <c r="B18" s="41">
        <v>-47889</v>
      </c>
      <c r="C18" s="41">
        <v>5525</v>
      </c>
      <c r="D18" s="41">
        <v>1948</v>
      </c>
      <c r="E18" s="41">
        <v>-32722</v>
      </c>
      <c r="F18" s="41">
        <v>0</v>
      </c>
      <c r="G18" s="41">
        <v>-2923</v>
      </c>
      <c r="H18" s="41">
        <v>-6371</v>
      </c>
      <c r="I18" s="41">
        <v>-5425</v>
      </c>
      <c r="J18" s="41">
        <v>-2162</v>
      </c>
      <c r="K18" s="41">
        <v>-14612</v>
      </c>
      <c r="L18" s="41">
        <v>-58590</v>
      </c>
      <c r="M18" s="41">
        <v>65569</v>
      </c>
      <c r="N18" s="41">
        <v>-1702</v>
      </c>
      <c r="O18" s="41">
        <v>-2640</v>
      </c>
      <c r="P18" s="41">
        <v>-2958</v>
      </c>
      <c r="Q18" s="41">
        <v>-4027</v>
      </c>
      <c r="R18" s="41">
        <v>-4343</v>
      </c>
      <c r="S18" s="41">
        <v>-5224</v>
      </c>
      <c r="T18" s="41">
        <v>-4151</v>
      </c>
      <c r="U18" s="41">
        <v>-5835</v>
      </c>
      <c r="V18" s="41">
        <v>-2331</v>
      </c>
      <c r="W18" s="41">
        <v>-13721</v>
      </c>
      <c r="X18" s="41">
        <v>-27507</v>
      </c>
      <c r="Y18" s="41">
        <v>9715</v>
      </c>
      <c r="Z18" s="41">
        <v>-6756</v>
      </c>
      <c r="AA18" s="41">
        <v>-95</v>
      </c>
      <c r="AB18" s="41">
        <v>-5061</v>
      </c>
      <c r="AC18" s="41">
        <f>25831+AB17</f>
        <v>-36669</v>
      </c>
      <c r="AD18" s="41">
        <v>-2406</v>
      </c>
      <c r="AE18" s="41">
        <v>-19627</v>
      </c>
      <c r="AF18" s="41">
        <f>-37571</f>
        <v>-37571</v>
      </c>
      <c r="AG18" s="41">
        <f>-55655-SUM(AD18:AF18)</f>
        <v>3949</v>
      </c>
      <c r="AH18" s="41">
        <v>-49774</v>
      </c>
      <c r="AI18" s="41">
        <v>-56831</v>
      </c>
      <c r="AJ18" s="41">
        <f>-6504</f>
        <v>-6504</v>
      </c>
      <c r="AK18" s="41">
        <f t="shared" si="19"/>
        <v>89379</v>
      </c>
      <c r="AL18" s="70">
        <v>-58170</v>
      </c>
      <c r="AM18" s="70">
        <v>10526</v>
      </c>
      <c r="AN18" s="70">
        <v>-197385</v>
      </c>
      <c r="AO18" s="70">
        <f t="shared" si="20"/>
        <v>137456</v>
      </c>
      <c r="AP18" s="70">
        <v>-50477</v>
      </c>
      <c r="AQ18" s="70">
        <v>-125520</v>
      </c>
      <c r="AR18" s="70">
        <f>99954</f>
        <v>99954</v>
      </c>
      <c r="AS18" s="70">
        <f t="shared" si="21"/>
        <v>-35415</v>
      </c>
      <c r="AT18" s="70">
        <f>-66130</f>
        <v>-66130</v>
      </c>
      <c r="AU18" s="70">
        <v>-25942</v>
      </c>
      <c r="AV18" s="70">
        <v>-61904</v>
      </c>
      <c r="AW18" s="70">
        <f t="shared" si="22"/>
        <v>-73934</v>
      </c>
      <c r="AX18" s="70">
        <v>-77156</v>
      </c>
      <c r="AY18" s="94">
        <v>-67378</v>
      </c>
      <c r="AZ18" s="74"/>
      <c r="BA18" s="41">
        <f>SUM(B18:E18)</f>
        <v>-73138</v>
      </c>
      <c r="BB18" s="41">
        <f>SUM(F18:I18)</f>
        <v>-14719</v>
      </c>
      <c r="BC18" s="41">
        <f>SUM(J18:M18)</f>
        <v>-9795</v>
      </c>
      <c r="BD18" s="41">
        <f>SUM(N18:Q18)</f>
        <v>-11327</v>
      </c>
      <c r="BE18" s="41">
        <f>SUM(R18:U18)</f>
        <v>-19553</v>
      </c>
      <c r="BF18" s="70">
        <f>SUM(V18:Y18)</f>
        <v>-33844</v>
      </c>
      <c r="BG18" s="41">
        <f t="shared" si="6"/>
        <v>-48581</v>
      </c>
      <c r="BH18" s="70">
        <f t="shared" si="7"/>
        <v>-55655</v>
      </c>
      <c r="BI18" s="70">
        <v>-23730</v>
      </c>
      <c r="BJ18" s="41">
        <v>-107573</v>
      </c>
      <c r="BK18" s="41">
        <v>-111458</v>
      </c>
      <c r="BL18" s="70">
        <v>-227910</v>
      </c>
    </row>
    <row r="19" spans="1:64" ht="18.75" customHeight="1">
      <c r="A19" s="193" t="s">
        <v>59</v>
      </c>
      <c r="B19" s="70">
        <v>-22712</v>
      </c>
      <c r="C19" s="70">
        <v>-20389</v>
      </c>
      <c r="D19" s="70">
        <v>-26135</v>
      </c>
      <c r="E19" s="70">
        <v>-97012</v>
      </c>
      <c r="F19" s="70">
        <v>-4037</v>
      </c>
      <c r="G19" s="70">
        <v>-42827</v>
      </c>
      <c r="H19" s="70">
        <v>-54458</v>
      </c>
      <c r="I19" s="70">
        <v>38681</v>
      </c>
      <c r="J19" s="70">
        <v>-11254</v>
      </c>
      <c r="K19" s="70">
        <v>-21365</v>
      </c>
      <c r="L19" s="70">
        <v>-15485</v>
      </c>
      <c r="M19" s="70">
        <v>-21097</v>
      </c>
      <c r="N19" s="70">
        <v>-12643</v>
      </c>
      <c r="O19" s="70">
        <v>-27520</v>
      </c>
      <c r="P19" s="70">
        <v>-21243</v>
      </c>
      <c r="Q19" s="70">
        <v>-25773</v>
      </c>
      <c r="R19" s="70">
        <v>-15161</v>
      </c>
      <c r="S19" s="70">
        <v>-24667</v>
      </c>
      <c r="T19" s="70">
        <v>-18464</v>
      </c>
      <c r="U19" s="70">
        <v>-11840</v>
      </c>
      <c r="V19" s="70">
        <v>-29846</v>
      </c>
      <c r="W19" s="70">
        <f>-43443-45034</f>
        <v>-88477</v>
      </c>
      <c r="X19" s="70">
        <v>-81736</v>
      </c>
      <c r="Y19" s="70">
        <v>-182819</v>
      </c>
      <c r="Z19" s="70">
        <v>-90084</v>
      </c>
      <c r="AA19" s="70">
        <v>-172968</v>
      </c>
      <c r="AB19" s="70">
        <v>-146243.21543312797</v>
      </c>
      <c r="AC19" s="70">
        <v>-240989</v>
      </c>
      <c r="AD19" s="70">
        <f>-24853-77105</f>
        <v>-101958</v>
      </c>
      <c r="AE19" s="70">
        <f>-50224-166787</f>
        <v>-217011</v>
      </c>
      <c r="AF19" s="70">
        <f>-173675+10143</f>
        <v>-163532</v>
      </c>
      <c r="AG19" s="41">
        <v>-277664.94285627012</v>
      </c>
      <c r="AH19" s="41">
        <f>-15441-136836</f>
        <v>-152277</v>
      </c>
      <c r="AI19" s="41">
        <f>-22494-164826</f>
        <v>-187320</v>
      </c>
      <c r="AJ19" s="70">
        <f>-205909-20056</f>
        <v>-225965</v>
      </c>
      <c r="AK19" s="70">
        <f t="shared" si="19"/>
        <v>-176167</v>
      </c>
      <c r="AL19" s="70">
        <f>-(38278+286003)</f>
        <v>-324281</v>
      </c>
      <c r="AM19" s="70">
        <f>-(457598+21441)</f>
        <v>-479039</v>
      </c>
      <c r="AN19" s="70">
        <v>-830135</v>
      </c>
      <c r="AO19" s="70">
        <f t="shared" si="20"/>
        <v>-283940</v>
      </c>
      <c r="AP19" s="70">
        <f>-(571050+40592)</f>
        <v>-611642</v>
      </c>
      <c r="AQ19" s="70">
        <f>-590664-48425</f>
        <v>-639089</v>
      </c>
      <c r="AR19" s="70">
        <f>-501939-52370</f>
        <v>-554309</v>
      </c>
      <c r="AS19" s="70">
        <f t="shared" si="21"/>
        <v>-582834</v>
      </c>
      <c r="AT19" s="70">
        <f>-57667-1450712</f>
        <v>-1508379</v>
      </c>
      <c r="AU19" s="70">
        <f>-1073163-160924</f>
        <v>-1234087</v>
      </c>
      <c r="AV19" s="70">
        <f>-1083426-63464</f>
        <v>-1146890</v>
      </c>
      <c r="AW19" s="70">
        <f t="shared" si="22"/>
        <v>-1814472</v>
      </c>
      <c r="AX19" s="70">
        <f>-75972-1841704</f>
        <v>-1917676</v>
      </c>
      <c r="AY19" s="94">
        <f>-1417340-155360</f>
        <v>-1572700</v>
      </c>
      <c r="AZ19" s="74"/>
      <c r="BA19" s="70">
        <f>SUM(B19:E19)</f>
        <v>-166248</v>
      </c>
      <c r="BB19" s="70">
        <f>SUM(F19:I19)</f>
        <v>-62641</v>
      </c>
      <c r="BC19" s="70">
        <f>SUM(J19:M19)</f>
        <v>-69201</v>
      </c>
      <c r="BD19" s="70">
        <f>SUM(N19:Q19)</f>
        <v>-87179</v>
      </c>
      <c r="BE19" s="70">
        <f>SUM(R19:U19)</f>
        <v>-70132</v>
      </c>
      <c r="BF19" s="70">
        <f>SUM(V19:Y19)</f>
        <v>-382878</v>
      </c>
      <c r="BG19" s="41">
        <f t="shared" si="6"/>
        <v>-650284.21543312795</v>
      </c>
      <c r="BH19" s="70">
        <f t="shared" si="7"/>
        <v>-760165.94285627012</v>
      </c>
      <c r="BI19" s="70">
        <v>-741729</v>
      </c>
      <c r="BJ19" s="41">
        <f>-1768274-149121</f>
        <v>-1917395</v>
      </c>
      <c r="BK19" s="41">
        <f>-2205033-182841</f>
        <v>-2387874</v>
      </c>
      <c r="BL19" s="70">
        <f>-5405313-298515</f>
        <v>-5703828</v>
      </c>
    </row>
    <row r="20" spans="1:64" ht="18.75" customHeight="1">
      <c r="A20" s="193" t="s">
        <v>60</v>
      </c>
      <c r="B20" s="41">
        <v>-11658.268050000001</v>
      </c>
      <c r="C20" s="41">
        <v>-12455.012639999999</v>
      </c>
      <c r="D20" s="41">
        <v>-12962.481670000001</v>
      </c>
      <c r="E20" s="41">
        <v>-9893.2376399999976</v>
      </c>
      <c r="F20" s="41">
        <v>0</v>
      </c>
      <c r="G20" s="41">
        <v>-9580</v>
      </c>
      <c r="H20" s="41">
        <v>-11832</v>
      </c>
      <c r="I20" s="41">
        <v>-4847</v>
      </c>
      <c r="J20" s="41">
        <v>-4947</v>
      </c>
      <c r="K20" s="41">
        <v>-7868</v>
      </c>
      <c r="L20" s="41">
        <v>-13081</v>
      </c>
      <c r="M20" s="41">
        <v>-9555</v>
      </c>
      <c r="N20" s="41">
        <v>-7997</v>
      </c>
      <c r="O20" s="41">
        <v>-15029</v>
      </c>
      <c r="P20" s="41">
        <v>-10028</v>
      </c>
      <c r="Q20" s="41">
        <v>-15535</v>
      </c>
      <c r="R20" s="41">
        <v>-10762</v>
      </c>
      <c r="S20" s="41">
        <v>-16732</v>
      </c>
      <c r="T20" s="41">
        <v>-18352</v>
      </c>
      <c r="U20" s="41">
        <v>-30814</v>
      </c>
      <c r="V20" s="41">
        <v>-14233</v>
      </c>
      <c r="W20" s="41">
        <v>-48719</v>
      </c>
      <c r="X20" s="41">
        <v>-32514</v>
      </c>
      <c r="Y20" s="41">
        <v>-48314</v>
      </c>
      <c r="Z20" s="41">
        <v>-32228</v>
      </c>
      <c r="AA20" s="41">
        <v>-21131</v>
      </c>
      <c r="AB20" s="41">
        <v>-24376</v>
      </c>
      <c r="AC20" s="41">
        <v>-74819.270225658169</v>
      </c>
      <c r="AD20" s="41">
        <v>-33244</v>
      </c>
      <c r="AE20" s="41">
        <v>-82201</v>
      </c>
      <c r="AF20" s="41">
        <v>-78575</v>
      </c>
      <c r="AG20" s="41">
        <f>+'[17]DRE EBITDA Ex IFRS'!$AQ$18</f>
        <v>-127073</v>
      </c>
      <c r="AH20" s="41">
        <v>-120009</v>
      </c>
      <c r="AI20" s="41">
        <v>-157418</v>
      </c>
      <c r="AJ20" s="41">
        <f>-144460</f>
        <v>-144460</v>
      </c>
      <c r="AK20" s="41">
        <f t="shared" si="19"/>
        <v>-76498</v>
      </c>
      <c r="AL20" s="70">
        <v>-238251</v>
      </c>
      <c r="AM20" s="70">
        <v>-225599</v>
      </c>
      <c r="AN20" s="70">
        <v>-318526</v>
      </c>
      <c r="AO20" s="70">
        <f t="shared" si="20"/>
        <v>-352238</v>
      </c>
      <c r="AP20" s="70">
        <v>-291647</v>
      </c>
      <c r="AQ20" s="70">
        <v>-315157</v>
      </c>
      <c r="AR20" s="70">
        <v>-320347</v>
      </c>
      <c r="AS20" s="70">
        <f t="shared" si="21"/>
        <v>-305669</v>
      </c>
      <c r="AT20" s="70">
        <v>-515294</v>
      </c>
      <c r="AU20" s="70">
        <v>-306824</v>
      </c>
      <c r="AV20" s="70">
        <v>-345720</v>
      </c>
      <c r="AW20" s="70">
        <f t="shared" si="22"/>
        <v>-365814</v>
      </c>
      <c r="AX20" s="70">
        <v>-368066</v>
      </c>
      <c r="AY20" s="94">
        <v>-906795</v>
      </c>
      <c r="AZ20" s="74"/>
      <c r="BA20" s="41">
        <f>SUM(B20:E20)</f>
        <v>-46969</v>
      </c>
      <c r="BB20" s="41">
        <f>SUM(F20:I20)</f>
        <v>-26259</v>
      </c>
      <c r="BC20" s="41">
        <f>SUM(J20:M20)</f>
        <v>-35451</v>
      </c>
      <c r="BD20" s="41">
        <f>SUM(N20:Q20)</f>
        <v>-48589</v>
      </c>
      <c r="BE20" s="41">
        <f>SUM(R20:U20)</f>
        <v>-76660</v>
      </c>
      <c r="BF20" s="70">
        <f>SUM(V20:Y20)</f>
        <v>-143780</v>
      </c>
      <c r="BG20" s="41">
        <f t="shared" si="6"/>
        <v>-152554.27022565817</v>
      </c>
      <c r="BH20" s="41">
        <f t="shared" si="7"/>
        <v>-321093</v>
      </c>
      <c r="BI20" s="70">
        <v>-498385</v>
      </c>
      <c r="BJ20" s="41">
        <v>-1134614</v>
      </c>
      <c r="BK20" s="41">
        <v>-1232820</v>
      </c>
      <c r="BL20" s="41">
        <v>-1533652</v>
      </c>
    </row>
    <row r="21" spans="1:64" s="5" customFormat="1" ht="15.6">
      <c r="A21" s="125" t="s">
        <v>61</v>
      </c>
      <c r="B21" s="126">
        <f t="shared" ref="B21:F21" si="24">B9+B10+B19+B20</f>
        <v>23296.731950000001</v>
      </c>
      <c r="C21" s="126">
        <f t="shared" si="24"/>
        <v>55157.987359999999</v>
      </c>
      <c r="D21" s="126">
        <f t="shared" si="24"/>
        <v>28537.518329999999</v>
      </c>
      <c r="E21" s="126">
        <f t="shared" si="24"/>
        <v>-88221.237640000021</v>
      </c>
      <c r="F21" s="126">
        <f t="shared" si="24"/>
        <v>816</v>
      </c>
      <c r="G21" s="126">
        <f t="shared" ref="G21:H21" si="25">G9+G10+G19+G20</f>
        <v>-19433</v>
      </c>
      <c r="H21" s="126">
        <f t="shared" si="25"/>
        <v>-28867.949151055902</v>
      </c>
      <c r="I21" s="126">
        <f t="shared" ref="I21:Q21" si="26">I9+I10+I19+I20</f>
        <v>6098.9491510558873</v>
      </c>
      <c r="J21" s="126">
        <f t="shared" si="26"/>
        <v>-25068</v>
      </c>
      <c r="K21" s="126">
        <f t="shared" si="26"/>
        <v>-10695</v>
      </c>
      <c r="L21" s="126">
        <f t="shared" si="26"/>
        <v>14628</v>
      </c>
      <c r="M21" s="126">
        <f t="shared" si="26"/>
        <v>10538</v>
      </c>
      <c r="N21" s="126">
        <f t="shared" si="26"/>
        <v>6546.0656228491862</v>
      </c>
      <c r="O21" s="126">
        <f t="shared" si="26"/>
        <v>23700</v>
      </c>
      <c r="P21" s="126">
        <f t="shared" si="26"/>
        <v>16502</v>
      </c>
      <c r="Q21" s="126">
        <f t="shared" si="26"/>
        <v>52110</v>
      </c>
      <c r="R21" s="126">
        <f t="shared" ref="R21:AA21" si="27">R9+R10+R19+R20</f>
        <v>24666</v>
      </c>
      <c r="S21" s="126">
        <f t="shared" si="27"/>
        <v>93769</v>
      </c>
      <c r="T21" s="126">
        <f t="shared" si="27"/>
        <v>110947</v>
      </c>
      <c r="U21" s="126">
        <f>U9+U10+U19+U20</f>
        <v>95049</v>
      </c>
      <c r="V21" s="126">
        <f>V9+V10+V19+V20</f>
        <v>43457.931489999988</v>
      </c>
      <c r="W21" s="126">
        <f t="shared" si="27"/>
        <v>278868</v>
      </c>
      <c r="X21" s="126">
        <f>X9+X10+X19+X20</f>
        <v>166670.1688249741</v>
      </c>
      <c r="Y21" s="126">
        <f>Y9+Y10+Y19+Y20</f>
        <v>214970.89104842965</v>
      </c>
      <c r="Z21" s="126">
        <f t="shared" si="27"/>
        <v>16336.010373371973</v>
      </c>
      <c r="AA21" s="126">
        <f t="shared" si="27"/>
        <v>62338</v>
      </c>
      <c r="AB21" s="126">
        <f t="shared" ref="AB21" si="28">AB9+AB10+AB19+AB20</f>
        <v>164685.78456687203</v>
      </c>
      <c r="AC21" s="126">
        <f t="shared" ref="AC21" si="29">AC9+AC10+AC19+AC20</f>
        <v>344979.79945434176</v>
      </c>
      <c r="AD21" s="126">
        <f t="shared" ref="AD21" si="30">AD9+AD10+AD19+AD20</f>
        <v>418803</v>
      </c>
      <c r="AE21" s="126">
        <f t="shared" ref="AE21" si="31">AE9+AE10+AE19+AE20</f>
        <v>554274</v>
      </c>
      <c r="AF21" s="126">
        <f t="shared" ref="AF21" si="32">AF9+AF10+AF19+AF20</f>
        <v>486223</v>
      </c>
      <c r="AG21" s="126">
        <f t="shared" ref="AG21" si="33">AG9+AG10+AG19+AG20</f>
        <v>1053305.8321826584</v>
      </c>
      <c r="AH21" s="126">
        <f t="shared" ref="AH21:AI21" si="34">AH9+AH10+AH19+AH20</f>
        <v>1067900</v>
      </c>
      <c r="AI21" s="126">
        <f t="shared" si="34"/>
        <v>1216649</v>
      </c>
      <c r="AJ21" s="126">
        <f t="shared" ref="AJ21:AR21" si="35">AJ9+AJ10+AJ19+AJ20</f>
        <v>1373475</v>
      </c>
      <c r="AK21" s="126">
        <f t="shared" si="35"/>
        <v>599148</v>
      </c>
      <c r="AL21" s="126">
        <f t="shared" si="35"/>
        <v>1833069</v>
      </c>
      <c r="AM21" s="126">
        <f t="shared" si="35"/>
        <v>1468134</v>
      </c>
      <c r="AN21" s="126">
        <f t="shared" si="35"/>
        <v>2579761</v>
      </c>
      <c r="AO21" s="126">
        <f t="shared" si="35"/>
        <v>2458463</v>
      </c>
      <c r="AP21" s="126">
        <f t="shared" si="35"/>
        <v>1979281</v>
      </c>
      <c r="AQ21" s="126">
        <f t="shared" si="35"/>
        <v>2576313</v>
      </c>
      <c r="AR21" s="126">
        <f t="shared" si="35"/>
        <v>1536083</v>
      </c>
      <c r="AS21" s="126">
        <f t="shared" ref="AS21:AT21" si="36">AS9+AS10+AS19+AS20</f>
        <v>1848467</v>
      </c>
      <c r="AT21" s="126">
        <f t="shared" si="36"/>
        <v>1475072</v>
      </c>
      <c r="AU21" s="126">
        <f>AU9+AU10+AU19+AU20</f>
        <v>869958</v>
      </c>
      <c r="AV21" s="126">
        <f>AV9+AV10+AV19+AV20</f>
        <v>984844</v>
      </c>
      <c r="AW21" s="126">
        <f t="shared" ref="AW21:AY21" si="37">AW9+AW10+AW19+AW20</f>
        <v>570607</v>
      </c>
      <c r="AX21" s="126">
        <f t="shared" si="37"/>
        <v>3378008</v>
      </c>
      <c r="AY21" s="126">
        <f t="shared" si="37"/>
        <v>3547346</v>
      </c>
      <c r="AZ21" s="185"/>
      <c r="BA21" s="126">
        <f t="shared" ref="BA21:BD21" si="38">BA9+BA10+BA19+BA20</f>
        <v>18770.999999999971</v>
      </c>
      <c r="BB21" s="126">
        <f t="shared" si="38"/>
        <v>-41386</v>
      </c>
      <c r="BC21" s="126">
        <f t="shared" si="38"/>
        <v>-10597</v>
      </c>
      <c r="BD21" s="126">
        <f t="shared" si="38"/>
        <v>98858.065622849157</v>
      </c>
      <c r="BE21" s="126">
        <f t="shared" ref="BE21:BJ21" si="39">BE9+BE10+BE19+BE20</f>
        <v>324431</v>
      </c>
      <c r="BF21" s="126">
        <f t="shared" si="39"/>
        <v>703966.99136340385</v>
      </c>
      <c r="BG21" s="126">
        <f t="shared" si="39"/>
        <v>588339.5943945857</v>
      </c>
      <c r="BH21" s="126">
        <f t="shared" si="39"/>
        <v>2512605.8321826588</v>
      </c>
      <c r="BI21" s="126">
        <f t="shared" si="39"/>
        <v>4257172</v>
      </c>
      <c r="BJ21" s="126">
        <f t="shared" si="39"/>
        <v>8339427</v>
      </c>
      <c r="BK21" s="126">
        <f>BK9+BK10+BK19+BK20</f>
        <v>7940144</v>
      </c>
      <c r="BL21" s="126">
        <f>BL9+BL10+BL19+BL20</f>
        <v>3900481</v>
      </c>
    </row>
    <row r="22" spans="1:64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359"/>
      <c r="AZ22" s="191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</row>
    <row r="23" spans="1:64" ht="15.6">
      <c r="A23" s="143" t="s">
        <v>62</v>
      </c>
      <c r="B23" s="41">
        <f t="shared" ref="B23:W23" si="40">+SUM(B25:B29)</f>
        <v>-32875</v>
      </c>
      <c r="C23" s="41">
        <f t="shared" si="40"/>
        <v>-41827</v>
      </c>
      <c r="D23" s="41">
        <f t="shared" si="40"/>
        <v>-31297</v>
      </c>
      <c r="E23" s="41">
        <f t="shared" si="40"/>
        <v>-57697</v>
      </c>
      <c r="F23" s="41">
        <f t="shared" si="40"/>
        <v>-19632</v>
      </c>
      <c r="G23" s="41">
        <f t="shared" si="40"/>
        <v>-19000</v>
      </c>
      <c r="H23" s="41">
        <f t="shared" si="40"/>
        <v>-15175.348498718567</v>
      </c>
      <c r="I23" s="41">
        <f t="shared" si="40"/>
        <v>-27351.651501281431</v>
      </c>
      <c r="J23" s="41">
        <f t="shared" si="40"/>
        <v>-15245</v>
      </c>
      <c r="K23" s="41">
        <f t="shared" si="40"/>
        <v>-15017</v>
      </c>
      <c r="L23" s="41">
        <f t="shared" si="40"/>
        <v>-14438</v>
      </c>
      <c r="M23" s="41">
        <f t="shared" si="40"/>
        <v>-29961</v>
      </c>
      <c r="N23" s="41">
        <f t="shared" si="40"/>
        <v>-18859.046400348401</v>
      </c>
      <c r="O23" s="41">
        <f t="shared" si="40"/>
        <v>-27285</v>
      </c>
      <c r="P23" s="41">
        <f t="shared" si="40"/>
        <v>-15090</v>
      </c>
      <c r="Q23" s="41">
        <f t="shared" si="40"/>
        <v>-34605.999999999971</v>
      </c>
      <c r="R23" s="41">
        <f>+SUM(R25:R29)</f>
        <v>-28553</v>
      </c>
      <c r="S23" s="41">
        <f>+SUM(S25:S29)</f>
        <v>-25738</v>
      </c>
      <c r="T23" s="41">
        <f t="shared" ref="T23" si="41">+SUM(T25:T29)</f>
        <v>-23001</v>
      </c>
      <c r="U23" s="41">
        <f>+SUM(U25:U29)</f>
        <v>-38349</v>
      </c>
      <c r="V23" s="41">
        <f t="shared" si="40"/>
        <v>-20375.193146856502</v>
      </c>
      <c r="W23" s="41">
        <f t="shared" si="40"/>
        <v>-32127</v>
      </c>
      <c r="X23" s="41">
        <f t="shared" ref="X23:AB23" si="42">+SUM(X25:X29)</f>
        <v>-28588.021139238685</v>
      </c>
      <c r="Y23" s="41">
        <f t="shared" si="42"/>
        <v>-38545.785713904814</v>
      </c>
      <c r="Z23" s="41">
        <f t="shared" si="42"/>
        <v>-38958.415562649367</v>
      </c>
      <c r="AA23" s="41">
        <f t="shared" si="42"/>
        <v>-27312.943915337921</v>
      </c>
      <c r="AB23" s="41">
        <f t="shared" si="42"/>
        <v>-35290.320012494485</v>
      </c>
      <c r="AC23" s="41">
        <f t="shared" ref="AC23" si="43">+SUM(AC25:AC29)</f>
        <v>-42868.273034975929</v>
      </c>
      <c r="AD23" s="41">
        <f t="shared" ref="AD23" si="44">+SUM(AD25:AD29)</f>
        <v>-51788</v>
      </c>
      <c r="AE23" s="41">
        <f t="shared" ref="AE23" si="45">+SUM(AE25:AE29)</f>
        <v>-45555</v>
      </c>
      <c r="AF23" s="41">
        <f t="shared" ref="AF23" si="46">+SUM(AF25:AF29)</f>
        <v>-41870</v>
      </c>
      <c r="AG23" s="41">
        <f t="shared" ref="AG23" si="47">+SUM(AG25:AG29)</f>
        <v>-65454</v>
      </c>
      <c r="AH23" s="41">
        <f t="shared" ref="AH23" si="48">+SUM(AH25:AH29)</f>
        <v>-67534</v>
      </c>
      <c r="AI23" s="41">
        <f>+SUM(AI25:AI29)</f>
        <v>-64073</v>
      </c>
      <c r="AJ23" s="41">
        <f>+SUM(AJ25:AJ29)</f>
        <v>-59984</v>
      </c>
      <c r="AK23" s="41">
        <f>+SUM(AK25:AK29)</f>
        <v>-63411</v>
      </c>
      <c r="AL23" s="41">
        <f t="shared" ref="AL23:AR23" si="49">SUM(AL24:AL29)</f>
        <v>-158938</v>
      </c>
      <c r="AM23" s="41">
        <f t="shared" si="49"/>
        <v>-248976</v>
      </c>
      <c r="AN23" s="41">
        <f t="shared" si="49"/>
        <v>-278203</v>
      </c>
      <c r="AO23" s="41">
        <f t="shared" si="49"/>
        <v>-424609</v>
      </c>
      <c r="AP23" s="41">
        <f t="shared" si="49"/>
        <v>-260051</v>
      </c>
      <c r="AQ23" s="41">
        <f t="shared" si="49"/>
        <v>-335087</v>
      </c>
      <c r="AR23" s="41">
        <f t="shared" si="49"/>
        <v>-210352</v>
      </c>
      <c r="AS23" s="41">
        <f t="shared" ref="AS23:AT23" si="50">SUM(AS24:AS29)</f>
        <v>-356628</v>
      </c>
      <c r="AT23" s="41">
        <f t="shared" si="50"/>
        <v>-273604</v>
      </c>
      <c r="AU23" s="41">
        <f>SUM(AU24:AU29)</f>
        <v>-487529</v>
      </c>
      <c r="AV23" s="70">
        <f>SUM(AV24:AV29)</f>
        <v>-307841</v>
      </c>
      <c r="AW23" s="41">
        <f t="shared" ref="AW23:AX23" si="51">SUM(AW24:AW29)</f>
        <v>-379262</v>
      </c>
      <c r="AX23" s="41">
        <f t="shared" si="51"/>
        <v>-736811</v>
      </c>
      <c r="AY23" s="41">
        <f>SUM(AY24:AY29)</f>
        <v>-587594</v>
      </c>
      <c r="AZ23" s="17"/>
      <c r="BA23" s="41">
        <f>SUM(B23:E23)</f>
        <v>-163696</v>
      </c>
      <c r="BB23" s="41">
        <f>SUM(F23:I23)</f>
        <v>-81159</v>
      </c>
      <c r="BC23" s="41">
        <f>SUM(J23:M23)</f>
        <v>-74661</v>
      </c>
      <c r="BD23" s="41">
        <f>SUM(N23:Q23)</f>
        <v>-95840.046400348365</v>
      </c>
      <c r="BE23" s="41">
        <f>SUM(R23:U23)</f>
        <v>-115641</v>
      </c>
      <c r="BF23" s="70">
        <f>SUM(V23:Y23)</f>
        <v>-119636</v>
      </c>
      <c r="BG23" s="41">
        <f>+SUM(BG25:BG29)</f>
        <v>-144429.95252545769</v>
      </c>
      <c r="BH23" s="41">
        <f>SUM(AD23:AG23)</f>
        <v>-204667</v>
      </c>
      <c r="BI23" s="41">
        <f>SUM(BI25:BI29)</f>
        <v>-255002</v>
      </c>
      <c r="BJ23" s="41">
        <f>SUM(BJ24:BJ29)</f>
        <v>-1110726</v>
      </c>
      <c r="BK23" s="41">
        <f>SUM(BK24:BK29)</f>
        <v>-1162118</v>
      </c>
      <c r="BL23" s="41">
        <f>SUM(BL24:BL29)</f>
        <v>-1448236</v>
      </c>
    </row>
    <row r="24" spans="1:64" ht="15.6">
      <c r="A24" s="138" t="s">
        <v>63</v>
      </c>
      <c r="B24" s="299">
        <v>0</v>
      </c>
      <c r="C24" s="299">
        <v>0</v>
      </c>
      <c r="D24" s="299">
        <v>0</v>
      </c>
      <c r="E24" s="299">
        <v>0</v>
      </c>
      <c r="F24" s="299">
        <v>0</v>
      </c>
      <c r="G24" s="299">
        <v>0</v>
      </c>
      <c r="H24" s="299">
        <v>0</v>
      </c>
      <c r="I24" s="299">
        <v>0</v>
      </c>
      <c r="J24" s="299">
        <v>0</v>
      </c>
      <c r="K24" s="299">
        <v>0</v>
      </c>
      <c r="L24" s="299">
        <v>0</v>
      </c>
      <c r="M24" s="299">
        <v>0</v>
      </c>
      <c r="N24" s="299">
        <v>0</v>
      </c>
      <c r="O24" s="299">
        <v>0</v>
      </c>
      <c r="P24" s="299">
        <v>0</v>
      </c>
      <c r="Q24" s="299">
        <v>0</v>
      </c>
      <c r="R24" s="299">
        <v>0</v>
      </c>
      <c r="S24" s="299">
        <v>0</v>
      </c>
      <c r="T24" s="299">
        <v>0</v>
      </c>
      <c r="U24" s="299">
        <v>0</v>
      </c>
      <c r="V24" s="299">
        <v>0</v>
      </c>
      <c r="W24" s="299">
        <v>0</v>
      </c>
      <c r="X24" s="299">
        <v>0</v>
      </c>
      <c r="Y24" s="299">
        <v>0</v>
      </c>
      <c r="Z24" s="299">
        <v>0</v>
      </c>
      <c r="AA24" s="299">
        <v>0</v>
      </c>
      <c r="AB24" s="299">
        <v>0</v>
      </c>
      <c r="AC24" s="299">
        <v>0</v>
      </c>
      <c r="AD24" s="299">
        <v>0</v>
      </c>
      <c r="AE24" s="299">
        <v>0</v>
      </c>
      <c r="AF24" s="299">
        <v>0</v>
      </c>
      <c r="AG24" s="299">
        <v>0</v>
      </c>
      <c r="AH24" s="299">
        <v>0</v>
      </c>
      <c r="AI24" s="299">
        <v>0</v>
      </c>
      <c r="AJ24" s="299">
        <v>0</v>
      </c>
      <c r="AK24" s="299">
        <v>0</v>
      </c>
      <c r="AL24" s="299">
        <v>-96642</v>
      </c>
      <c r="AM24" s="299">
        <v>-165166</v>
      </c>
      <c r="AN24" s="70">
        <v>-161869</v>
      </c>
      <c r="AO24" s="70">
        <f t="shared" ref="AO24:AO33" si="52">BJ24-SUM(AL24:AN24)</f>
        <v>-256846</v>
      </c>
      <c r="AP24" s="70">
        <f>-195250+28516</f>
        <v>-166734</v>
      </c>
      <c r="AQ24" s="41">
        <f>940850-299141-813562</f>
        <v>-171853</v>
      </c>
      <c r="AR24" s="41">
        <f>1023453-124823-986300</f>
        <v>-87670</v>
      </c>
      <c r="AS24" s="70">
        <f t="shared" ref="AS24:AS33" si="53">BK24-SUM(AP24:AR24)</f>
        <v>-239110</v>
      </c>
      <c r="AT24" s="70">
        <f>376169-196459-253859</f>
        <v>-74149</v>
      </c>
      <c r="AU24" s="70">
        <f>624640-214496-765530</f>
        <v>-355386</v>
      </c>
      <c r="AV24" s="70">
        <f>603464-230838-524851</f>
        <v>-152225</v>
      </c>
      <c r="AW24" s="70">
        <f t="shared" ref="AW24:AW33" si="54">BL24-SUM(AT24:AV24)</f>
        <v>-203814</v>
      </c>
      <c r="AX24" s="70">
        <f>168451-513888-231597</f>
        <v>-577034</v>
      </c>
      <c r="AY24" s="94">
        <f>315747-554168-181073</f>
        <v>-419494</v>
      </c>
      <c r="AZ24" s="17"/>
      <c r="BA24" s="299"/>
      <c r="BB24" s="299"/>
      <c r="BC24" s="299"/>
      <c r="BD24" s="299"/>
      <c r="BE24" s="299"/>
      <c r="BF24" s="299"/>
      <c r="BG24" s="299"/>
      <c r="BH24" s="299"/>
      <c r="BI24" s="299"/>
      <c r="BJ24" s="41">
        <v>-680523</v>
      </c>
      <c r="BK24" s="41">
        <f>2200045-777051-2088361</f>
        <v>-665367</v>
      </c>
      <c r="BL24" s="70">
        <f>1754261-928960-1610875</f>
        <v>-785574</v>
      </c>
    </row>
    <row r="25" spans="1:64" ht="15.6">
      <c r="A25" s="138" t="s">
        <v>64</v>
      </c>
      <c r="B25" s="299">
        <v>-5012</v>
      </c>
      <c r="C25" s="299">
        <v>1292</v>
      </c>
      <c r="D25" s="299">
        <v>-1305</v>
      </c>
      <c r="E25" s="299">
        <v>-2241</v>
      </c>
      <c r="F25" s="299">
        <v>-76</v>
      </c>
      <c r="G25" s="299">
        <v>-170</v>
      </c>
      <c r="H25" s="299">
        <v>-1063.8981433742074</v>
      </c>
      <c r="I25" s="299">
        <v>-140.10185662579261</v>
      </c>
      <c r="J25" s="299">
        <v>-178</v>
      </c>
      <c r="K25" s="299">
        <v>-206</v>
      </c>
      <c r="L25" s="299">
        <v>-210</v>
      </c>
      <c r="M25" s="299">
        <v>-203</v>
      </c>
      <c r="N25" s="299">
        <v>-202.72505999999998</v>
      </c>
      <c r="O25" s="299">
        <v>-146</v>
      </c>
      <c r="P25" s="299">
        <v>-241</v>
      </c>
      <c r="Q25" s="299">
        <v>-126</v>
      </c>
      <c r="R25" s="299">
        <v>-203</v>
      </c>
      <c r="S25" s="299">
        <v>-148</v>
      </c>
      <c r="T25" s="299">
        <v>-980</v>
      </c>
      <c r="U25" s="299">
        <v>-1229</v>
      </c>
      <c r="V25" s="299">
        <v>637.33773999999994</v>
      </c>
      <c r="W25" s="299">
        <v>-67</v>
      </c>
      <c r="X25" s="299">
        <v>-199.18946000000005</v>
      </c>
      <c r="Y25" s="299">
        <v>-966.14827999999989</v>
      </c>
      <c r="Z25" s="299">
        <v>-151.32024000000001</v>
      </c>
      <c r="AA25" s="299">
        <v>-68</v>
      </c>
      <c r="AB25" s="299">
        <v>-103.75079000000005</v>
      </c>
      <c r="AC25" s="299">
        <v>-148.43299999999994</v>
      </c>
      <c r="AD25" s="299">
        <v>-6900</v>
      </c>
      <c r="AE25" s="299">
        <v>-937</v>
      </c>
      <c r="AF25" s="299">
        <v>-914</v>
      </c>
      <c r="AG25" s="299">
        <f>-10262-SUM(AD25:AF25)</f>
        <v>-1511</v>
      </c>
      <c r="AH25" s="299">
        <v>-6955</v>
      </c>
      <c r="AI25" s="299">
        <v>-7168</v>
      </c>
      <c r="AJ25" s="299">
        <f>-298</f>
        <v>-298</v>
      </c>
      <c r="AK25" s="299">
        <f t="shared" ref="AK25:AK30" si="55">BI25-SUM(AH25:AJ25)</f>
        <v>-438</v>
      </c>
      <c r="AL25" s="299">
        <v>0</v>
      </c>
      <c r="AM25" s="299">
        <v>-1108</v>
      </c>
      <c r="AN25" s="299">
        <v>-1279</v>
      </c>
      <c r="AO25" s="70">
        <f t="shared" si="52"/>
        <v>-21975</v>
      </c>
      <c r="AP25" s="70">
        <v>-450</v>
      </c>
      <c r="AQ25" s="70">
        <f>-4538</f>
        <v>-4538</v>
      </c>
      <c r="AR25" s="70">
        <v>-795</v>
      </c>
      <c r="AS25" s="70">
        <f t="shared" si="53"/>
        <v>-41085</v>
      </c>
      <c r="AT25" s="70">
        <v>0</v>
      </c>
      <c r="AU25" s="70">
        <v>-11014</v>
      </c>
      <c r="AV25" s="70">
        <v>0</v>
      </c>
      <c r="AW25" s="70">
        <f t="shared" si="54"/>
        <v>0</v>
      </c>
      <c r="AX25" s="70">
        <v>0</v>
      </c>
      <c r="AY25" s="94">
        <v>-19530</v>
      </c>
      <c r="AZ25" s="17"/>
      <c r="BA25" s="299">
        <f t="shared" ref="BA25:BA34" si="56">SUM(B25:E25)</f>
        <v>-7266</v>
      </c>
      <c r="BB25" s="299">
        <f t="shared" ref="BB25:BB34" si="57">SUM(F25:I25)</f>
        <v>-1450</v>
      </c>
      <c r="BC25" s="299">
        <f t="shared" ref="BC25:BC34" si="58">SUM(J25:M25)</f>
        <v>-797</v>
      </c>
      <c r="BD25" s="299">
        <f t="shared" ref="BD25:BD34" si="59">SUM(N25:Q25)</f>
        <v>-715.72505999999998</v>
      </c>
      <c r="BE25" s="299">
        <f t="shared" ref="BE25:BE34" si="60">SUM(R25:U25)</f>
        <v>-2560</v>
      </c>
      <c r="BF25" s="299">
        <f t="shared" ref="BF25:BF37" si="61">SUM(V25:Y25)</f>
        <v>-595</v>
      </c>
      <c r="BG25" s="299">
        <f t="shared" ref="BG25:BG36" si="62">SUM(Z25:AC25)</f>
        <v>-471.50403</v>
      </c>
      <c r="BH25" s="299">
        <f t="shared" ref="BH25:BH33" si="63">SUM(AD25:AG25)</f>
        <v>-10262</v>
      </c>
      <c r="BI25" s="299">
        <v>-14859</v>
      </c>
      <c r="BJ25" s="41">
        <v>-24362</v>
      </c>
      <c r="BK25" s="41">
        <v>-46868</v>
      </c>
      <c r="BL25" s="70">
        <v>-11014</v>
      </c>
    </row>
    <row r="26" spans="1:64" ht="15.6">
      <c r="A26" s="138" t="s">
        <v>65</v>
      </c>
      <c r="B26" s="299">
        <v>-10773</v>
      </c>
      <c r="C26" s="299">
        <v>-9771</v>
      </c>
      <c r="D26" s="299">
        <v>-5649</v>
      </c>
      <c r="E26" s="299">
        <v>-23213</v>
      </c>
      <c r="F26" s="299">
        <v>-6698</v>
      </c>
      <c r="G26" s="299">
        <v>-5910</v>
      </c>
      <c r="H26" s="299">
        <v>-4513.3151914404698</v>
      </c>
      <c r="I26" s="299">
        <v>-10750.68480855953</v>
      </c>
      <c r="J26" s="299">
        <v>-5903</v>
      </c>
      <c r="K26" s="299">
        <v>-4242</v>
      </c>
      <c r="L26" s="299">
        <v>-5179</v>
      </c>
      <c r="M26" s="299">
        <v>-12438</v>
      </c>
      <c r="N26" s="299">
        <v>-5330.3492865168027</v>
      </c>
      <c r="O26" s="299">
        <v>-13021</v>
      </c>
      <c r="P26" s="299">
        <v>-5810</v>
      </c>
      <c r="Q26" s="299">
        <v>-13740</v>
      </c>
      <c r="R26" s="299">
        <v>-13042</v>
      </c>
      <c r="S26" s="299">
        <v>-9176</v>
      </c>
      <c r="T26" s="299">
        <v>-8635</v>
      </c>
      <c r="U26" s="299">
        <v>-23625</v>
      </c>
      <c r="V26" s="299">
        <v>-10572.9809704609</v>
      </c>
      <c r="W26" s="299">
        <v>-10863</v>
      </c>
      <c r="X26" s="299">
        <v>-15998.831679238683</v>
      </c>
      <c r="Y26" s="299">
        <v>-10810.187350300417</v>
      </c>
      <c r="Z26" s="299">
        <v>-10554.334318223029</v>
      </c>
      <c r="AA26" s="299">
        <v>-4625.5021045837329</v>
      </c>
      <c r="AB26" s="299">
        <v>-11852.450494429901</v>
      </c>
      <c r="AC26" s="299">
        <v>-10820.511651106008</v>
      </c>
      <c r="AD26" s="299">
        <v>-23634</v>
      </c>
      <c r="AE26" s="299">
        <v>-28057</v>
      </c>
      <c r="AF26" s="299">
        <v>-27050</v>
      </c>
      <c r="AG26" s="299">
        <f>-114845-SUM(AD26:AF26)</f>
        <v>-36104</v>
      </c>
      <c r="AH26" s="299">
        <v>-18842</v>
      </c>
      <c r="AI26" s="299">
        <v>-36471</v>
      </c>
      <c r="AJ26" s="299">
        <f>-25677</f>
        <v>-25677</v>
      </c>
      <c r="AK26" s="299">
        <f t="shared" si="55"/>
        <v>-39533</v>
      </c>
      <c r="AL26" s="299">
        <v>-29798</v>
      </c>
      <c r="AM26" s="299">
        <v>-43125</v>
      </c>
      <c r="AN26" s="299">
        <v>-51311</v>
      </c>
      <c r="AO26" s="70">
        <f t="shared" si="52"/>
        <v>-110463</v>
      </c>
      <c r="AP26" s="70">
        <v>-42479</v>
      </c>
      <c r="AQ26" s="70">
        <f>-64166</f>
        <v>-64166</v>
      </c>
      <c r="AR26" s="70">
        <v>-57080</v>
      </c>
      <c r="AS26" s="70">
        <f t="shared" si="53"/>
        <v>-60810</v>
      </c>
      <c r="AT26" s="70">
        <v>-125377</v>
      </c>
      <c r="AU26" s="70">
        <v>-86718</v>
      </c>
      <c r="AV26" s="70">
        <v>-98528</v>
      </c>
      <c r="AW26" s="70">
        <f t="shared" si="54"/>
        <v>-90238</v>
      </c>
      <c r="AX26" s="70">
        <v>-91444</v>
      </c>
      <c r="AY26" s="94">
        <v>-78511</v>
      </c>
      <c r="AZ26" s="17"/>
      <c r="BA26" s="299">
        <f t="shared" si="56"/>
        <v>-49406</v>
      </c>
      <c r="BB26" s="299">
        <f t="shared" si="57"/>
        <v>-27872</v>
      </c>
      <c r="BC26" s="299">
        <f t="shared" si="58"/>
        <v>-27762</v>
      </c>
      <c r="BD26" s="299">
        <f t="shared" si="59"/>
        <v>-37901.349286516801</v>
      </c>
      <c r="BE26" s="299">
        <f t="shared" si="60"/>
        <v>-54478</v>
      </c>
      <c r="BF26" s="299">
        <f t="shared" si="61"/>
        <v>-48245</v>
      </c>
      <c r="BG26" s="299">
        <f t="shared" si="62"/>
        <v>-37852.798568342667</v>
      </c>
      <c r="BH26" s="299">
        <f t="shared" si="63"/>
        <v>-114845</v>
      </c>
      <c r="BI26" s="299">
        <v>-120523</v>
      </c>
      <c r="BJ26" s="41">
        <v>-234697</v>
      </c>
      <c r="BK26" s="41">
        <v>-224535</v>
      </c>
      <c r="BL26" s="70">
        <v>-400861</v>
      </c>
    </row>
    <row r="27" spans="1:64" ht="15.6">
      <c r="A27" s="138" t="s">
        <v>66</v>
      </c>
      <c r="B27" s="299">
        <v>-13659</v>
      </c>
      <c r="C27" s="299">
        <v>-3299</v>
      </c>
      <c r="D27" s="299">
        <v>-8229</v>
      </c>
      <c r="E27" s="299">
        <v>-19329</v>
      </c>
      <c r="F27" s="299">
        <v>-6445</v>
      </c>
      <c r="G27" s="299">
        <v>-2540</v>
      </c>
      <c r="H27" s="299">
        <v>-1682.8606923928401</v>
      </c>
      <c r="I27" s="299">
        <v>-1497.1393076071599</v>
      </c>
      <c r="J27" s="299">
        <v>-2262</v>
      </c>
      <c r="K27" s="299">
        <v>-2969</v>
      </c>
      <c r="L27" s="299">
        <v>-3600</v>
      </c>
      <c r="M27" s="299">
        <v>-2576</v>
      </c>
      <c r="N27" s="299">
        <v>-2703.5657219184691</v>
      </c>
      <c r="O27" s="299">
        <v>-3978</v>
      </c>
      <c r="P27" s="299">
        <v>-3254</v>
      </c>
      <c r="Q27" s="299">
        <v>-3250.0000000000005</v>
      </c>
      <c r="R27" s="299">
        <v>-3784</v>
      </c>
      <c r="S27" s="299">
        <v>-5823</v>
      </c>
      <c r="T27" s="299">
        <v>-5696</v>
      </c>
      <c r="U27" s="299">
        <v>-4002</v>
      </c>
      <c r="V27" s="299">
        <v>-2949.8020086040628</v>
      </c>
      <c r="W27" s="299">
        <v>-11175</v>
      </c>
      <c r="X27" s="299">
        <v>-188</v>
      </c>
      <c r="Y27" s="299">
        <v>-10834.197991395937</v>
      </c>
      <c r="Z27" s="299">
        <v>-9495.0604395003629</v>
      </c>
      <c r="AA27" s="299">
        <v>-9320.2256738829128</v>
      </c>
      <c r="AB27" s="299">
        <v>-9949.1187280645827</v>
      </c>
      <c r="AC27" s="299">
        <v>-14722.152591794093</v>
      </c>
      <c r="AD27" s="299">
        <v>-3364</v>
      </c>
      <c r="AE27" s="299">
        <v>-7360</v>
      </c>
      <c r="AF27" s="299">
        <v>-6671</v>
      </c>
      <c r="AG27" s="299">
        <f>-25152-SUM(AD27:AF27)</f>
        <v>-7757</v>
      </c>
      <c r="AH27" s="299">
        <v>-22589</v>
      </c>
      <c r="AI27" s="299">
        <v>-12671</v>
      </c>
      <c r="AJ27" s="299">
        <f>-11493</f>
        <v>-11493</v>
      </c>
      <c r="AK27" s="299">
        <f t="shared" si="55"/>
        <v>27</v>
      </c>
      <c r="AL27" s="299">
        <v>-20677</v>
      </c>
      <c r="AM27" s="299">
        <v>-14936</v>
      </c>
      <c r="AN27" s="299">
        <v>-23593</v>
      </c>
      <c r="AO27" s="70">
        <f t="shared" si="52"/>
        <v>-9779</v>
      </c>
      <c r="AP27" s="70">
        <v>-16786</v>
      </c>
      <c r="AQ27" s="70">
        <f>-37219</f>
        <v>-37219</v>
      </c>
      <c r="AR27" s="70">
        <v>-25971</v>
      </c>
      <c r="AS27" s="70">
        <f t="shared" si="53"/>
        <v>23533</v>
      </c>
      <c r="AT27" s="70">
        <v>-30443</v>
      </c>
      <c r="AU27" s="70">
        <v>-16918</v>
      </c>
      <c r="AV27" s="70">
        <v>-21581</v>
      </c>
      <c r="AW27" s="70">
        <f t="shared" si="54"/>
        <v>-36595</v>
      </c>
      <c r="AX27" s="70">
        <v>-27741</v>
      </c>
      <c r="AY27" s="94">
        <v>-21928</v>
      </c>
      <c r="AZ27" s="17"/>
      <c r="BA27" s="299">
        <f t="shared" si="56"/>
        <v>-44516</v>
      </c>
      <c r="BB27" s="299">
        <f t="shared" si="57"/>
        <v>-12165</v>
      </c>
      <c r="BC27" s="299">
        <f t="shared" si="58"/>
        <v>-11407</v>
      </c>
      <c r="BD27" s="299">
        <f t="shared" si="59"/>
        <v>-13185.565721918469</v>
      </c>
      <c r="BE27" s="299">
        <f t="shared" si="60"/>
        <v>-19305</v>
      </c>
      <c r="BF27" s="299">
        <f t="shared" si="61"/>
        <v>-25147</v>
      </c>
      <c r="BG27" s="299">
        <f t="shared" si="62"/>
        <v>-43486.557433241949</v>
      </c>
      <c r="BH27" s="299">
        <f t="shared" si="63"/>
        <v>-25152</v>
      </c>
      <c r="BI27" s="299">
        <v>-46726</v>
      </c>
      <c r="BJ27" s="41">
        <v>-68985</v>
      </c>
      <c r="BK27" s="41">
        <v>-56443</v>
      </c>
      <c r="BL27" s="70">
        <v>-105537</v>
      </c>
    </row>
    <row r="28" spans="1:64" ht="15.6">
      <c r="A28" s="138" t="s">
        <v>67</v>
      </c>
      <c r="B28" s="299">
        <v>-2793</v>
      </c>
      <c r="C28" s="299">
        <v>-27707</v>
      </c>
      <c r="D28" s="299">
        <v>-15756</v>
      </c>
      <c r="E28" s="299">
        <v>-11930</v>
      </c>
      <c r="F28" s="299">
        <v>-5812</v>
      </c>
      <c r="G28" s="299">
        <v>-9555</v>
      </c>
      <c r="H28" s="299">
        <v>-6999.5016226960506</v>
      </c>
      <c r="I28" s="299">
        <v>-11679.498377303949</v>
      </c>
      <c r="J28" s="299">
        <v>-6550</v>
      </c>
      <c r="K28" s="299">
        <v>-7307</v>
      </c>
      <c r="L28" s="299">
        <v>-4949</v>
      </c>
      <c r="M28" s="299">
        <v>-14501</v>
      </c>
      <c r="N28" s="299">
        <v>-10198.285145040903</v>
      </c>
      <c r="O28" s="299">
        <v>-10030</v>
      </c>
      <c r="P28" s="299">
        <v>-4242</v>
      </c>
      <c r="Q28" s="299">
        <v>-15922.999999999967</v>
      </c>
      <c r="R28" s="299">
        <v>-10720</v>
      </c>
      <c r="S28" s="299">
        <v>-9095</v>
      </c>
      <c r="T28" s="299">
        <v>-4761</v>
      </c>
      <c r="U28" s="299">
        <v>-9175</v>
      </c>
      <c r="V28" s="299">
        <v>-6790.6546626295376</v>
      </c>
      <c r="W28" s="299">
        <v>-6871</v>
      </c>
      <c r="X28" s="299">
        <v>-12711</v>
      </c>
      <c r="Y28" s="299">
        <v>-8146.3453373704615</v>
      </c>
      <c r="Z28" s="299">
        <v>-16461.293817592978</v>
      </c>
      <c r="AA28" s="299">
        <v>-11796.669628267275</v>
      </c>
      <c r="AB28" s="299">
        <v>-5632</v>
      </c>
      <c r="AC28" s="299">
        <v>-12351.306268458829</v>
      </c>
      <c r="AD28" s="299">
        <v>-12131</v>
      </c>
      <c r="AE28" s="299">
        <v>-11779</v>
      </c>
      <c r="AF28" s="299">
        <v>-6965</v>
      </c>
      <c r="AG28" s="299">
        <f>-47713-SUM(AD28:AF28)</f>
        <v>-16838</v>
      </c>
      <c r="AH28" s="299">
        <v>-15685</v>
      </c>
      <c r="AI28" s="299">
        <v>-2021</v>
      </c>
      <c r="AJ28" s="299">
        <f>-20206</f>
        <v>-20206</v>
      </c>
      <c r="AK28" s="299">
        <f t="shared" si="55"/>
        <v>-23252</v>
      </c>
      <c r="AL28" s="299">
        <v>-7083</v>
      </c>
      <c r="AM28" s="299">
        <v>-17802</v>
      </c>
      <c r="AN28" s="299">
        <v>-30062</v>
      </c>
      <c r="AO28" s="70">
        <f t="shared" si="52"/>
        <v>-18068</v>
      </c>
      <c r="AP28" s="70">
        <v>-19279</v>
      </c>
      <c r="AQ28" s="70">
        <f>-46716</f>
        <v>-46716</v>
      </c>
      <c r="AR28" s="70">
        <f>-36055</f>
        <v>-36055</v>
      </c>
      <c r="AS28" s="70">
        <f t="shared" si="53"/>
        <v>-35181</v>
      </c>
      <c r="AT28" s="70">
        <v>-41834</v>
      </c>
      <c r="AU28" s="70">
        <v>-31901</v>
      </c>
      <c r="AV28" s="70">
        <v>-29979</v>
      </c>
      <c r="AW28" s="70">
        <f t="shared" si="54"/>
        <v>-28905</v>
      </c>
      <c r="AX28" s="70">
        <v>-28192</v>
      </c>
      <c r="AY28" s="94">
        <v>-34311</v>
      </c>
      <c r="AZ28" s="17"/>
      <c r="BA28" s="299">
        <f t="shared" si="56"/>
        <v>-58186</v>
      </c>
      <c r="BB28" s="299">
        <f t="shared" si="57"/>
        <v>-34046</v>
      </c>
      <c r="BC28" s="299">
        <f t="shared" si="58"/>
        <v>-33307</v>
      </c>
      <c r="BD28" s="299">
        <f t="shared" si="59"/>
        <v>-40393.285145040871</v>
      </c>
      <c r="BE28" s="299">
        <f t="shared" si="60"/>
        <v>-33751</v>
      </c>
      <c r="BF28" s="299">
        <f t="shared" si="61"/>
        <v>-34519</v>
      </c>
      <c r="BG28" s="299">
        <f t="shared" si="62"/>
        <v>-46241.269714319082</v>
      </c>
      <c r="BH28" s="299">
        <f t="shared" si="63"/>
        <v>-47713</v>
      </c>
      <c r="BI28" s="299">
        <v>-61164</v>
      </c>
      <c r="BJ28" s="41">
        <v>-73015</v>
      </c>
      <c r="BK28" s="41">
        <v>-137231</v>
      </c>
      <c r="BL28" s="70">
        <v>-132619</v>
      </c>
    </row>
    <row r="29" spans="1:64" ht="15.6">
      <c r="A29" s="138" t="s">
        <v>68</v>
      </c>
      <c r="B29" s="299">
        <v>-638</v>
      </c>
      <c r="C29" s="299">
        <v>-2342</v>
      </c>
      <c r="D29" s="299">
        <v>-358</v>
      </c>
      <c r="E29" s="299">
        <v>-984</v>
      </c>
      <c r="F29" s="299">
        <v>-601</v>
      </c>
      <c r="G29" s="299">
        <v>-825</v>
      </c>
      <c r="H29" s="299">
        <v>-915.77284881499997</v>
      </c>
      <c r="I29" s="299">
        <v>-3284.2271511849999</v>
      </c>
      <c r="J29" s="299">
        <v>-352</v>
      </c>
      <c r="K29" s="299">
        <v>-293</v>
      </c>
      <c r="L29" s="299">
        <v>-500</v>
      </c>
      <c r="M29" s="299">
        <v>-243</v>
      </c>
      <c r="N29" s="299">
        <v>-424.12118687222284</v>
      </c>
      <c r="O29" s="299">
        <v>-110</v>
      </c>
      <c r="P29" s="299">
        <v>-1543</v>
      </c>
      <c r="Q29" s="299">
        <v>-1566.9999999999998</v>
      </c>
      <c r="R29" s="299">
        <v>-804</v>
      </c>
      <c r="S29" s="299">
        <v>-1496</v>
      </c>
      <c r="T29" s="299">
        <v>-2929</v>
      </c>
      <c r="U29" s="299">
        <v>-318</v>
      </c>
      <c r="V29" s="299">
        <v>-699.09324516200013</v>
      </c>
      <c r="W29" s="299">
        <v>-3151</v>
      </c>
      <c r="X29" s="299">
        <v>509</v>
      </c>
      <c r="Y29" s="299">
        <v>-7788.9067548379999</v>
      </c>
      <c r="Z29" s="299">
        <v>-2296.4067473329997</v>
      </c>
      <c r="AA29" s="299">
        <v>-1502.5465086040003</v>
      </c>
      <c r="AB29" s="299">
        <v>-7753</v>
      </c>
      <c r="AC29" s="299">
        <v>-4825.8695236170006</v>
      </c>
      <c r="AD29" s="299">
        <v>-5759</v>
      </c>
      <c r="AE29" s="299">
        <v>2578</v>
      </c>
      <c r="AF29" s="299">
        <v>-270</v>
      </c>
      <c r="AG29" s="299">
        <f>-6695-SUM(AD29:AF29)</f>
        <v>-3244</v>
      </c>
      <c r="AH29" s="299">
        <v>-3463</v>
      </c>
      <c r="AI29" s="299">
        <v>-5742</v>
      </c>
      <c r="AJ29" s="299">
        <f>-2310</f>
        <v>-2310</v>
      </c>
      <c r="AK29" s="299">
        <f t="shared" si="55"/>
        <v>-215</v>
      </c>
      <c r="AL29" s="299">
        <v>-4738</v>
      </c>
      <c r="AM29" s="299">
        <v>-6839</v>
      </c>
      <c r="AN29" s="299">
        <v>-10089</v>
      </c>
      <c r="AO29" s="70">
        <f t="shared" si="52"/>
        <v>-7478</v>
      </c>
      <c r="AP29" s="70">
        <v>-14323</v>
      </c>
      <c r="AQ29" s="70">
        <f>-10595</f>
        <v>-10595</v>
      </c>
      <c r="AR29" s="70">
        <v>-2781</v>
      </c>
      <c r="AS29" s="70">
        <f t="shared" si="53"/>
        <v>-3975</v>
      </c>
      <c r="AT29" s="70">
        <v>-1801</v>
      </c>
      <c r="AU29" s="70">
        <v>14408</v>
      </c>
      <c r="AV29" s="70">
        <v>-5528</v>
      </c>
      <c r="AW29" s="70">
        <f t="shared" si="54"/>
        <v>-19710</v>
      </c>
      <c r="AX29" s="70">
        <v>-12400</v>
      </c>
      <c r="AY29" s="94">
        <v>-13820</v>
      </c>
      <c r="AZ29" s="17"/>
      <c r="BA29" s="299">
        <f t="shared" si="56"/>
        <v>-4322</v>
      </c>
      <c r="BB29" s="299">
        <f t="shared" si="57"/>
        <v>-5626</v>
      </c>
      <c r="BC29" s="299">
        <f t="shared" si="58"/>
        <v>-1388</v>
      </c>
      <c r="BD29" s="299">
        <f t="shared" si="59"/>
        <v>-3644.121186872223</v>
      </c>
      <c r="BE29" s="299">
        <f t="shared" si="60"/>
        <v>-5547</v>
      </c>
      <c r="BF29" s="299">
        <f t="shared" si="61"/>
        <v>-11130</v>
      </c>
      <c r="BG29" s="299">
        <f t="shared" si="62"/>
        <v>-16377.822779554001</v>
      </c>
      <c r="BH29" s="299">
        <f t="shared" si="63"/>
        <v>-6695</v>
      </c>
      <c r="BI29" s="299">
        <v>-11730</v>
      </c>
      <c r="BJ29" s="41">
        <v>-29144</v>
      </c>
      <c r="BK29" s="41">
        <v>-31674</v>
      </c>
      <c r="BL29" s="70">
        <v>-12631</v>
      </c>
    </row>
    <row r="30" spans="1:64" ht="15.6">
      <c r="A30" s="194" t="s">
        <v>59</v>
      </c>
      <c r="B30" s="299">
        <v>-2722</v>
      </c>
      <c r="C30" s="299">
        <v>-2754</v>
      </c>
      <c r="D30" s="299">
        <v>-2132</v>
      </c>
      <c r="E30" s="299">
        <v>-2482</v>
      </c>
      <c r="F30" s="299">
        <v>-814</v>
      </c>
      <c r="G30" s="299">
        <v>-857</v>
      </c>
      <c r="H30" s="299">
        <v>-811</v>
      </c>
      <c r="I30" s="299">
        <v>-713</v>
      </c>
      <c r="J30" s="299">
        <v>-327</v>
      </c>
      <c r="K30" s="299">
        <v>-34</v>
      </c>
      <c r="L30" s="299">
        <v>37</v>
      </c>
      <c r="M30" s="299">
        <v>-44</v>
      </c>
      <c r="N30" s="299">
        <v>-72</v>
      </c>
      <c r="O30" s="299">
        <v>-55</v>
      </c>
      <c r="P30" s="299">
        <v>-70</v>
      </c>
      <c r="Q30" s="299">
        <v>-2079.0000000000005</v>
      </c>
      <c r="R30" s="299">
        <v>-558</v>
      </c>
      <c r="S30" s="299">
        <v>-598</v>
      </c>
      <c r="T30" s="299">
        <v>-665</v>
      </c>
      <c r="U30" s="299">
        <v>-509</v>
      </c>
      <c r="V30" s="299">
        <v>-1394.42337</v>
      </c>
      <c r="W30" s="299">
        <v>-2066</v>
      </c>
      <c r="X30" s="299">
        <v>-2383</v>
      </c>
      <c r="Y30" s="299">
        <v>-120236.57663</v>
      </c>
      <c r="Z30" s="299">
        <v>-41570.557752875196</v>
      </c>
      <c r="AA30" s="299">
        <v>-46956</v>
      </c>
      <c r="AB30" s="299">
        <v>-54578</v>
      </c>
      <c r="AC30" s="299">
        <v>-50411.13537574996</v>
      </c>
      <c r="AD30" s="299">
        <v>-29992</v>
      </c>
      <c r="AE30" s="299">
        <v>-25112</v>
      </c>
      <c r="AF30" s="299">
        <f>'[17]DRE EBITDA Ex IFRS'!$AN$68</f>
        <v>-28438.443327483983</v>
      </c>
      <c r="AG30" s="299">
        <f>+'[17]DRE EBITDA Ex IFRS'!$AQ$68</f>
        <v>-27430.609346608981</v>
      </c>
      <c r="AH30" s="299">
        <v>-22650</v>
      </c>
      <c r="AI30" s="299">
        <v>-20741</v>
      </c>
      <c r="AJ30" s="299">
        <f>-39137</f>
        <v>-39137</v>
      </c>
      <c r="AK30" s="299">
        <f t="shared" si="55"/>
        <v>-29999</v>
      </c>
      <c r="AL30" s="299">
        <v>-21338</v>
      </c>
      <c r="AM30" s="299">
        <v>-20691</v>
      </c>
      <c r="AN30" s="299">
        <v>-16085</v>
      </c>
      <c r="AO30" s="70">
        <f t="shared" si="52"/>
        <v>-79076</v>
      </c>
      <c r="AP30" s="70">
        <v>-25497</v>
      </c>
      <c r="AQ30" s="70">
        <f>-30383</f>
        <v>-30383</v>
      </c>
      <c r="AR30" s="70">
        <v>-25247</v>
      </c>
      <c r="AS30" s="70">
        <f t="shared" si="53"/>
        <v>-25295</v>
      </c>
      <c r="AT30" s="70">
        <v>-51755</v>
      </c>
      <c r="AU30" s="70">
        <v>-33327</v>
      </c>
      <c r="AV30" s="70">
        <v>-30289</v>
      </c>
      <c r="AW30" s="70">
        <f t="shared" si="54"/>
        <v>-35684</v>
      </c>
      <c r="AX30" s="70">
        <v>-29249</v>
      </c>
      <c r="AY30" s="94">
        <v>-23923</v>
      </c>
      <c r="AZ30" s="17"/>
      <c r="BA30" s="299">
        <f t="shared" si="56"/>
        <v>-10090</v>
      </c>
      <c r="BB30" s="299">
        <f t="shared" si="57"/>
        <v>-3195</v>
      </c>
      <c r="BC30" s="299">
        <f t="shared" si="58"/>
        <v>-368</v>
      </c>
      <c r="BD30" s="299">
        <f t="shared" si="59"/>
        <v>-2276.0000000000005</v>
      </c>
      <c r="BE30" s="299">
        <f t="shared" si="60"/>
        <v>-2330</v>
      </c>
      <c r="BF30" s="299">
        <f t="shared" si="61"/>
        <v>-126080</v>
      </c>
      <c r="BG30" s="299">
        <f t="shared" si="62"/>
        <v>-193515.69312862516</v>
      </c>
      <c r="BH30" s="299">
        <f t="shared" si="63"/>
        <v>-110973.05267409296</v>
      </c>
      <c r="BI30" s="299">
        <v>-112527</v>
      </c>
      <c r="BJ30" s="41">
        <v>-137190</v>
      </c>
      <c r="BK30" s="41">
        <v>-106422</v>
      </c>
      <c r="BL30" s="70">
        <v>-151055</v>
      </c>
    </row>
    <row r="31" spans="1:64" ht="15.6">
      <c r="A31" s="194" t="s">
        <v>69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-3470</v>
      </c>
      <c r="T31" s="41">
        <v>-1380</v>
      </c>
      <c r="U31" s="41">
        <v>0</v>
      </c>
      <c r="V31" s="41">
        <v>0</v>
      </c>
      <c r="W31" s="41">
        <v>0</v>
      </c>
      <c r="X31" s="41">
        <v>0</v>
      </c>
      <c r="Y31" s="41">
        <v>568370</v>
      </c>
      <c r="Z31" s="41">
        <v>30</v>
      </c>
      <c r="AA31" s="41">
        <v>0</v>
      </c>
      <c r="AB31" s="41">
        <v>660</v>
      </c>
      <c r="AC31" s="41">
        <v>-55861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f t="shared" si="52"/>
        <v>0</v>
      </c>
      <c r="AP31" s="70">
        <f>BK31-SUM(AM31:AO31)</f>
        <v>0</v>
      </c>
      <c r="AQ31" s="70">
        <v>0</v>
      </c>
      <c r="AR31" s="70">
        <v>0</v>
      </c>
      <c r="AS31" s="70">
        <f t="shared" si="53"/>
        <v>0</v>
      </c>
      <c r="AT31" s="70">
        <v>0</v>
      </c>
      <c r="AU31" s="70">
        <v>0</v>
      </c>
      <c r="AV31" s="70">
        <v>0</v>
      </c>
      <c r="AW31" s="70">
        <f t="shared" si="54"/>
        <v>0</v>
      </c>
      <c r="AX31" s="70">
        <v>0</v>
      </c>
      <c r="AY31" s="70">
        <v>0</v>
      </c>
      <c r="AZ31" s="17"/>
      <c r="BA31" s="70">
        <f t="shared" si="56"/>
        <v>0</v>
      </c>
      <c r="BB31" s="70">
        <f t="shared" si="57"/>
        <v>0</v>
      </c>
      <c r="BC31" s="70">
        <f t="shared" si="58"/>
        <v>0</v>
      </c>
      <c r="BD31" s="70">
        <f t="shared" si="59"/>
        <v>0</v>
      </c>
      <c r="BE31" s="70">
        <f t="shared" si="60"/>
        <v>-4850</v>
      </c>
      <c r="BF31" s="70">
        <f t="shared" si="61"/>
        <v>568370</v>
      </c>
      <c r="BG31" s="41">
        <f t="shared" si="62"/>
        <v>-55171</v>
      </c>
      <c r="BH31" s="41">
        <f t="shared" si="63"/>
        <v>0</v>
      </c>
      <c r="BI31" s="41">
        <v>0</v>
      </c>
      <c r="BJ31" s="41">
        <v>0</v>
      </c>
      <c r="BK31" s="41">
        <v>0</v>
      </c>
      <c r="BL31" s="70">
        <v>0</v>
      </c>
    </row>
    <row r="32" spans="1:64" ht="15.6">
      <c r="A32" s="194" t="s">
        <v>70</v>
      </c>
      <c r="B32" s="41">
        <v>0</v>
      </c>
      <c r="C32" s="41">
        <v>0</v>
      </c>
      <c r="D32" s="41">
        <v>3156</v>
      </c>
      <c r="E32" s="41">
        <v>-6759.7611900000002</v>
      </c>
      <c r="F32" s="41">
        <v>0</v>
      </c>
      <c r="G32" s="41">
        <v>18416</v>
      </c>
      <c r="H32" s="41">
        <v>-18415.700110000013</v>
      </c>
      <c r="I32" s="41">
        <v>192157</v>
      </c>
      <c r="J32" s="41">
        <v>0</v>
      </c>
      <c r="K32" s="41">
        <v>-6712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-89</v>
      </c>
      <c r="V32" s="41">
        <v>5</v>
      </c>
      <c r="W32" s="41">
        <v>5</v>
      </c>
      <c r="X32" s="41">
        <v>6.3230099999999982</v>
      </c>
      <c r="Y32" s="41">
        <v>-27652</v>
      </c>
      <c r="Z32" s="41">
        <v>-6346.9083499999997</v>
      </c>
      <c r="AA32" s="41">
        <v>6349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f t="shared" si="52"/>
        <v>0</v>
      </c>
      <c r="AP32" s="70">
        <f>BK32-SUM(AM32:AO32)</f>
        <v>0</v>
      </c>
      <c r="AQ32" s="70">
        <v>0</v>
      </c>
      <c r="AR32" s="70">
        <v>0</v>
      </c>
      <c r="AS32" s="70">
        <f t="shared" si="53"/>
        <v>0</v>
      </c>
      <c r="AT32" s="70">
        <v>0</v>
      </c>
      <c r="AU32" s="70">
        <v>0</v>
      </c>
      <c r="AV32" s="70">
        <v>0</v>
      </c>
      <c r="AW32" s="70">
        <f t="shared" si="54"/>
        <v>0</v>
      </c>
      <c r="AX32" s="70">
        <v>0</v>
      </c>
      <c r="AY32" s="70">
        <v>0</v>
      </c>
      <c r="AZ32" s="17"/>
      <c r="BA32" s="41">
        <f t="shared" si="56"/>
        <v>-3603.7611900000002</v>
      </c>
      <c r="BB32" s="41">
        <f t="shared" si="57"/>
        <v>192157.29988999999</v>
      </c>
      <c r="BC32" s="41">
        <f t="shared" si="58"/>
        <v>-6712</v>
      </c>
      <c r="BD32" s="41">
        <f t="shared" si="59"/>
        <v>0</v>
      </c>
      <c r="BE32" s="41">
        <f t="shared" si="60"/>
        <v>-89</v>
      </c>
      <c r="BF32" s="70">
        <f t="shared" si="61"/>
        <v>-27635.67699</v>
      </c>
      <c r="BG32" s="41">
        <f t="shared" si="62"/>
        <v>2.0916500000002998</v>
      </c>
      <c r="BH32" s="41">
        <f t="shared" si="63"/>
        <v>0</v>
      </c>
      <c r="BI32" s="41">
        <v>0</v>
      </c>
      <c r="BJ32" s="41">
        <v>0</v>
      </c>
      <c r="BK32" s="41">
        <v>0</v>
      </c>
      <c r="BL32" s="70">
        <v>0</v>
      </c>
    </row>
    <row r="33" spans="1:64" ht="15.6">
      <c r="A33" s="194" t="s">
        <v>71</v>
      </c>
      <c r="B33" s="41">
        <v>22654</v>
      </c>
      <c r="C33" s="41">
        <v>301</v>
      </c>
      <c r="D33" s="41">
        <v>1278</v>
      </c>
      <c r="E33" s="41">
        <v>-15821</v>
      </c>
      <c r="F33" s="41">
        <v>-18568</v>
      </c>
      <c r="G33" s="41">
        <v>14608</v>
      </c>
      <c r="H33" s="41">
        <v>31491</v>
      </c>
      <c r="I33" s="41">
        <v>-9732.8329999999987</v>
      </c>
      <c r="J33" s="41">
        <v>-2168</v>
      </c>
      <c r="K33" s="41">
        <v>16977</v>
      </c>
      <c r="L33" s="41">
        <v>-16333</v>
      </c>
      <c r="M33" s="41">
        <v>352945</v>
      </c>
      <c r="N33" s="41">
        <v>105.63762258064526</v>
      </c>
      <c r="O33" s="41">
        <v>42324</v>
      </c>
      <c r="P33" s="41">
        <v>-1848</v>
      </c>
      <c r="Q33" s="41">
        <v>885.52206480286031</v>
      </c>
      <c r="R33" s="41">
        <f>3533-SUM(R31:R32)</f>
        <v>3533</v>
      </c>
      <c r="S33" s="41">
        <f>-4120-SUM(S31:S32)</f>
        <v>-650</v>
      </c>
      <c r="T33" s="41">
        <f>-15903-SUM(T31:T32)</f>
        <v>-14523</v>
      </c>
      <c r="U33" s="41">
        <f>-3355-SUM(U31:U32)</f>
        <v>-3266</v>
      </c>
      <c r="V33" s="41">
        <v>303</v>
      </c>
      <c r="W33" s="41">
        <v>-32578</v>
      </c>
      <c r="X33" s="41">
        <f>-30241-6</f>
        <v>-30247</v>
      </c>
      <c r="Y33" s="41">
        <f>-58200.53802125-7</f>
        <v>-58207.538021250002</v>
      </c>
      <c r="Z33" s="41">
        <v>121419.76392089897</v>
      </c>
      <c r="AA33" s="41">
        <v>107472.94552633207</v>
      </c>
      <c r="AB33" s="41">
        <v>32547.706174009894</v>
      </c>
      <c r="AC33" s="41">
        <v>486082.96915832418</v>
      </c>
      <c r="AD33" s="41">
        <v>-20250</v>
      </c>
      <c r="AE33" s="41">
        <v>-62187</v>
      </c>
      <c r="AF33" s="41">
        <f>25957-10143</f>
        <v>15814</v>
      </c>
      <c r="AG33" s="41">
        <f>-8899</f>
        <v>-8899</v>
      </c>
      <c r="AH33" s="41">
        <v>-27005</v>
      </c>
      <c r="AI33" s="41">
        <v>-109192</v>
      </c>
      <c r="AJ33" s="41">
        <f>3238</f>
        <v>3238</v>
      </c>
      <c r="AK33" s="41">
        <f>BI33-SUM(AH33:AJ33)</f>
        <v>159529</v>
      </c>
      <c r="AL33" s="41">
        <v>-132950</v>
      </c>
      <c r="AM33" s="41">
        <v>-17278</v>
      </c>
      <c r="AN33" s="41">
        <v>-53149</v>
      </c>
      <c r="AO33" s="70">
        <f t="shared" si="52"/>
        <v>267728</v>
      </c>
      <c r="AP33" s="70">
        <v>30023</v>
      </c>
      <c r="AQ33" s="70">
        <f>309234</f>
        <v>309234</v>
      </c>
      <c r="AR33" s="70">
        <v>-49760</v>
      </c>
      <c r="AS33" s="70">
        <f t="shared" si="53"/>
        <v>-15640</v>
      </c>
      <c r="AT33" s="70">
        <v>-83355</v>
      </c>
      <c r="AU33" s="70">
        <v>-271405</v>
      </c>
      <c r="AV33" s="70">
        <v>-44617</v>
      </c>
      <c r="AW33" s="70">
        <f t="shared" si="54"/>
        <v>-92491</v>
      </c>
      <c r="AX33" s="70">
        <v>-159176</v>
      </c>
      <c r="AY33" s="94">
        <v>-158340</v>
      </c>
      <c r="AZ33" s="17"/>
      <c r="BA33" s="41">
        <f t="shared" si="56"/>
        <v>8412</v>
      </c>
      <c r="BB33" s="41">
        <f t="shared" si="57"/>
        <v>17798.167000000001</v>
      </c>
      <c r="BC33" s="41">
        <f t="shared" si="58"/>
        <v>351421</v>
      </c>
      <c r="BD33" s="41">
        <f t="shared" si="59"/>
        <v>41467.159687383508</v>
      </c>
      <c r="BE33" s="41">
        <f t="shared" si="60"/>
        <v>-14906</v>
      </c>
      <c r="BF33" s="70">
        <f t="shared" si="61"/>
        <v>-120729.53802125</v>
      </c>
      <c r="BG33" s="41">
        <f t="shared" si="62"/>
        <v>747523.38477956504</v>
      </c>
      <c r="BH33" s="70">
        <f t="shared" si="63"/>
        <v>-75522</v>
      </c>
      <c r="BI33" s="70">
        <v>26570</v>
      </c>
      <c r="BJ33" s="41">
        <v>64351</v>
      </c>
      <c r="BK33" s="41">
        <v>273857</v>
      </c>
      <c r="BL33" s="70">
        <v>-491868</v>
      </c>
    </row>
    <row r="34" spans="1:64" s="17" customFormat="1" ht="15.6">
      <c r="A34" s="194" t="s">
        <v>72</v>
      </c>
      <c r="B34" s="70">
        <v>-7110</v>
      </c>
      <c r="C34" s="70">
        <v>-1637</v>
      </c>
      <c r="D34" s="70">
        <v>20867</v>
      </c>
      <c r="E34" s="70">
        <f>3752-1039</f>
        <v>2713</v>
      </c>
      <c r="F34" s="70">
        <v>-15804</v>
      </c>
      <c r="G34" s="70">
        <v>-12127</v>
      </c>
      <c r="H34" s="70">
        <v>29111</v>
      </c>
      <c r="I34" s="70">
        <f>19500-3989</f>
        <v>15511</v>
      </c>
      <c r="J34" s="70">
        <v>-22219</v>
      </c>
      <c r="K34" s="70">
        <v>-35877</v>
      </c>
      <c r="L34" s="70">
        <v>109994</v>
      </c>
      <c r="M34" s="70">
        <f>-58031-6043</f>
        <v>-64074</v>
      </c>
      <c r="N34" s="70">
        <v>21602</v>
      </c>
      <c r="O34" s="70">
        <v>10692</v>
      </c>
      <c r="P34" s="70">
        <v>14224</v>
      </c>
      <c r="Q34" s="70">
        <f>-40069-20224</f>
        <v>-60293</v>
      </c>
      <c r="R34" s="70">
        <v>-27859</v>
      </c>
      <c r="S34" s="70">
        <v>13368</v>
      </c>
      <c r="T34" s="70">
        <v>27044</v>
      </c>
      <c r="U34" s="70">
        <v>38317</v>
      </c>
      <c r="V34" s="70">
        <f>+SUM(V35:V36)</f>
        <v>-140139.25098636447</v>
      </c>
      <c r="W34" s="70">
        <f>68899-80553</f>
        <v>-11654</v>
      </c>
      <c r="X34" s="70">
        <v>-168878</v>
      </c>
      <c r="Y34" s="70">
        <v>-16582.749013635563</v>
      </c>
      <c r="Z34" s="70">
        <v>-103482.87228324357</v>
      </c>
      <c r="AA34" s="70">
        <v>-224644</v>
      </c>
      <c r="AB34" s="70">
        <v>-182181.56236137112</v>
      </c>
      <c r="AC34" s="70">
        <v>51639.485327776056</v>
      </c>
      <c r="AD34" s="70">
        <f>-416202+54154</f>
        <v>-362048</v>
      </c>
      <c r="AE34" s="70">
        <f>519304-378883</f>
        <v>140421</v>
      </c>
      <c r="AF34" s="70">
        <f>220610-484917</f>
        <v>-264307</v>
      </c>
      <c r="AG34" s="70">
        <f t="shared" ref="AG34" si="64">+SUM(AG35:AG36)</f>
        <v>-136388.03108174179</v>
      </c>
      <c r="AH34" s="70">
        <f t="shared" ref="AH34:AI34" si="65">+SUM(AH35:AH36)</f>
        <v>-45470</v>
      </c>
      <c r="AI34" s="70">
        <f t="shared" si="65"/>
        <v>-191898</v>
      </c>
      <c r="AJ34" s="70">
        <f t="shared" ref="AJ34:AS34" si="66">+SUM(AJ35:AJ36)</f>
        <v>-31198</v>
      </c>
      <c r="AK34" s="70">
        <f t="shared" si="66"/>
        <v>14173</v>
      </c>
      <c r="AL34" s="70">
        <f t="shared" si="66"/>
        <v>-264290</v>
      </c>
      <c r="AM34" s="70">
        <f t="shared" si="66"/>
        <v>-341054</v>
      </c>
      <c r="AN34" s="70">
        <f t="shared" si="66"/>
        <v>-112097</v>
      </c>
      <c r="AO34" s="70">
        <f t="shared" si="66"/>
        <v>-333749</v>
      </c>
      <c r="AP34" s="70">
        <f t="shared" si="66"/>
        <v>-198679</v>
      </c>
      <c r="AQ34" s="70">
        <f t="shared" si="66"/>
        <v>-55870</v>
      </c>
      <c r="AR34" s="70">
        <f t="shared" si="66"/>
        <v>-205831</v>
      </c>
      <c r="AS34" s="70">
        <f t="shared" si="66"/>
        <v>-123962</v>
      </c>
      <c r="AT34" s="70">
        <f t="shared" ref="AT34" si="67">+SUM(AT35:AT36)</f>
        <v>-481631</v>
      </c>
      <c r="AU34" s="70">
        <f>AU35+AU36</f>
        <v>-504544</v>
      </c>
      <c r="AV34" s="70">
        <f>AV35+AV36</f>
        <v>-758847</v>
      </c>
      <c r="AW34" s="70">
        <f t="shared" ref="AW34:AX34" si="68">+SUM(AW35:AW36)</f>
        <v>-296913</v>
      </c>
      <c r="AX34" s="70">
        <f t="shared" si="68"/>
        <v>-740796</v>
      </c>
      <c r="AY34" s="70">
        <f t="shared" ref="AY34" si="69">AY35+AY36</f>
        <v>-670300</v>
      </c>
      <c r="BA34" s="41">
        <f t="shared" si="56"/>
        <v>14833</v>
      </c>
      <c r="BB34" s="41">
        <f t="shared" si="57"/>
        <v>16691</v>
      </c>
      <c r="BC34" s="41">
        <f t="shared" si="58"/>
        <v>-12176</v>
      </c>
      <c r="BD34" s="41">
        <f t="shared" si="59"/>
        <v>-13775</v>
      </c>
      <c r="BE34" s="41">
        <f t="shared" si="60"/>
        <v>50870</v>
      </c>
      <c r="BF34" s="70">
        <f t="shared" si="61"/>
        <v>-337254</v>
      </c>
      <c r="BG34" s="41">
        <f t="shared" si="62"/>
        <v>-458668.94931683864</v>
      </c>
      <c r="BH34" s="70">
        <f>SUM(BH35:BH36)</f>
        <v>-622322.35919310316</v>
      </c>
      <c r="BI34" s="70">
        <f>SUM(BI35:BI36)</f>
        <v>-254393</v>
      </c>
      <c r="BJ34" s="70">
        <f>SUM(BJ35:BJ36)</f>
        <v>-1051190</v>
      </c>
      <c r="BK34" s="70">
        <f>SUM(BK35:BK36)</f>
        <v>-584342</v>
      </c>
      <c r="BL34" s="70">
        <f>SUM(BL35:BL36)</f>
        <v>-2041935</v>
      </c>
    </row>
    <row r="35" spans="1:64" s="17" customFormat="1" ht="15.6" outlineLevel="1">
      <c r="A35" s="203" t="s">
        <v>73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f>+'[17]DRE EBITDA Ex IFRS'!D70</f>
        <v>60977.711437288999</v>
      </c>
      <c r="W35" s="70">
        <f>+'[17]DRE EBITDA Ex IFRS'!G70</f>
        <v>68899.008217087132</v>
      </c>
      <c r="X35" s="70">
        <f>+'[17]DRE EBITDA Ex IFRS'!J70</f>
        <v>69774.004810626066</v>
      </c>
      <c r="Y35" s="70">
        <f>+'[17]DRE EBITDA Ex IFRS'!M70</f>
        <v>166001.23191740364</v>
      </c>
      <c r="Z35" s="70">
        <f>+'[17]DRE EBITDA Ex IFRS'!S70</f>
        <v>654266.83103519946</v>
      </c>
      <c r="AA35" s="70">
        <f>+'[17]DRE EBITDA Ex IFRS'!V70</f>
        <v>105078.45929666609</v>
      </c>
      <c r="AB35" s="70">
        <f>+'[17]DRE EBITDA Ex IFRS'!Y70</f>
        <v>275498.01967086724</v>
      </c>
      <c r="AC35" s="70">
        <f>+'[17]DRE EBITDA Ex IFRS'!AB70</f>
        <v>434308.04201282817</v>
      </c>
      <c r="AD35" s="70">
        <f>'[17]DRE EBITDA Ex IFRS'!AH70</f>
        <v>54153.922829827061</v>
      </c>
      <c r="AE35" s="70">
        <f>+'[17]DRE EBITDA Ex IFRS'!AK70</f>
        <v>519303.81441254402</v>
      </c>
      <c r="AF35" s="70">
        <f>'[17]DRE EBITDA Ex IFRS'!AN70</f>
        <v>217303.17008906987</v>
      </c>
      <c r="AG35" s="70">
        <f>+'[17]DRE EBITDA Ex IFRS'!AQ70</f>
        <v>155774.76822776126</v>
      </c>
      <c r="AH35" s="70">
        <v>312508</v>
      </c>
      <c r="AI35" s="70">
        <v>-139916</v>
      </c>
      <c r="AJ35" s="70">
        <f>156263</f>
        <v>156263</v>
      </c>
      <c r="AK35" s="70">
        <f>BI35-SUM(AH35:AJ35)</f>
        <v>-25149</v>
      </c>
      <c r="AL35" s="41">
        <v>26810</v>
      </c>
      <c r="AM35" s="70">
        <v>-5940</v>
      </c>
      <c r="AN35" s="70">
        <v>102994</v>
      </c>
      <c r="AO35" s="70">
        <f>BJ35-SUM(AL35:AN35)</f>
        <v>46969</v>
      </c>
      <c r="AP35" s="70">
        <v>53815</v>
      </c>
      <c r="AQ35" s="70">
        <f>332246</f>
        <v>332246</v>
      </c>
      <c r="AR35" s="70">
        <v>171582</v>
      </c>
      <c r="AS35" s="70">
        <f>BK35-SUM(AP35:AR35)</f>
        <v>434440</v>
      </c>
      <c r="AT35" s="70">
        <v>63022</v>
      </c>
      <c r="AU35" s="70">
        <v>170114</v>
      </c>
      <c r="AV35" s="70">
        <f>-18052+32792</f>
        <v>14740</v>
      </c>
      <c r="AW35" s="70">
        <f t="shared" ref="AW35:AW36" si="70">BL35-SUM(AT35:AV35)</f>
        <v>111868</v>
      </c>
      <c r="AX35" s="70">
        <f>58733+509</f>
        <v>59242</v>
      </c>
      <c r="AY35" s="94">
        <v>69045</v>
      </c>
      <c r="BA35" s="41"/>
      <c r="BB35" s="41"/>
      <c r="BC35" s="41"/>
      <c r="BD35" s="41"/>
      <c r="BE35" s="41"/>
      <c r="BF35" s="70">
        <f t="shared" si="61"/>
        <v>365651.95638240583</v>
      </c>
      <c r="BG35" s="41">
        <f t="shared" si="62"/>
        <v>1469151.352015561</v>
      </c>
      <c r="BH35" s="70">
        <f>SUM(AD35:AG35)</f>
        <v>946535.67555920221</v>
      </c>
      <c r="BI35" s="70">
        <f>278680+25026</f>
        <v>303706</v>
      </c>
      <c r="BJ35" s="41">
        <v>170833</v>
      </c>
      <c r="BK35" s="41">
        <f>865730+126353</f>
        <v>992083</v>
      </c>
      <c r="BL35" s="70">
        <v>359744</v>
      </c>
    </row>
    <row r="36" spans="1:64" s="17" customFormat="1" ht="15.6" outlineLevel="1">
      <c r="A36" s="203" t="s">
        <v>74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f>+'[17]DRE EBITDA Ex IFRS'!D71</f>
        <v>-201116.96242365346</v>
      </c>
      <c r="W36" s="70">
        <f>+'[17]DRE EBITDA Ex IFRS'!G71</f>
        <v>-80553.00702039196</v>
      </c>
      <c r="X36" s="70">
        <f>+'[17]DRE EBITDA Ex IFRS'!J71</f>
        <v>-238651.60545989306</v>
      </c>
      <c r="Y36" s="70">
        <f>+'[17]DRE EBITDA Ex IFRS'!M71</f>
        <v>-182584.20679764534</v>
      </c>
      <c r="Z36" s="70">
        <f>+'[17]DRE EBITDA Ex IFRS'!S71</f>
        <v>-757749.70331844303</v>
      </c>
      <c r="AA36" s="70">
        <f>+'[17]DRE EBITDA Ex IFRS'!V71</f>
        <v>-329721.83772150765</v>
      </c>
      <c r="AB36" s="70">
        <f>+'[17]DRE EBITDA Ex IFRS'!Y71</f>
        <v>-457679.58203223837</v>
      </c>
      <c r="AC36" s="70">
        <f>+'[17]DRE EBITDA Ex IFRS'!AB71</f>
        <v>-382668.55668505211</v>
      </c>
      <c r="AD36" s="70">
        <f>'[17]DRE EBITDA Ex IFRS'!AH71</f>
        <v>-416201.63457428699</v>
      </c>
      <c r="AE36" s="70">
        <f>+'[17]DRE EBITDA Ex IFRS'!AK71</f>
        <v>-378883.65676783514</v>
      </c>
      <c r="AF36" s="70">
        <f>'[17]DRE EBITDA Ex IFRS'!AN71</f>
        <v>-481609.94410068018</v>
      </c>
      <c r="AG36" s="70">
        <f>+'[17]DRE EBITDA Ex IFRS'!AQ71</f>
        <v>-292162.79930950305</v>
      </c>
      <c r="AH36" s="70">
        <v>-357978</v>
      </c>
      <c r="AI36" s="70">
        <v>-51982</v>
      </c>
      <c r="AJ36" s="70">
        <f>-139539-47922</f>
        <v>-187461</v>
      </c>
      <c r="AK36" s="70">
        <f>BI36-SUM(AH36:AJ36)</f>
        <v>39322</v>
      </c>
      <c r="AL36" s="41">
        <f>-195862-95238</f>
        <v>-291100</v>
      </c>
      <c r="AM36" s="70">
        <f>-223995-111119</f>
        <v>-335114</v>
      </c>
      <c r="AN36" s="70">
        <f>-302595+87504</f>
        <v>-215091</v>
      </c>
      <c r="AO36" s="70">
        <f>BJ36-SUM(AL36:AN36)</f>
        <v>-380718</v>
      </c>
      <c r="AP36" s="70">
        <f>-289034+36540</f>
        <v>-252494</v>
      </c>
      <c r="AQ36" s="70">
        <f>-375160-12956</f>
        <v>-388116</v>
      </c>
      <c r="AR36" s="70">
        <f>-358804-18609</f>
        <v>-377413</v>
      </c>
      <c r="AS36" s="70">
        <f>BK36-SUM(AP36:AR36)</f>
        <v>-558402</v>
      </c>
      <c r="AT36" s="70">
        <f>-516059-28594</f>
        <v>-544653</v>
      </c>
      <c r="AU36" s="70">
        <f>-554409-120249</f>
        <v>-674658</v>
      </c>
      <c r="AV36" s="70">
        <f>-773587</f>
        <v>-773587</v>
      </c>
      <c r="AW36" s="70">
        <f t="shared" si="70"/>
        <v>-408781</v>
      </c>
      <c r="AX36" s="70">
        <f>-800038</f>
        <v>-800038</v>
      </c>
      <c r="AY36" s="94">
        <f>-655340-84005</f>
        <v>-739345</v>
      </c>
      <c r="BA36" s="41"/>
      <c r="BB36" s="41"/>
      <c r="BC36" s="41"/>
      <c r="BD36" s="41"/>
      <c r="BE36" s="41"/>
      <c r="BF36" s="70">
        <f t="shared" si="61"/>
        <v>-702905.78170158388</v>
      </c>
      <c r="BG36" s="41">
        <f t="shared" si="62"/>
        <v>-1927819.6797572412</v>
      </c>
      <c r="BH36" s="70">
        <f>SUM(AD36:AG36)</f>
        <v>-1568858.0347523054</v>
      </c>
      <c r="BI36" s="70">
        <v>-558099</v>
      </c>
      <c r="BJ36" s="41">
        <f>-1074828-147195</f>
        <v>-1222023</v>
      </c>
      <c r="BK36" s="41">
        <f>-1576425</f>
        <v>-1576425</v>
      </c>
      <c r="BL36" s="70">
        <f>-2267761-133918</f>
        <v>-2401679</v>
      </c>
    </row>
    <row r="37" spans="1:64" s="5" customFormat="1" ht="18.75" customHeight="1">
      <c r="A37" s="12" t="s">
        <v>75</v>
      </c>
      <c r="B37" s="42">
        <f t="shared" ref="B37:S37" si="71">+SUM(B30:B34)+B23+B21</f>
        <v>3243.7319500000012</v>
      </c>
      <c r="C37" s="42">
        <f t="shared" si="71"/>
        <v>9240.9873599999992</v>
      </c>
      <c r="D37" s="42">
        <f t="shared" si="71"/>
        <v>20409.518329999999</v>
      </c>
      <c r="E37" s="42">
        <f t="shared" si="71"/>
        <v>-168267.99883000003</v>
      </c>
      <c r="F37" s="42">
        <f t="shared" si="71"/>
        <v>-54002</v>
      </c>
      <c r="G37" s="42">
        <f t="shared" si="71"/>
        <v>-18393</v>
      </c>
      <c r="H37" s="42">
        <f t="shared" si="71"/>
        <v>-2667.9977597744801</v>
      </c>
      <c r="I37" s="42">
        <f t="shared" si="71"/>
        <v>175969.46464977448</v>
      </c>
      <c r="J37" s="42">
        <f t="shared" si="71"/>
        <v>-65027</v>
      </c>
      <c r="K37" s="42">
        <f t="shared" si="71"/>
        <v>-51358</v>
      </c>
      <c r="L37" s="42">
        <f t="shared" si="71"/>
        <v>93888</v>
      </c>
      <c r="M37" s="42">
        <f t="shared" si="71"/>
        <v>269404</v>
      </c>
      <c r="N37" s="42">
        <f t="shared" si="71"/>
        <v>9322.6568450814302</v>
      </c>
      <c r="O37" s="42">
        <f t="shared" si="71"/>
        <v>49376</v>
      </c>
      <c r="P37" s="42">
        <f t="shared" si="71"/>
        <v>13718</v>
      </c>
      <c r="Q37" s="42">
        <f t="shared" si="71"/>
        <v>-43982.477935197108</v>
      </c>
      <c r="R37" s="42">
        <f t="shared" si="71"/>
        <v>-28771</v>
      </c>
      <c r="S37" s="42">
        <f t="shared" si="71"/>
        <v>76681</v>
      </c>
      <c r="T37" s="42">
        <f>+SUM(T30:T34)+T23+T21</f>
        <v>98422</v>
      </c>
      <c r="U37" s="42">
        <f t="shared" ref="U37" si="72">+SUM(U30:U34)+U23+U21</f>
        <v>91153</v>
      </c>
      <c r="V37" s="42">
        <f t="shared" ref="V37:X37" si="73">+SUM(V30:V34)+V23+V21</f>
        <v>-118142.93601322098</v>
      </c>
      <c r="W37" s="42">
        <f t="shared" si="73"/>
        <v>200448</v>
      </c>
      <c r="X37" s="42">
        <f t="shared" si="73"/>
        <v>-63419.529304264579</v>
      </c>
      <c r="Y37" s="42">
        <f>+SUM(Y30:Y34)+Y23+Y21</f>
        <v>522116.24166963925</v>
      </c>
      <c r="Z37" s="42">
        <f>+SUM(Z30:Z34)+Z23+Z21</f>
        <v>-52572.979654497205</v>
      </c>
      <c r="AA37" s="42">
        <f>+SUM(AA30:AA34)+AA23+AA21</f>
        <v>-122752.99838900584</v>
      </c>
      <c r="AB37" s="42">
        <f>+SUM(AB30:AB34)+AB23+AB21</f>
        <v>-74156.391632983694</v>
      </c>
      <c r="AC37" s="42">
        <f>+SUM(AC30:AC34)+AC23+AC21</f>
        <v>733561.84552971611</v>
      </c>
      <c r="AD37" s="42">
        <f t="shared" ref="AD37" si="74">+SUM(AD30:AD34)+AD23+AD21</f>
        <v>-45275</v>
      </c>
      <c r="AE37" s="42">
        <f t="shared" ref="AE37" si="75">+SUM(AE30:AE34)+AE23+AE21</f>
        <v>561841</v>
      </c>
      <c r="AF37" s="42">
        <f t="shared" ref="AF37" si="76">+SUM(AF30:AF34)+AF23+AF21</f>
        <v>167421.55667251605</v>
      </c>
      <c r="AG37" s="42">
        <f t="shared" ref="AG37" si="77">+SUM(AG30:AG34)+AG23+AG21</f>
        <v>815134.1917543076</v>
      </c>
      <c r="AH37" s="42">
        <f t="shared" ref="AH37:AI37" si="78">+SUM(AH30:AH34)+AH23+AH21</f>
        <v>905241</v>
      </c>
      <c r="AI37" s="42">
        <f t="shared" si="78"/>
        <v>830745</v>
      </c>
      <c r="AJ37" s="42">
        <f t="shared" ref="AJ37:AR37" si="79">+SUM(AJ30:AJ34)+AJ23+AJ21</f>
        <v>1246394</v>
      </c>
      <c r="AK37" s="42">
        <f t="shared" si="79"/>
        <v>679440</v>
      </c>
      <c r="AL37" s="42">
        <f t="shared" si="79"/>
        <v>1255553</v>
      </c>
      <c r="AM37" s="42">
        <f t="shared" si="79"/>
        <v>840135</v>
      </c>
      <c r="AN37" s="68">
        <f t="shared" si="79"/>
        <v>2120227</v>
      </c>
      <c r="AO37" s="68">
        <f t="shared" si="79"/>
        <v>1888757</v>
      </c>
      <c r="AP37" s="68">
        <f t="shared" si="79"/>
        <v>1525077</v>
      </c>
      <c r="AQ37" s="68">
        <f t="shared" si="79"/>
        <v>2464207</v>
      </c>
      <c r="AR37" s="68">
        <f t="shared" si="79"/>
        <v>1044893</v>
      </c>
      <c r="AS37" s="68">
        <f t="shared" ref="AS37" si="80">+SUM(AS30:AS34)+AS23+AS21</f>
        <v>1326942</v>
      </c>
      <c r="AT37" s="68">
        <f>+SUM(AT30:AT34)+AT23+AT21</f>
        <v>584727</v>
      </c>
      <c r="AU37" s="68">
        <f>+SUM(AU30:AU34)+AU23+AU21</f>
        <v>-426847</v>
      </c>
      <c r="AV37" s="68">
        <f>+SUM(AV30:AV34)+AV23+AV21</f>
        <v>-156750</v>
      </c>
      <c r="AW37" s="68">
        <f t="shared" ref="AW37" si="81">+SUM(AW30:AW34)+AW23+AW21</f>
        <v>-233743</v>
      </c>
      <c r="AX37" s="68">
        <f>+SUM(AX30:AX34)+AX23+AX21</f>
        <v>1711976</v>
      </c>
      <c r="AY37" s="68">
        <f t="shared" ref="AY37" si="82">+SUM(AY30:AY34)+AY23+AY21</f>
        <v>2107189</v>
      </c>
      <c r="AZ37" s="192"/>
      <c r="BA37" s="42">
        <f>+SUM(BA30:BA34)+BA23+BA21</f>
        <v>-135373.76119000002</v>
      </c>
      <c r="BB37" s="42">
        <f>+SUM(BB30:BB34)+BB23+BB21</f>
        <v>100906.46688999998</v>
      </c>
      <c r="BC37" s="42">
        <f>+SUM(BC30:BC34)+BC23+BC21</f>
        <v>246907</v>
      </c>
      <c r="BD37" s="42">
        <f>+SUM(BD30:BD34)+BD23+BD21</f>
        <v>28434.1789098843</v>
      </c>
      <c r="BE37" s="42">
        <f>+SUM(BE30:BE34)+BE23+BE21</f>
        <v>237485</v>
      </c>
      <c r="BF37" s="68">
        <f t="shared" si="61"/>
        <v>541001.77635215363</v>
      </c>
      <c r="BG37" s="42">
        <f t="shared" ref="BG37:BL37" si="83">+SUM(BG30:BG34)+BG23+BG21</f>
        <v>484079.47585322917</v>
      </c>
      <c r="BH37" s="42">
        <f t="shared" si="83"/>
        <v>1499121.4203154626</v>
      </c>
      <c r="BI37" s="42">
        <f t="shared" si="83"/>
        <v>3661820</v>
      </c>
      <c r="BJ37" s="42">
        <f t="shared" si="83"/>
        <v>6104672</v>
      </c>
      <c r="BK37" s="42">
        <f t="shared" si="83"/>
        <v>6361119</v>
      </c>
      <c r="BL37" s="68">
        <f t="shared" si="83"/>
        <v>-232613</v>
      </c>
    </row>
    <row r="38" spans="1:64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17598.936013220984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1"/>
      <c r="AM38" s="41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94"/>
      <c r="AZ38" s="191"/>
      <c r="BA38" s="46"/>
      <c r="BB38" s="46"/>
      <c r="BC38" s="46"/>
      <c r="BD38" s="46"/>
      <c r="BE38" s="46"/>
      <c r="BF38" s="96"/>
      <c r="BG38" s="46"/>
      <c r="BH38" s="46"/>
      <c r="BI38" s="46"/>
      <c r="BJ38" s="41"/>
      <c r="BK38" s="41"/>
      <c r="BL38" s="70"/>
    </row>
    <row r="39" spans="1:64" ht="15.6">
      <c r="A39" s="194" t="s">
        <v>76</v>
      </c>
      <c r="B39" s="41">
        <v>-1545</v>
      </c>
      <c r="C39" s="41">
        <v>502</v>
      </c>
      <c r="D39" s="41">
        <v>-4064</v>
      </c>
      <c r="E39" s="41">
        <v>10634</v>
      </c>
      <c r="F39" s="41">
        <v>463</v>
      </c>
      <c r="G39" s="41">
        <v>2158</v>
      </c>
      <c r="H39" s="41">
        <v>2690</v>
      </c>
      <c r="I39" s="41">
        <v>216</v>
      </c>
      <c r="J39" s="41">
        <v>-360</v>
      </c>
      <c r="K39" s="41">
        <v>336</v>
      </c>
      <c r="L39" s="41">
        <v>-22417</v>
      </c>
      <c r="M39" s="41">
        <v>11112</v>
      </c>
      <c r="N39" s="41">
        <v>-5303.8250048387099</v>
      </c>
      <c r="O39" s="41">
        <v>-2270</v>
      </c>
      <c r="P39" s="41">
        <v>2664</v>
      </c>
      <c r="Q39" s="41">
        <v>7103</v>
      </c>
      <c r="R39" s="41">
        <v>316</v>
      </c>
      <c r="S39" s="41">
        <f>-1874+1548</f>
        <v>-326</v>
      </c>
      <c r="T39" s="41">
        <v>-25754</v>
      </c>
      <c r="U39" s="41">
        <v>-5425</v>
      </c>
      <c r="V39" s="41">
        <v>-4761</v>
      </c>
      <c r="W39" s="41">
        <f>-36707+1021</f>
        <v>-35686</v>
      </c>
      <c r="X39" s="41">
        <v>-721</v>
      </c>
      <c r="Y39" s="41">
        <f>+SUM(Y40:Y41)</f>
        <v>342511.87936303503</v>
      </c>
      <c r="Z39" s="41">
        <v>-8889.5231999999996</v>
      </c>
      <c r="AA39" s="41">
        <v>22952</v>
      </c>
      <c r="AB39" s="41">
        <v>-36441.413292637924</v>
      </c>
      <c r="AC39" s="41">
        <v>-8788.6238634373294</v>
      </c>
      <c r="AD39" s="41">
        <f>59056-79573</f>
        <v>-20517</v>
      </c>
      <c r="AE39" s="41">
        <f>-59964-80975</f>
        <v>-140939</v>
      </c>
      <c r="AF39" s="41">
        <f>-94553+24236</f>
        <v>-70317</v>
      </c>
      <c r="AG39" s="41">
        <f t="shared" ref="AG39" si="84">+SUM(AG40:AG41)</f>
        <v>65697.968032402321</v>
      </c>
      <c r="AH39" s="41">
        <f t="shared" ref="AH39:AI39" si="85">+SUM(AH40:AH41)</f>
        <v>163727</v>
      </c>
      <c r="AI39" s="41">
        <f t="shared" si="85"/>
        <v>-191665</v>
      </c>
      <c r="AJ39" s="41">
        <f t="shared" ref="AJ39:AS39" si="86">+SUM(AJ40:AJ41)</f>
        <v>-454080</v>
      </c>
      <c r="AK39" s="41">
        <f t="shared" si="86"/>
        <v>247270</v>
      </c>
      <c r="AL39" s="41">
        <f t="shared" si="86"/>
        <v>-93488</v>
      </c>
      <c r="AM39" s="41">
        <f t="shared" si="86"/>
        <v>834</v>
      </c>
      <c r="AN39" s="70">
        <f t="shared" si="86"/>
        <v>-491403</v>
      </c>
      <c r="AO39" s="70">
        <f t="shared" si="86"/>
        <v>-340710</v>
      </c>
      <c r="AP39" s="70">
        <f t="shared" si="86"/>
        <v>-479524</v>
      </c>
      <c r="AQ39" s="70">
        <f t="shared" si="86"/>
        <v>-1044198</v>
      </c>
      <c r="AR39" s="70">
        <f t="shared" si="86"/>
        <v>-157743</v>
      </c>
      <c r="AS39" s="70">
        <f t="shared" si="86"/>
        <v>5621952</v>
      </c>
      <c r="AT39" s="70">
        <f>SUM(AT40:AT41)</f>
        <v>1487932</v>
      </c>
      <c r="AU39" s="70">
        <f>SUM(AU40:AU41)</f>
        <v>1107521</v>
      </c>
      <c r="AV39" s="70">
        <f>SUM(AV40:AV41)</f>
        <v>505455</v>
      </c>
      <c r="AW39" s="70">
        <f t="shared" ref="AW39:AX39" si="87">+SUM(AW40:AW41)</f>
        <v>-616816</v>
      </c>
      <c r="AX39" s="70">
        <f t="shared" si="87"/>
        <v>698907</v>
      </c>
      <c r="AY39" s="70">
        <f t="shared" ref="AY39" si="88">SUM(AY40:AY41)</f>
        <v>-147325</v>
      </c>
      <c r="AZ39" s="191"/>
      <c r="BA39" s="41">
        <f t="shared" ref="BA39" si="89">SUM(B39:E39)</f>
        <v>5527</v>
      </c>
      <c r="BB39" s="41">
        <f>SUM(F39:I39)</f>
        <v>5527</v>
      </c>
      <c r="BC39" s="41">
        <f>SUM(J39:M39)</f>
        <v>-11329</v>
      </c>
      <c r="BD39" s="41">
        <f>SUM(N39:Q39)</f>
        <v>2193.1749951612901</v>
      </c>
      <c r="BE39" s="41">
        <f>SUM(R39:U39)</f>
        <v>-31189</v>
      </c>
      <c r="BF39" s="70">
        <f t="shared" ref="BF39:BF41" si="90">SUM(V39:Y39)</f>
        <v>301343.87936303503</v>
      </c>
      <c r="BG39" s="41">
        <f t="shared" ref="BG39:BG41" si="91">SUM(Z39:AC39)</f>
        <v>-31167.560356075253</v>
      </c>
      <c r="BH39" s="41">
        <f>SUM(AD39:AG39)</f>
        <v>-166075.03196759766</v>
      </c>
      <c r="BI39" s="41">
        <f>SUM(BI40:BI41)</f>
        <v>-234748</v>
      </c>
      <c r="BJ39" s="41">
        <f>SUM(BJ40:BJ41)</f>
        <v>-924767</v>
      </c>
      <c r="BK39" s="41">
        <f>SUM(BK40:BK41)</f>
        <v>3940487</v>
      </c>
      <c r="BL39" s="70">
        <f>SUM(BL40:BL41)</f>
        <v>2484092</v>
      </c>
    </row>
    <row r="40" spans="1:64" ht="15.6" outlineLevel="1">
      <c r="A40" s="203" t="s">
        <v>77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-5397.6092900000003</v>
      </c>
      <c r="W40" s="41">
        <f>+'[17]DRE EBITDA Ex IFRS'!G73</f>
        <v>-36706.774661555304</v>
      </c>
      <c r="X40" s="41">
        <f>+'[17]DRE EBITDA Ex IFRS'!J73</f>
        <v>-575.91426147974062</v>
      </c>
      <c r="Y40" s="41">
        <f>-55658-SUM(V40:X40)</f>
        <v>-12977.701786964957</v>
      </c>
      <c r="Z40" s="41">
        <f>+'[17]DRE EBITDA Ex IFRS'!S73</f>
        <v>-12141.97</v>
      </c>
      <c r="AA40" s="41">
        <f>+'[17]DRE EBITDA Ex IFRS'!V73</f>
        <v>-2632.8852700000007</v>
      </c>
      <c r="AB40" s="41">
        <f>+'[17]DRE EBITDA Ex IFRS'!Y73</f>
        <v>-9758.9786399999994</v>
      </c>
      <c r="AC40" s="41">
        <f>+'[17]DRE EBITDA Ex IFRS'!AB73</f>
        <v>-52605.862570000005</v>
      </c>
      <c r="AD40" s="41">
        <f>+'[17]DRE EBITDA Ex IFRS'!AH73</f>
        <v>-79572.994280000014</v>
      </c>
      <c r="AE40" s="41">
        <f>+'[17]DRE EBITDA Ex IFRS'!AK73</f>
        <v>-59964.269699999975</v>
      </c>
      <c r="AF40" s="41">
        <f>+'[17]DRE EBITDA Ex IFRS'!AN73</f>
        <v>-94552.572223804338</v>
      </c>
      <c r="AG40" s="41">
        <f>+'[17]DRE EBITDA Ex IFRS'!AQ73</f>
        <v>-110722.52081000009</v>
      </c>
      <c r="AH40" s="41">
        <v>-115251</v>
      </c>
      <c r="AI40" s="41">
        <v>-197982</v>
      </c>
      <c r="AJ40" s="41">
        <v>-255548</v>
      </c>
      <c r="AK40" s="41">
        <f>BI40-SUM(AH40:AJ40)</f>
        <v>23321</v>
      </c>
      <c r="AL40" s="41">
        <v>-124073</v>
      </c>
      <c r="AM40" s="41">
        <v>-108927</v>
      </c>
      <c r="AN40" s="70">
        <v>-187700</v>
      </c>
      <c r="AO40" s="70">
        <f>BJ40-SUM(AL40:AN40)</f>
        <v>-262941</v>
      </c>
      <c r="AP40" s="70">
        <v>-180923</v>
      </c>
      <c r="AQ40" s="70">
        <v>-244863</v>
      </c>
      <c r="AR40" s="70">
        <v>-125214</v>
      </c>
      <c r="AS40" s="70">
        <f>BK40-SUM(AP40:AR40)</f>
        <v>-16521</v>
      </c>
      <c r="AT40" s="70">
        <v>-295896</v>
      </c>
      <c r="AU40" s="70">
        <v>-12803</v>
      </c>
      <c r="AV40" s="70">
        <v>-68411</v>
      </c>
      <c r="AW40" s="70">
        <f t="shared" ref="AW40:AW41" si="92">BL40-SUM(AT40:AV40)</f>
        <v>-42408</v>
      </c>
      <c r="AX40" s="70">
        <v>-229294</v>
      </c>
      <c r="AY40" s="94">
        <v>-135642</v>
      </c>
      <c r="AZ40" s="191"/>
      <c r="BA40" s="41"/>
      <c r="BB40" s="41"/>
      <c r="BC40" s="41"/>
      <c r="BD40" s="41"/>
      <c r="BE40" s="41"/>
      <c r="BF40" s="70">
        <f t="shared" si="90"/>
        <v>-55658</v>
      </c>
      <c r="BG40" s="41">
        <f t="shared" si="91"/>
        <v>-77139.696480000013</v>
      </c>
      <c r="BH40" s="41">
        <f>SUM(AD40:AG40)</f>
        <v>-344812.35701380443</v>
      </c>
      <c r="BI40" s="41">
        <v>-545460</v>
      </c>
      <c r="BJ40" s="41">
        <v>-683641</v>
      </c>
      <c r="BK40" s="41">
        <v>-567521</v>
      </c>
      <c r="BL40" s="70">
        <v>-419518</v>
      </c>
    </row>
    <row r="41" spans="1:64" ht="15.6" outlineLevel="1">
      <c r="A41" s="203" t="s">
        <v>78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636.57032000000004</v>
      </c>
      <c r="W41" s="41">
        <f>+'[17]DRE EBITDA Ex IFRS'!G74</f>
        <v>1021.03611</v>
      </c>
      <c r="X41" s="41">
        <f>+'[17]DRE EBITDA Ex IFRS'!J74</f>
        <v>-145.18758000000003</v>
      </c>
      <c r="Y41" s="41">
        <f>357002-SUM(V41:X41)</f>
        <v>355489.58114999998</v>
      </c>
      <c r="Z41" s="41">
        <f>+'[17]DRE EBITDA Ex IFRS'!S74</f>
        <v>3252.4468000000002</v>
      </c>
      <c r="AA41" s="41">
        <f>+'[17]DRE EBITDA Ex IFRS'!V74</f>
        <v>25585.688369999989</v>
      </c>
      <c r="AB41" s="41">
        <f>+'[17]DRE EBITDA Ex IFRS'!Y74</f>
        <v>-26682.434652637927</v>
      </c>
      <c r="AC41" s="41">
        <f>+'[17]DRE EBITDA Ex IFRS'!AB74</f>
        <v>43817.238706562675</v>
      </c>
      <c r="AD41" s="41">
        <f>+'[17]DRE EBITDA Ex IFRS'!AH74</f>
        <v>59056.1767944577</v>
      </c>
      <c r="AE41" s="41">
        <f>+'[17]DRE EBITDA Ex IFRS'!AK74</f>
        <v>-80975.128704457704</v>
      </c>
      <c r="AF41" s="41">
        <f>+'[17]DRE EBITDA Ex IFRS'!AN74</f>
        <v>24235.935407597557</v>
      </c>
      <c r="AG41" s="41">
        <f>+'[17]DRE EBITDA Ex IFRS'!AQ74</f>
        <v>176420.48884240241</v>
      </c>
      <c r="AH41" s="41">
        <v>278978</v>
      </c>
      <c r="AI41" s="41">
        <v>6317</v>
      </c>
      <c r="AJ41" s="41">
        <v>-198532</v>
      </c>
      <c r="AK41" s="41">
        <f>BI41-SUM(AH41:AJ41)</f>
        <v>223949</v>
      </c>
      <c r="AL41" s="41">
        <v>30585</v>
      </c>
      <c r="AM41" s="41">
        <v>109761</v>
      </c>
      <c r="AN41" s="70">
        <v>-303703</v>
      </c>
      <c r="AO41" s="70">
        <f t="shared" ref="AO41" si="93">BJ41-SUM(AL41:AN41)</f>
        <v>-77769</v>
      </c>
      <c r="AP41" s="70">
        <v>-298601</v>
      </c>
      <c r="AQ41" s="70">
        <v>-799335</v>
      </c>
      <c r="AR41" s="70">
        <v>-32529</v>
      </c>
      <c r="AS41" s="70">
        <f>BK41-SUM(AP41:AR41)</f>
        <v>5638473</v>
      </c>
      <c r="AT41" s="70">
        <v>1783828</v>
      </c>
      <c r="AU41" s="70">
        <v>1120324</v>
      </c>
      <c r="AV41" s="70">
        <v>573866</v>
      </c>
      <c r="AW41" s="70">
        <f t="shared" si="92"/>
        <v>-574408</v>
      </c>
      <c r="AX41" s="70">
        <v>928201</v>
      </c>
      <c r="AY41" s="94">
        <v>-11683</v>
      </c>
      <c r="AZ41" s="191"/>
      <c r="BA41" s="41"/>
      <c r="BB41" s="41"/>
      <c r="BC41" s="41"/>
      <c r="BD41" s="41"/>
      <c r="BE41" s="41"/>
      <c r="BF41" s="70">
        <f t="shared" si="90"/>
        <v>357002</v>
      </c>
      <c r="BG41" s="41">
        <f t="shared" si="91"/>
        <v>45972.939223924739</v>
      </c>
      <c r="BH41" s="41">
        <f>SUM(AD41:AG41)</f>
        <v>178737.47233999998</v>
      </c>
      <c r="BI41" s="41">
        <v>310712</v>
      </c>
      <c r="BJ41" s="41">
        <v>-241126</v>
      </c>
      <c r="BK41" s="41">
        <v>4508008</v>
      </c>
      <c r="BL41" s="70">
        <v>2903610</v>
      </c>
    </row>
    <row r="42" spans="1:64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41"/>
      <c r="AM42" s="41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94"/>
      <c r="AZ42" s="191"/>
      <c r="BA42" s="32"/>
      <c r="BB42" s="32"/>
      <c r="BC42" s="32"/>
      <c r="BD42" s="32"/>
      <c r="BE42" s="32"/>
      <c r="BF42" s="70"/>
      <c r="BG42" s="41"/>
      <c r="BH42" s="41"/>
      <c r="BI42" s="41"/>
      <c r="BJ42" s="41"/>
      <c r="BK42" s="41"/>
      <c r="BL42" s="70"/>
    </row>
    <row r="43" spans="1:64" s="8" customFormat="1" ht="15.6">
      <c r="A43" s="134" t="s">
        <v>79</v>
      </c>
      <c r="B43" s="135">
        <f t="shared" ref="B43:Q43" si="94">+B39+B37</f>
        <v>1698.7319500000012</v>
      </c>
      <c r="C43" s="135">
        <f t="shared" si="94"/>
        <v>9742.9873599999992</v>
      </c>
      <c r="D43" s="135">
        <f t="shared" si="94"/>
        <v>16345.518329999999</v>
      </c>
      <c r="E43" s="135">
        <f t="shared" si="94"/>
        <v>-157633.99883000003</v>
      </c>
      <c r="F43" s="135">
        <f t="shared" si="94"/>
        <v>-53539</v>
      </c>
      <c r="G43" s="135">
        <f t="shared" si="94"/>
        <v>-16235</v>
      </c>
      <c r="H43" s="135">
        <f t="shared" si="94"/>
        <v>22.002240225519927</v>
      </c>
      <c r="I43" s="135">
        <f t="shared" si="94"/>
        <v>176185.46464977448</v>
      </c>
      <c r="J43" s="135">
        <f t="shared" si="94"/>
        <v>-65387</v>
      </c>
      <c r="K43" s="135">
        <f t="shared" si="94"/>
        <v>-51022</v>
      </c>
      <c r="L43" s="135">
        <f t="shared" si="94"/>
        <v>71471</v>
      </c>
      <c r="M43" s="135">
        <f t="shared" si="94"/>
        <v>280516</v>
      </c>
      <c r="N43" s="135">
        <f t="shared" si="94"/>
        <v>4018.8318402427203</v>
      </c>
      <c r="O43" s="135">
        <f t="shared" si="94"/>
        <v>47106</v>
      </c>
      <c r="P43" s="135">
        <f t="shared" si="94"/>
        <v>16382</v>
      </c>
      <c r="Q43" s="135">
        <f t="shared" si="94"/>
        <v>-36879.477935197108</v>
      </c>
      <c r="R43" s="135">
        <f>+R39+R37</f>
        <v>-28455</v>
      </c>
      <c r="S43" s="135">
        <f t="shared" ref="S43" si="95">+S39+S37</f>
        <v>76355</v>
      </c>
      <c r="T43" s="135">
        <f>+T39+T37</f>
        <v>72668</v>
      </c>
      <c r="U43" s="135">
        <f t="shared" ref="U43:AA43" si="96">+U39+U37</f>
        <v>85728</v>
      </c>
      <c r="V43" s="135">
        <f t="shared" si="96"/>
        <v>-122903.93601322098</v>
      </c>
      <c r="W43" s="135">
        <f>+W39+W37</f>
        <v>164762</v>
      </c>
      <c r="X43" s="135">
        <f>+X39+X37</f>
        <v>-64140.529304264579</v>
      </c>
      <c r="Y43" s="135">
        <f>+Y39+Y37</f>
        <v>864628.12103267433</v>
      </c>
      <c r="Z43" s="135">
        <f t="shared" si="96"/>
        <v>-61462.502854497201</v>
      </c>
      <c r="AA43" s="135">
        <f t="shared" si="96"/>
        <v>-99800.998389005836</v>
      </c>
      <c r="AB43" s="135">
        <f>+AB39+AB37</f>
        <v>-110597.80492562162</v>
      </c>
      <c r="AC43" s="135">
        <f t="shared" ref="AC43" si="97">+AC39+AC37</f>
        <v>724773.22166627878</v>
      </c>
      <c r="AD43" s="135">
        <f t="shared" ref="AD43" si="98">+AD39+AD37</f>
        <v>-65792</v>
      </c>
      <c r="AE43" s="135">
        <f>+AE39+AE37</f>
        <v>420902</v>
      </c>
      <c r="AF43" s="135">
        <f t="shared" ref="AF43" si="99">+AF39+AF37</f>
        <v>97104.556672516046</v>
      </c>
      <c r="AG43" s="135">
        <f t="shared" ref="AG43" si="100">+AG39+AG37</f>
        <v>880832.15978670993</v>
      </c>
      <c r="AH43" s="135">
        <f t="shared" ref="AH43:AI43" si="101">+AH39+AH37</f>
        <v>1068968</v>
      </c>
      <c r="AI43" s="135">
        <f t="shared" si="101"/>
        <v>639080</v>
      </c>
      <c r="AJ43" s="135">
        <f t="shared" ref="AJ43:AR43" si="102">+AJ39+AJ37</f>
        <v>792314</v>
      </c>
      <c r="AK43" s="135">
        <f t="shared" si="102"/>
        <v>926710</v>
      </c>
      <c r="AL43" s="135">
        <f t="shared" si="102"/>
        <v>1162065</v>
      </c>
      <c r="AM43" s="135">
        <f t="shared" si="102"/>
        <v>840969</v>
      </c>
      <c r="AN43" s="135">
        <f t="shared" si="102"/>
        <v>1628824</v>
      </c>
      <c r="AO43" s="135">
        <f t="shared" si="102"/>
        <v>1548047</v>
      </c>
      <c r="AP43" s="135">
        <f t="shared" si="102"/>
        <v>1045553</v>
      </c>
      <c r="AQ43" s="135">
        <f t="shared" si="102"/>
        <v>1420009</v>
      </c>
      <c r="AR43" s="135">
        <f t="shared" si="102"/>
        <v>887150</v>
      </c>
      <c r="AS43" s="135">
        <f t="shared" ref="AS43" si="103">+AS39+AS37</f>
        <v>6948894</v>
      </c>
      <c r="AT43" s="135">
        <f>+AT39+AT37</f>
        <v>2072659</v>
      </c>
      <c r="AU43" s="135">
        <f>+AU39+AU37</f>
        <v>680674</v>
      </c>
      <c r="AV43" s="135">
        <f>+AV39+AV37</f>
        <v>348705</v>
      </c>
      <c r="AW43" s="135">
        <f t="shared" ref="AW43:AY43" si="104">+AW39+AW37</f>
        <v>-850559</v>
      </c>
      <c r="AX43" s="135">
        <f t="shared" si="104"/>
        <v>2410883</v>
      </c>
      <c r="AY43" s="135">
        <f t="shared" si="104"/>
        <v>1959864</v>
      </c>
      <c r="AZ43" s="150"/>
      <c r="BA43" s="135">
        <f t="shared" ref="BA43:BD43" si="105">+BA39+BA37</f>
        <v>-129846.76119000002</v>
      </c>
      <c r="BB43" s="135">
        <f t="shared" si="105"/>
        <v>106433.46688999998</v>
      </c>
      <c r="BC43" s="135">
        <f t="shared" si="105"/>
        <v>235578</v>
      </c>
      <c r="BD43" s="135">
        <f t="shared" si="105"/>
        <v>30627.353905045591</v>
      </c>
      <c r="BE43" s="135">
        <f>+BE39+BE37</f>
        <v>206296</v>
      </c>
      <c r="BF43" s="135">
        <f>+BF39+BF37</f>
        <v>842345.65571518871</v>
      </c>
      <c r="BG43" s="135">
        <f t="shared" ref="BG43" si="106">+BG39+BG37</f>
        <v>452911.91549715394</v>
      </c>
      <c r="BH43" s="135">
        <f>+BH39+BH37</f>
        <v>1333046.3883478651</v>
      </c>
      <c r="BI43" s="135">
        <f>BI39+BI37</f>
        <v>3427072</v>
      </c>
      <c r="BJ43" s="135">
        <f>BJ39+BJ37</f>
        <v>5179905</v>
      </c>
      <c r="BK43" s="135">
        <f>BK39+BK37</f>
        <v>10301606</v>
      </c>
      <c r="BL43" s="135">
        <f>BL39+BL37</f>
        <v>2251479</v>
      </c>
    </row>
    <row r="44" spans="1:64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360"/>
      <c r="AZ44" s="18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64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361"/>
      <c r="AZ45" s="8"/>
      <c r="BA45" s="16"/>
      <c r="BB45" s="16"/>
      <c r="BC45" s="16"/>
      <c r="BD45" s="16"/>
      <c r="BF45" s="7"/>
      <c r="BG45" s="7"/>
      <c r="BH45" s="7"/>
      <c r="BI45" s="7"/>
      <c r="BJ45" s="7"/>
      <c r="BK45" s="7"/>
      <c r="BL45" s="7"/>
    </row>
    <row r="46" spans="1:64" ht="15.6">
      <c r="V46" s="42"/>
      <c r="W46" s="42"/>
      <c r="X46" s="42"/>
      <c r="Y46" s="42"/>
      <c r="AZ46" s="8"/>
      <c r="BI46" s="74"/>
      <c r="BJ46" s="74"/>
      <c r="BK46" s="74"/>
      <c r="BL46" s="74"/>
    </row>
    <row r="59" spans="2:56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95"/>
      <c r="AZ59" s="5"/>
      <c r="BA59" s="5"/>
      <c r="BB59" s="5"/>
      <c r="BC59" s="7"/>
      <c r="BD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10:S10 A37:Y37 N9:R9 U9:AA9 V10:W10 Y10:Z10 BA42:BF42 BA43:BD43 BF25:BF32 BA19:BG19 BA9:BC9 BA22:BF22 BA20:BF21 BA37:BE37 BA23:BF23 BA38:BG38 BG20 AC9 BA10:BC16 B23:AE23 AA37 BA18:BC18 BD9:BG18 BH22 BG29 BA25:BE34 AG11 AG13:AG16 BA39:BE39 BH31:BH32 AG26:AG32 BG32:BG3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548B-25B4-4998-AF84-E27C572F8E7D}">
  <sheetPr>
    <pageSetUpPr fitToPage="1"/>
  </sheetPr>
  <dimension ref="A1:BM40"/>
  <sheetViews>
    <sheetView showGridLines="0" zoomScaleNormal="100" workbookViewId="0">
      <pane xSplit="1" ySplit="6" topLeftCell="AW7" activePane="bottomRight" state="frozen"/>
      <selection pane="topRight" activeCell="AR7" sqref="AR7"/>
      <selection pane="bottomLeft" activeCell="AR7" sqref="AR7"/>
      <selection pane="bottomRight" activeCell="AY5" sqref="AY5"/>
    </sheetView>
  </sheetViews>
  <sheetFormatPr defaultColWidth="9.33203125" defaultRowHeight="14.4"/>
  <cols>
    <col min="1" max="1" width="41.5546875" style="1" bestFit="1" customWidth="1"/>
    <col min="2" max="29" width="15.6640625" style="1" hidden="1" customWidth="1"/>
    <col min="30" max="51" width="15.6640625" style="1" customWidth="1"/>
    <col min="52" max="52" width="15.6640625" style="302" customWidth="1"/>
    <col min="53" max="60" width="15.6640625" style="1" customWidth="1"/>
    <col min="61" max="64" width="13.5546875" style="1" bestFit="1" customWidth="1"/>
    <col min="65" max="65" width="11.44140625" style="312" bestFit="1" customWidth="1"/>
    <col min="66" max="16384" width="9.33203125" style="1"/>
  </cols>
  <sheetData>
    <row r="1" spans="1:65">
      <c r="C1" s="2"/>
      <c r="D1" s="2"/>
      <c r="E1" s="2"/>
      <c r="F1" s="2"/>
      <c r="G1" s="2"/>
      <c r="H1" s="2"/>
      <c r="I1" s="2"/>
      <c r="J1" s="3"/>
      <c r="K1" s="3"/>
      <c r="L1" s="3"/>
      <c r="M1" s="3"/>
      <c r="BA1" s="3"/>
      <c r="BB1" s="3"/>
    </row>
    <row r="2" spans="1:65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303"/>
      <c r="BA2" s="38"/>
      <c r="BB2" s="39"/>
      <c r="BC2" s="38"/>
      <c r="BD2" s="38"/>
      <c r="BE2" s="38"/>
      <c r="BF2" s="38"/>
      <c r="BG2" s="38"/>
      <c r="BH2" s="38"/>
      <c r="BM2" s="310"/>
    </row>
    <row r="3" spans="1:65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303"/>
      <c r="BA3" s="38"/>
      <c r="BB3" s="39"/>
      <c r="BC3" s="38"/>
      <c r="BD3" s="38"/>
      <c r="BE3" s="38"/>
      <c r="BF3" s="38"/>
      <c r="BG3" s="38"/>
      <c r="BH3" s="38"/>
      <c r="BM3" s="310"/>
    </row>
    <row r="4" spans="1:65" s="23" customFormat="1" ht="15.6">
      <c r="A4" s="71" t="s">
        <v>193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304"/>
      <c r="BA4" s="20"/>
      <c r="BB4" s="18"/>
      <c r="BC4" s="18"/>
      <c r="BD4" s="18"/>
      <c r="BE4" s="18"/>
      <c r="BF4" s="18"/>
      <c r="BG4" s="18"/>
      <c r="BH4" s="18"/>
      <c r="BM4" s="313"/>
    </row>
    <row r="5" spans="1:65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305"/>
      <c r="BA5" s="86"/>
      <c r="BB5" s="86"/>
      <c r="BC5" s="86"/>
      <c r="BD5" s="86"/>
      <c r="BE5" s="86"/>
      <c r="BF5" s="86"/>
      <c r="BG5" s="86"/>
      <c r="BH5" s="86"/>
      <c r="BM5" s="310"/>
    </row>
    <row r="6" spans="1:65" s="154" customFormat="1" ht="21.45" customHeight="1">
      <c r="A6" s="152"/>
      <c r="B6" s="153" t="s">
        <v>1</v>
      </c>
      <c r="C6" s="153" t="s">
        <v>2</v>
      </c>
      <c r="D6" s="153" t="s">
        <v>3</v>
      </c>
      <c r="E6" s="153" t="s">
        <v>4</v>
      </c>
      <c r="F6" s="153" t="s">
        <v>5</v>
      </c>
      <c r="G6" s="153" t="s">
        <v>6</v>
      </c>
      <c r="H6" s="153" t="s">
        <v>7</v>
      </c>
      <c r="I6" s="153" t="s">
        <v>8</v>
      </c>
      <c r="J6" s="153" t="s">
        <v>9</v>
      </c>
      <c r="K6" s="153" t="s">
        <v>10</v>
      </c>
      <c r="L6" s="153" t="s">
        <v>11</v>
      </c>
      <c r="M6" s="153" t="s">
        <v>12</v>
      </c>
      <c r="N6" s="153" t="s">
        <v>13</v>
      </c>
      <c r="O6" s="153" t="s">
        <v>14</v>
      </c>
      <c r="P6" s="153" t="s">
        <v>15</v>
      </c>
      <c r="Q6" s="153" t="s">
        <v>16</v>
      </c>
      <c r="R6" s="153" t="s">
        <v>17</v>
      </c>
      <c r="S6" s="153" t="s">
        <v>18</v>
      </c>
      <c r="T6" s="153" t="s">
        <v>19</v>
      </c>
      <c r="U6" s="153" t="s">
        <v>20</v>
      </c>
      <c r="V6" s="153" t="s">
        <v>21</v>
      </c>
      <c r="W6" s="153" t="s">
        <v>22</v>
      </c>
      <c r="X6" s="153" t="s">
        <v>23</v>
      </c>
      <c r="Y6" s="153" t="s">
        <v>24</v>
      </c>
      <c r="Z6" s="153" t="s">
        <v>25</v>
      </c>
      <c r="AA6" s="153" t="s">
        <v>26</v>
      </c>
      <c r="AB6" s="153" t="s">
        <v>27</v>
      </c>
      <c r="AC6" s="153" t="s">
        <v>28</v>
      </c>
      <c r="AD6" s="153" t="s">
        <v>29</v>
      </c>
      <c r="AE6" s="153" t="s">
        <v>30</v>
      </c>
      <c r="AF6" s="153" t="s">
        <v>31</v>
      </c>
      <c r="AG6" s="153" t="s">
        <v>32</v>
      </c>
      <c r="AH6" s="153" t="s">
        <v>33</v>
      </c>
      <c r="AI6" s="153" t="s">
        <v>34</v>
      </c>
      <c r="AJ6" s="153" t="s">
        <v>35</v>
      </c>
      <c r="AK6" s="254" t="s">
        <v>36</v>
      </c>
      <c r="AL6" s="254" t="s">
        <v>37</v>
      </c>
      <c r="AM6" s="254" t="s">
        <v>38</v>
      </c>
      <c r="AN6" s="254" t="s">
        <v>39</v>
      </c>
      <c r="AO6" s="254" t="s">
        <v>40</v>
      </c>
      <c r="AP6" s="254" t="s">
        <v>41</v>
      </c>
      <c r="AQ6" s="254" t="s">
        <v>42</v>
      </c>
      <c r="AR6" s="254" t="s">
        <v>43</v>
      </c>
      <c r="AS6" s="254" t="s">
        <v>44</v>
      </c>
      <c r="AT6" s="254" t="s">
        <v>45</v>
      </c>
      <c r="AU6" s="254" t="s">
        <v>46</v>
      </c>
      <c r="AV6" s="254" t="s">
        <v>47</v>
      </c>
      <c r="AW6" s="254" t="s">
        <v>48</v>
      </c>
      <c r="AX6" s="254" t="s">
        <v>279</v>
      </c>
      <c r="AY6" s="254" t="s">
        <v>292</v>
      </c>
      <c r="AZ6" s="306"/>
      <c r="BA6" s="153">
        <v>2014</v>
      </c>
      <c r="BB6" s="153">
        <v>2015</v>
      </c>
      <c r="BC6" s="153">
        <v>2016</v>
      </c>
      <c r="BD6" s="153">
        <v>2017</v>
      </c>
      <c r="BE6" s="153">
        <v>2018</v>
      </c>
      <c r="BF6" s="153">
        <v>2019</v>
      </c>
      <c r="BG6" s="153">
        <v>2020</v>
      </c>
      <c r="BH6" s="153">
        <v>2021</v>
      </c>
      <c r="BI6" s="153">
        <v>2022</v>
      </c>
      <c r="BJ6" s="153">
        <v>2023</v>
      </c>
      <c r="BK6" s="153">
        <v>2024</v>
      </c>
      <c r="BL6" s="153">
        <v>2025</v>
      </c>
      <c r="BM6" s="314"/>
    </row>
    <row r="7" spans="1:65" s="8" customFormat="1" ht="19.5" customHeight="1" thickBot="1">
      <c r="A7" s="180" t="s">
        <v>49</v>
      </c>
      <c r="B7" s="181">
        <f>'IS (R$)'!B9</f>
        <v>143303</v>
      </c>
      <c r="C7" s="181">
        <f>'IS (R$)'!C9</f>
        <v>137603</v>
      </c>
      <c r="D7" s="181">
        <f>'IS (R$)'!D9</f>
        <v>126706</v>
      </c>
      <c r="E7" s="181">
        <f>'IS (R$)'!E9</f>
        <v>79227</v>
      </c>
      <c r="F7" s="181">
        <f>'IS (R$)'!F9</f>
        <v>4853</v>
      </c>
      <c r="G7" s="181">
        <f>'IS (R$)'!G9</f>
        <v>96808</v>
      </c>
      <c r="H7" s="181">
        <f>'IS (R$)'!H9</f>
        <v>127941.0508489441</v>
      </c>
      <c r="I7" s="181">
        <f>'IS (R$)'!I9</f>
        <v>23468.949151055887</v>
      </c>
      <c r="J7" s="181">
        <f>'IS (R$)'!J9</f>
        <v>41509</v>
      </c>
      <c r="K7" s="181">
        <f>'IS (R$)'!K9</f>
        <v>103381</v>
      </c>
      <c r="L7" s="181">
        <f>'IS (R$)'!L9</f>
        <v>139242</v>
      </c>
      <c r="M7" s="181">
        <f>'IS (R$)'!M9</f>
        <v>113739</v>
      </c>
      <c r="N7" s="181">
        <f>'IS (R$)'!N9</f>
        <v>74786.065622849186</v>
      </c>
      <c r="O7" s="181">
        <f>'IS (R$)'!O9</f>
        <v>155507</v>
      </c>
      <c r="P7" s="181">
        <f>'IS (R$)'!P9</f>
        <v>110014</v>
      </c>
      <c r="Q7" s="181">
        <f>'IS (R$)'!Q9</f>
        <v>193615</v>
      </c>
      <c r="R7" s="181">
        <f>'IS (R$)'!R9</f>
        <v>117155</v>
      </c>
      <c r="S7" s="181">
        <f>'IS (R$)'!S9</f>
        <v>239405</v>
      </c>
      <c r="T7" s="181">
        <f>'IS (R$)'!T9</f>
        <v>224627</v>
      </c>
      <c r="U7" s="181">
        <f>'IS (R$)'!U9</f>
        <v>267733</v>
      </c>
      <c r="V7" s="181">
        <f>'IS (R$)'!V9</f>
        <v>139072.93148999999</v>
      </c>
      <c r="W7" s="181">
        <f>'IS (R$)'!W9</f>
        <v>548233</v>
      </c>
      <c r="X7" s="181">
        <f>'IS (R$)'!X9</f>
        <v>399045.1688249741</v>
      </c>
      <c r="Y7" s="181">
        <f>'IS (R$)'!Y9</f>
        <v>557994.89104842965</v>
      </c>
      <c r="Z7" s="181">
        <f>'IS (R$)'!Z9</f>
        <v>223162.01037337197</v>
      </c>
      <c r="AA7" s="181">
        <f>'IS (R$)'!AA9</f>
        <v>312292</v>
      </c>
      <c r="AB7" s="181">
        <f>'IS (R$)'!AB9</f>
        <v>488695</v>
      </c>
      <c r="AC7" s="181">
        <f>'IS (R$)'!AC9</f>
        <v>880035.06967999996</v>
      </c>
      <c r="AD7" s="181">
        <f>'IS (R$)'!AD9</f>
        <v>655334</v>
      </c>
      <c r="AE7" s="181">
        <f>+'IS (R$)'!AE9</f>
        <v>1022837</v>
      </c>
      <c r="AF7" s="181">
        <f>+'IS (R$)'!AF9</f>
        <v>939517</v>
      </c>
      <c r="AG7" s="181">
        <f>+'IS (R$)'!AG9</f>
        <v>1778314.7750389285</v>
      </c>
      <c r="AH7" s="181">
        <f>+'IS (R$)'!AH9</f>
        <v>1529995</v>
      </c>
      <c r="AI7" s="181">
        <f>+'IS (R$)'!AI9</f>
        <v>1873985</v>
      </c>
      <c r="AJ7" s="181">
        <f>+'IS (R$)'!AJ9</f>
        <v>1985786</v>
      </c>
      <c r="AK7" s="181">
        <f>+'IS (R$)'!AK9</f>
        <v>973709</v>
      </c>
      <c r="AL7" s="181">
        <f>+'IS (R$)'!AL9</f>
        <v>2814955</v>
      </c>
      <c r="AM7" s="181">
        <v>2311206</v>
      </c>
      <c r="AN7" s="181">
        <v>4045490</v>
      </c>
      <c r="AO7" s="181">
        <f>'IS (R$)'!AO9</f>
        <v>3252044</v>
      </c>
      <c r="AP7" s="181">
        <f>'IS (R$)'!AP9</f>
        <v>3186595</v>
      </c>
      <c r="AQ7" s="181">
        <f>'IS (R$)'!AQ9</f>
        <v>3953332</v>
      </c>
      <c r="AR7" s="181">
        <f>'IS (R$)'!AR9</f>
        <v>2679658</v>
      </c>
      <c r="AS7" s="181">
        <f>'IS (R$)'!AS9</f>
        <v>3118074</v>
      </c>
      <c r="AT7" s="181">
        <f>'IS (R$)'!AT9</f>
        <v>4261099</v>
      </c>
      <c r="AU7" s="181">
        <f>'IS (R$)'!AU9</f>
        <v>2917646</v>
      </c>
      <c r="AV7" s="181">
        <f>'IS (R$)'!AV9</f>
        <v>3190456</v>
      </c>
      <c r="AW7" s="181">
        <f>'IS (R$)'!AW9</f>
        <v>3460498</v>
      </c>
      <c r="AX7" s="181">
        <f>'IS (R$)'!AX9</f>
        <v>6361496</v>
      </c>
      <c r="AY7" s="181">
        <f>'IS (R$)'!AY9</f>
        <v>6700496</v>
      </c>
      <c r="AZ7" s="307"/>
      <c r="BA7" s="182">
        <f>SUM(B7:E7)</f>
        <v>486839</v>
      </c>
      <c r="BB7" s="183">
        <f>SUM(F7:I7)</f>
        <v>253071</v>
      </c>
      <c r="BC7" s="183">
        <f>SUM(J7:M7)</f>
        <v>397871</v>
      </c>
      <c r="BD7" s="183">
        <f>SUM(N7:Q7)</f>
        <v>533922.06562284916</v>
      </c>
      <c r="BE7" s="183">
        <f>SUM(R7:U7)</f>
        <v>848920</v>
      </c>
      <c r="BF7" s="183">
        <f>SUM(V7:Y7)</f>
        <v>1644345.9913634039</v>
      </c>
      <c r="BG7" s="181">
        <f>SUM(Z7:AC7)</f>
        <v>1904184.0800533718</v>
      </c>
      <c r="BH7" s="181">
        <f t="shared" ref="BH7:BH18" si="2">SUM(AD7:AG7)</f>
        <v>4396002.7750389287</v>
      </c>
      <c r="BI7" s="181">
        <f t="shared" ref="BI7:BI18" si="3">SUM(AH7:AK7)</f>
        <v>6363475</v>
      </c>
      <c r="BJ7" s="181">
        <f t="shared" ref="BJ7:BJ25" si="4">SUM(AL7:AO7)</f>
        <v>12423695</v>
      </c>
      <c r="BK7" s="181">
        <f t="shared" ref="BK7:BK25" si="5">SUM(AP7:AS7)</f>
        <v>12937659</v>
      </c>
      <c r="BL7" s="181">
        <f t="shared" ref="BL7:BL25" si="6">SUM(AT7:AW7)</f>
        <v>13829699</v>
      </c>
      <c r="BM7" s="308"/>
    </row>
    <row r="8" spans="1:65" s="11" customFormat="1" ht="19.5" customHeight="1" thickBot="1">
      <c r="A8" s="146" t="s">
        <v>80</v>
      </c>
      <c r="B8" s="130">
        <f t="shared" ref="B8:Z8" si="7">B9+B18+B20+B21+B22+B23+B24</f>
        <v>-107515.26805</v>
      </c>
      <c r="C8" s="130">
        <f t="shared" si="7"/>
        <v>-103582.01264</v>
      </c>
      <c r="D8" s="130">
        <f t="shared" si="7"/>
        <v>-98896.481670000008</v>
      </c>
      <c r="E8" s="130">
        <f t="shared" si="7"/>
        <v>-150713.99883000003</v>
      </c>
      <c r="F8" s="130">
        <f t="shared" si="7"/>
        <v>-38200</v>
      </c>
      <c r="G8" s="130">
        <f t="shared" si="7"/>
        <v>-59390</v>
      </c>
      <c r="H8" s="130">
        <f t="shared" si="7"/>
        <v>-104451.04860871859</v>
      </c>
      <c r="I8" s="130">
        <f t="shared" si="7"/>
        <v>99021.515498718567</v>
      </c>
      <c r="J8" s="130">
        <f t="shared" si="7"/>
        <v>-72736</v>
      </c>
      <c r="K8" s="130">
        <f t="shared" si="7"/>
        <v>-97463</v>
      </c>
      <c r="L8" s="130">
        <f t="shared" si="7"/>
        <v>-139900</v>
      </c>
      <c r="M8" s="130">
        <f t="shared" si="7"/>
        <v>240880</v>
      </c>
      <c r="N8" s="130">
        <f t="shared" si="7"/>
        <v>-74350.408777767749</v>
      </c>
      <c r="O8" s="130">
        <f t="shared" si="7"/>
        <v>-89248</v>
      </c>
      <c r="P8" s="130">
        <f t="shared" si="7"/>
        <v>-89207</v>
      </c>
      <c r="Q8" s="130">
        <f t="shared" si="7"/>
        <v>-149452.47793519712</v>
      </c>
      <c r="R8" s="130">
        <f t="shared" si="7"/>
        <v>-102348</v>
      </c>
      <c r="S8" s="130">
        <f t="shared" si="7"/>
        <v>-150827</v>
      </c>
      <c r="T8" s="130">
        <f t="shared" si="7"/>
        <v>-134120</v>
      </c>
      <c r="U8" s="130">
        <f t="shared" si="7"/>
        <v>-202548</v>
      </c>
      <c r="V8" s="130">
        <f t="shared" si="7"/>
        <v>-85836.193146856502</v>
      </c>
      <c r="W8" s="130">
        <f t="shared" si="7"/>
        <v>-245588</v>
      </c>
      <c r="X8" s="130">
        <f t="shared" si="7"/>
        <v>-209467.69812923868</v>
      </c>
      <c r="Y8" s="130">
        <f t="shared" si="7"/>
        <v>283759.67626484518</v>
      </c>
      <c r="Z8" s="130">
        <f t="shared" si="7"/>
        <v>-40597.559991750415</v>
      </c>
      <c r="AA8" s="130">
        <f>AA9+AA18+AA20+AA21+AA22+AA23+AA24</f>
        <v>9523.0016109941498</v>
      </c>
      <c r="AB8" s="130">
        <f>AB9+AB18+AB20+AB21+AB22+AB23+AB24</f>
        <v>-179848.6138384846</v>
      </c>
      <c r="AC8" s="130">
        <f t="shared" ref="AC8" si="8">AC9+AC18+AC20+AC21+AC22+AC23+AC24</f>
        <v>93287.42589769006</v>
      </c>
      <c r="AD8" s="130">
        <f>AD9+AD18+AD20+AD21+AD22+AD23+AD24</f>
        <v>-206611</v>
      </c>
      <c r="AE8" s="130">
        <f t="shared" ref="AE8" si="9">AE9+AE18+AE20+AE21+AE22+AE23+AE24</f>
        <v>-359294</v>
      </c>
      <c r="AF8" s="130">
        <f t="shared" ref="AF8" si="10">AF9+AF18+AF20+AF21+AF22+AF23+AF24</f>
        <v>-315818</v>
      </c>
      <c r="AG8" s="130">
        <f t="shared" ref="AG8:AH8" si="11">AG9+AG18+AG20+AG21+AG22+AG23+AG24</f>
        <v>-521697</v>
      </c>
      <c r="AH8" s="130">
        <f t="shared" si="11"/>
        <v>-404357</v>
      </c>
      <c r="AI8" s="130">
        <f t="shared" ref="AI8" si="12">AI9+AI18+AI20+AI21+AI22+AI23+AI24</f>
        <v>-643281</v>
      </c>
      <c r="AJ8" s="130">
        <f>AJ9+AJ18+AJ20+AJ21+AJ22+AJ23+AJ24</f>
        <v>-443092</v>
      </c>
      <c r="AK8" s="130">
        <f>AK9+AK18+AK20+AK21+AK22+AK23+AK24</f>
        <v>-102276</v>
      </c>
      <c r="AL8" s="130">
        <f>SUM(AL9,AL18:AL24)</f>
        <v>-949493</v>
      </c>
      <c r="AM8" s="130">
        <f t="shared" ref="AM8:AP8" si="13">SUM(AM9,AM18:AM24)</f>
        <v>-630287</v>
      </c>
      <c r="AN8" s="130">
        <f t="shared" si="13"/>
        <v>-1128815</v>
      </c>
      <c r="AO8" s="130">
        <f t="shared" si="13"/>
        <v>-666522</v>
      </c>
      <c r="AP8" s="130">
        <f t="shared" si="13"/>
        <v>-825700</v>
      </c>
      <c r="AQ8" s="130">
        <f t="shared" ref="AQ8:AR8" si="14">SUM(AQ9,AQ18:AQ24)</f>
        <v>-763783</v>
      </c>
      <c r="AR8" s="130">
        <f t="shared" si="14"/>
        <v>-849378</v>
      </c>
      <c r="AS8" s="130">
        <f t="shared" ref="AS8:AT8" si="15">SUM(AS9,AS18:AS24)</f>
        <v>-1059041</v>
      </c>
      <c r="AT8" s="130">
        <f t="shared" si="15"/>
        <v>-1634607</v>
      </c>
      <c r="AU8" s="130">
        <f t="shared" ref="AU8" si="16">SUM(AU9,AU18:AU24)</f>
        <v>-1572535</v>
      </c>
      <c r="AV8" s="130">
        <f t="shared" ref="AV8:AW8" si="17">SUM(AV9,AV18:AV24)</f>
        <v>-1411180</v>
      </c>
      <c r="AW8" s="130">
        <f t="shared" si="17"/>
        <v>-1547172</v>
      </c>
      <c r="AX8" s="130">
        <f t="shared" ref="AX8:AY8" si="18">SUM(AX9,AX18:AX24)</f>
        <v>-1961799</v>
      </c>
      <c r="AY8" s="130">
        <f t="shared" si="18"/>
        <v>-2326384</v>
      </c>
      <c r="AZ8" s="307"/>
      <c r="BA8" s="130">
        <f t="shared" ref="BA8:BG8" si="19">BA9+BA18+BA20+BA21+BA22+BA23+BA24</f>
        <v>-460707.76118999999</v>
      </c>
      <c r="BB8" s="130">
        <f t="shared" si="19"/>
        <v>-103019.53311</v>
      </c>
      <c r="BC8" s="130">
        <f t="shared" si="19"/>
        <v>-69219</v>
      </c>
      <c r="BD8" s="130">
        <f t="shared" si="19"/>
        <v>-402257.88671296492</v>
      </c>
      <c r="BE8" s="130">
        <f t="shared" si="19"/>
        <v>-589843</v>
      </c>
      <c r="BF8" s="130">
        <f t="shared" si="19"/>
        <v>-257132.21501124994</v>
      </c>
      <c r="BG8" s="130">
        <f t="shared" si="19"/>
        <v>-117635.74632155092</v>
      </c>
      <c r="BH8" s="130">
        <f t="shared" si="2"/>
        <v>-1403420</v>
      </c>
      <c r="BI8" s="130">
        <f t="shared" si="3"/>
        <v>-1593006</v>
      </c>
      <c r="BJ8" s="130">
        <f t="shared" si="4"/>
        <v>-3375117</v>
      </c>
      <c r="BK8" s="130">
        <f t="shared" si="5"/>
        <v>-3497902</v>
      </c>
      <c r="BL8" s="130">
        <f t="shared" si="6"/>
        <v>-6165494</v>
      </c>
      <c r="BM8" s="308"/>
    </row>
    <row r="9" spans="1:65" s="17" customFormat="1" ht="19.5" customHeight="1">
      <c r="A9" s="141" t="s">
        <v>50</v>
      </c>
      <c r="B9" s="70">
        <f t="shared" ref="B9:Y9" si="20">SUM(B10:B17)</f>
        <v>-85636</v>
      </c>
      <c r="C9" s="70">
        <f t="shared" si="20"/>
        <v>-49601</v>
      </c>
      <c r="D9" s="70">
        <f t="shared" si="20"/>
        <v>-59071</v>
      </c>
      <c r="E9" s="70">
        <f t="shared" si="20"/>
        <v>-60543.000000000022</v>
      </c>
      <c r="F9" s="70">
        <f t="shared" si="20"/>
        <v>0</v>
      </c>
      <c r="G9" s="70">
        <f t="shared" si="20"/>
        <v>-63834</v>
      </c>
      <c r="H9" s="70">
        <f t="shared" si="20"/>
        <v>-90519</v>
      </c>
      <c r="I9" s="70">
        <f t="shared" si="20"/>
        <v>-51204</v>
      </c>
      <c r="J9" s="70">
        <f t="shared" si="20"/>
        <v>-50376</v>
      </c>
      <c r="K9" s="70">
        <f t="shared" si="20"/>
        <v>-84843</v>
      </c>
      <c r="L9" s="70">
        <f t="shared" si="20"/>
        <v>-96048</v>
      </c>
      <c r="M9" s="70">
        <f t="shared" si="20"/>
        <v>-72549</v>
      </c>
      <c r="N9" s="70">
        <f t="shared" si="20"/>
        <v>-47600</v>
      </c>
      <c r="O9" s="70">
        <f t="shared" si="20"/>
        <v>-89258</v>
      </c>
      <c r="P9" s="70">
        <f t="shared" si="20"/>
        <v>-62241</v>
      </c>
      <c r="Q9" s="70">
        <f t="shared" si="20"/>
        <v>-100197</v>
      </c>
      <c r="R9" s="70">
        <f t="shared" si="20"/>
        <v>-66566</v>
      </c>
      <c r="S9" s="70">
        <f t="shared" si="20"/>
        <v>-104237</v>
      </c>
      <c r="T9" s="70">
        <f t="shared" si="20"/>
        <v>-76864</v>
      </c>
      <c r="U9" s="70">
        <f t="shared" si="20"/>
        <v>-130030</v>
      </c>
      <c r="V9" s="70">
        <f t="shared" si="20"/>
        <v>-51536</v>
      </c>
      <c r="W9" s="70">
        <f t="shared" si="20"/>
        <v>-132169</v>
      </c>
      <c r="X9" s="70">
        <f t="shared" si="20"/>
        <v>-118125</v>
      </c>
      <c r="Y9" s="70">
        <f t="shared" si="20"/>
        <v>-111891</v>
      </c>
      <c r="Z9" s="70">
        <f>SUM(Z10:Z17)</f>
        <v>-84514</v>
      </c>
      <c r="AA9" s="70">
        <f>SUM(AA10:AA17)</f>
        <v>-55855</v>
      </c>
      <c r="AB9" s="70">
        <f>SUM(AB10:AB17)</f>
        <v>-153390</v>
      </c>
      <c r="AC9" s="70">
        <f t="shared" ref="AC9" si="21">SUM(AC10:AC17)</f>
        <v>-219247</v>
      </c>
      <c r="AD9" s="70">
        <f t="shared" ref="AD9" si="22">SUM(AD10:AD17)</f>
        <v>-101329</v>
      </c>
      <c r="AE9" s="70">
        <f t="shared" ref="AE9" si="23">SUM(AE10:AE17)</f>
        <v>-169351</v>
      </c>
      <c r="AF9" s="70">
        <f t="shared" ref="AF9:AG9" si="24">SUM(AF10:AF17)</f>
        <v>-211187</v>
      </c>
      <c r="AG9" s="70">
        <f t="shared" si="24"/>
        <v>-320271</v>
      </c>
      <c r="AH9" s="70">
        <f t="shared" ref="AH9:AI9" si="25">SUM(AH10:AH17)</f>
        <v>-189809</v>
      </c>
      <c r="AI9" s="70">
        <f t="shared" si="25"/>
        <v>-312598</v>
      </c>
      <c r="AJ9" s="70">
        <f>SUM(AJ10:AJ17)</f>
        <v>-241886</v>
      </c>
      <c r="AK9" s="70">
        <f>SUM(AK10:AK17)</f>
        <v>-121896</v>
      </c>
      <c r="AL9" s="70">
        <f>SUM(AL10:AL17)</f>
        <v>-419354</v>
      </c>
      <c r="AM9" s="70">
        <f t="shared" ref="AM9:AP9" si="26">SUM(AM10:AM17)</f>
        <v>-138434</v>
      </c>
      <c r="AN9" s="70">
        <f t="shared" si="26"/>
        <v>-478937</v>
      </c>
      <c r="AO9" s="70">
        <f t="shared" si="26"/>
        <v>-157403</v>
      </c>
      <c r="AP9" s="70">
        <f t="shared" si="26"/>
        <v>-304025</v>
      </c>
      <c r="AQ9" s="70">
        <f t="shared" ref="AQ9:AR9" si="27">SUM(AQ10:AQ17)</f>
        <v>-422773</v>
      </c>
      <c r="AR9" s="70">
        <f t="shared" si="27"/>
        <v>-268919</v>
      </c>
      <c r="AS9" s="70">
        <f t="shared" ref="AS9:AT9" si="28">SUM(AS10:AS17)</f>
        <v>-381104</v>
      </c>
      <c r="AT9" s="70">
        <f t="shared" si="28"/>
        <v>-762354</v>
      </c>
      <c r="AU9" s="70">
        <f t="shared" ref="AU9" si="29">SUM(AU10:AU17)</f>
        <v>-506777</v>
      </c>
      <c r="AV9" s="70">
        <f t="shared" ref="AV9:AW9" si="30">SUM(AV10:AV17)</f>
        <v>-713002</v>
      </c>
      <c r="AW9" s="70">
        <f t="shared" si="30"/>
        <v>-709605</v>
      </c>
      <c r="AX9" s="70">
        <f t="shared" ref="AX9:AY9" si="31">SUM(AX10:AX17)</f>
        <v>-697746</v>
      </c>
      <c r="AY9" s="70">
        <f t="shared" si="31"/>
        <v>-673655</v>
      </c>
      <c r="AZ9" s="307"/>
      <c r="BA9" s="41">
        <f t="shared" ref="BA9:BA15" si="32">SUM(B9:E9)</f>
        <v>-254851.00000000003</v>
      </c>
      <c r="BB9" s="41">
        <f t="shared" ref="BB9:BB15" si="33">SUM(F9:I9)</f>
        <v>-205557</v>
      </c>
      <c r="BC9" s="41">
        <f t="shared" ref="BC9:BC15" si="34">SUM(J9:M9)</f>
        <v>-303816</v>
      </c>
      <c r="BD9" s="41">
        <f t="shared" ref="BD9:BD15" si="35">SUM(N9:Q9)</f>
        <v>-299296</v>
      </c>
      <c r="BE9" s="41">
        <f t="shared" ref="BE9:BE15" si="36">SUM(R9:U9)</f>
        <v>-377697</v>
      </c>
      <c r="BF9" s="41">
        <f t="shared" ref="BF9:BF15" si="37">SUM(V9:Y9)</f>
        <v>-413721</v>
      </c>
      <c r="BG9" s="70">
        <f t="shared" ref="BG9:BG18" si="38">SUM(Z9:AC9)</f>
        <v>-513006</v>
      </c>
      <c r="BH9" s="70">
        <f t="shared" si="2"/>
        <v>-802138</v>
      </c>
      <c r="BI9" s="70">
        <f t="shared" si="3"/>
        <v>-866189</v>
      </c>
      <c r="BJ9" s="70">
        <f t="shared" si="4"/>
        <v>-1194128</v>
      </c>
      <c r="BK9" s="70">
        <f t="shared" si="5"/>
        <v>-1376821</v>
      </c>
      <c r="BL9" s="70">
        <f t="shared" si="6"/>
        <v>-2691738</v>
      </c>
      <c r="BM9" s="308"/>
    </row>
    <row r="10" spans="1:65" s="17" customFormat="1" ht="19.5" customHeight="1">
      <c r="A10" s="142" t="s">
        <v>51</v>
      </c>
      <c r="B10" s="70">
        <f>'IS (R$)'!B11</f>
        <v>-8335</v>
      </c>
      <c r="C10" s="70">
        <f>'IS (R$)'!C11</f>
        <v>-26337</v>
      </c>
      <c r="D10" s="70">
        <f>'IS (R$)'!D11</f>
        <v>-15251</v>
      </c>
      <c r="E10" s="70">
        <f>'IS (R$)'!E11</f>
        <v>-8506.0000000000109</v>
      </c>
      <c r="F10" s="70">
        <f>'IS (R$)'!F11</f>
        <v>0</v>
      </c>
      <c r="G10" s="70">
        <f>'IS (R$)'!G11</f>
        <v>-19965</v>
      </c>
      <c r="H10" s="70">
        <f>'IS (R$)'!H11</f>
        <v>-30880</v>
      </c>
      <c r="I10" s="70">
        <f>'IS (R$)'!I11</f>
        <v>-16184.999999999998</v>
      </c>
      <c r="J10" s="70">
        <f>'IS (R$)'!J11</f>
        <v>-17255</v>
      </c>
      <c r="K10" s="70">
        <f>'IS (R$)'!K11</f>
        <v>-26789</v>
      </c>
      <c r="L10" s="70">
        <f>'IS (R$)'!L11</f>
        <v>-13921</v>
      </c>
      <c r="M10" s="70">
        <f>'IS (R$)'!M11</f>
        <v>-49135</v>
      </c>
      <c r="N10" s="70">
        <f>'IS (R$)'!N11</f>
        <v>-17861</v>
      </c>
      <c r="O10" s="70">
        <f>'IS (R$)'!O11</f>
        <v>-31220</v>
      </c>
      <c r="P10" s="70">
        <f>'IS (R$)'!P11</f>
        <v>-21532</v>
      </c>
      <c r="Q10" s="70">
        <f>'IS (R$)'!Q11</f>
        <v>-34491</v>
      </c>
      <c r="R10" s="70">
        <f>'IS (R$)'!R11</f>
        <v>-22859</v>
      </c>
      <c r="S10" s="70">
        <f>'IS (R$)'!S11</f>
        <v>-38495</v>
      </c>
      <c r="T10" s="70">
        <f>'IS (R$)'!T11</f>
        <v>-32471</v>
      </c>
      <c r="U10" s="70">
        <f>'IS (R$)'!U11</f>
        <v>-52292</v>
      </c>
      <c r="V10" s="70">
        <f>'IS (R$)'!V11</f>
        <v>-11809</v>
      </c>
      <c r="W10" s="70">
        <f>'IS (R$)'!W11</f>
        <v>-12571</v>
      </c>
      <c r="X10" s="70">
        <f>'IS (R$)'!X11</f>
        <v>-4311</v>
      </c>
      <c r="Y10" s="70">
        <f>'IS (R$)'!Y11</f>
        <v>-4821</v>
      </c>
      <c r="Z10" s="70">
        <f>'IS (R$)'!Z11</f>
        <v>-11453</v>
      </c>
      <c r="AA10" s="70">
        <f>'IS (R$)'!AA11</f>
        <v>0</v>
      </c>
      <c r="AB10" s="70">
        <f>'IS (R$)'!AB11</f>
        <v>-1247</v>
      </c>
      <c r="AC10" s="70">
        <f>'IS (R$)'!AC11</f>
        <v>-16042</v>
      </c>
      <c r="AD10" s="70">
        <f>'IS (R$)'!AD11</f>
        <v>-3095</v>
      </c>
      <c r="AE10" s="70">
        <f>+'IS (R$)'!AE11</f>
        <v>0</v>
      </c>
      <c r="AF10" s="70">
        <f>+'IS (R$)'!AF11</f>
        <v>-5627</v>
      </c>
      <c r="AG10" s="70">
        <f>+'IS (R$)'!AG11</f>
        <v>-4495</v>
      </c>
      <c r="AH10" s="70">
        <f>+'IS (R$)'!AH11</f>
        <v>0</v>
      </c>
      <c r="AI10" s="70">
        <f>+'IS (R$)'!AI11</f>
        <v>0</v>
      </c>
      <c r="AJ10" s="70">
        <f>+'IS (R$)'!AJ11</f>
        <v>0</v>
      </c>
      <c r="AK10" s="70">
        <f>+'IS (R$)'!AK11</f>
        <v>0</v>
      </c>
      <c r="AL10" s="70">
        <f>+'IS (R$)'!AL11</f>
        <v>0</v>
      </c>
      <c r="AM10" s="70">
        <f>+'IS (R$)'!AM11</f>
        <v>0</v>
      </c>
      <c r="AN10" s="70">
        <f>+'IS (R$)'!AN11</f>
        <v>0</v>
      </c>
      <c r="AO10" s="70">
        <f>'IS (R$)'!AO11</f>
        <v>0</v>
      </c>
      <c r="AP10" s="70">
        <f>'IS (R$)'!AP11</f>
        <v>0</v>
      </c>
      <c r="AQ10" s="70">
        <f>'IS (R$)'!AQ11</f>
        <v>0</v>
      </c>
      <c r="AR10" s="70">
        <f>'IS (R$)'!AR11</f>
        <v>0</v>
      </c>
      <c r="AS10" s="70">
        <f>'IS (R$)'!AS11</f>
        <v>0</v>
      </c>
      <c r="AT10" s="70">
        <f>'IS (R$)'!AT11</f>
        <v>0</v>
      </c>
      <c r="AU10" s="70">
        <f>'IS (R$)'!AU11</f>
        <v>0</v>
      </c>
      <c r="AV10" s="70">
        <f>'IS (R$)'!AV11</f>
        <v>0</v>
      </c>
      <c r="AW10" s="70">
        <f>'IS (R$)'!AW11</f>
        <v>0</v>
      </c>
      <c r="AX10" s="70">
        <f>'IS (R$)'!AX11</f>
        <v>0</v>
      </c>
      <c r="AY10" s="70">
        <f>'IS (R$)'!AY11</f>
        <v>0</v>
      </c>
      <c r="AZ10" s="307"/>
      <c r="BA10" s="41">
        <f t="shared" si="32"/>
        <v>-58429.000000000015</v>
      </c>
      <c r="BB10" s="41">
        <f t="shared" si="33"/>
        <v>-67030</v>
      </c>
      <c r="BC10" s="41">
        <f t="shared" si="34"/>
        <v>-107100</v>
      </c>
      <c r="BD10" s="41">
        <f t="shared" si="35"/>
        <v>-105104</v>
      </c>
      <c r="BE10" s="41">
        <f t="shared" si="36"/>
        <v>-146117</v>
      </c>
      <c r="BF10" s="41">
        <f t="shared" si="37"/>
        <v>-33512</v>
      </c>
      <c r="BG10" s="70">
        <f t="shared" si="38"/>
        <v>-28742</v>
      </c>
      <c r="BH10" s="70">
        <f t="shared" si="2"/>
        <v>-13217</v>
      </c>
      <c r="BI10" s="70">
        <f t="shared" si="3"/>
        <v>0</v>
      </c>
      <c r="BJ10" s="70">
        <f t="shared" si="4"/>
        <v>0</v>
      </c>
      <c r="BK10" s="70">
        <f t="shared" si="5"/>
        <v>0</v>
      </c>
      <c r="BL10" s="70">
        <f t="shared" si="6"/>
        <v>0</v>
      </c>
      <c r="BM10" s="308"/>
    </row>
    <row r="11" spans="1:65" s="17" customFormat="1" ht="19.5" customHeight="1">
      <c r="A11" s="142" t="s">
        <v>52</v>
      </c>
      <c r="B11" s="70">
        <f>'IS (R$)'!B12</f>
        <v>-9940</v>
      </c>
      <c r="C11" s="70">
        <f>'IS (R$)'!C12</f>
        <v>-15097</v>
      </c>
      <c r="D11" s="70">
        <f>'IS (R$)'!D12</f>
        <v>-8705</v>
      </c>
      <c r="E11" s="70">
        <f>'IS (R$)'!E12</f>
        <v>-8699.0000000000109</v>
      </c>
      <c r="F11" s="70">
        <f>'IS (R$)'!F12</f>
        <v>0</v>
      </c>
      <c r="G11" s="70">
        <f>'IS (R$)'!G12</f>
        <v>-9495</v>
      </c>
      <c r="H11" s="70">
        <f>'IS (R$)'!H12</f>
        <v>-12738</v>
      </c>
      <c r="I11" s="70">
        <f>'IS (R$)'!I12</f>
        <v>-7444</v>
      </c>
      <c r="J11" s="70">
        <f>'IS (R$)'!J12</f>
        <v>-7961</v>
      </c>
      <c r="K11" s="70">
        <f>'IS (R$)'!K12</f>
        <v>-12587</v>
      </c>
      <c r="L11" s="70">
        <f>'IS (R$)'!L12</f>
        <v>-7317</v>
      </c>
      <c r="M11" s="70">
        <f>'IS (R$)'!M12</f>
        <v>-29777</v>
      </c>
      <c r="N11" s="70">
        <f>'IS (R$)'!N12</f>
        <v>-7845</v>
      </c>
      <c r="O11" s="70">
        <f>'IS (R$)'!O12</f>
        <v>-14199</v>
      </c>
      <c r="P11" s="70">
        <f>'IS (R$)'!P12</f>
        <v>-9754</v>
      </c>
      <c r="Q11" s="70">
        <f>'IS (R$)'!Q12</f>
        <v>-14703</v>
      </c>
      <c r="R11" s="70">
        <f>'IS (R$)'!R12</f>
        <v>-9773</v>
      </c>
      <c r="S11" s="70">
        <f>'IS (R$)'!S12</f>
        <v>-14430</v>
      </c>
      <c r="T11" s="70">
        <f>'IS (R$)'!T12</f>
        <v>-10837</v>
      </c>
      <c r="U11" s="70">
        <f>'IS (R$)'!U12</f>
        <v>-16462</v>
      </c>
      <c r="V11" s="70">
        <f>'IS (R$)'!V12</f>
        <v>-6206</v>
      </c>
      <c r="W11" s="70">
        <f>'IS (R$)'!W12</f>
        <v>-16820</v>
      </c>
      <c r="X11" s="70">
        <f>'IS (R$)'!X12</f>
        <v>-28305</v>
      </c>
      <c r="Y11" s="70">
        <f>'IS (R$)'!Y12</f>
        <v>-22031</v>
      </c>
      <c r="Z11" s="70">
        <f>'IS (R$)'!Z12</f>
        <v>-10740</v>
      </c>
      <c r="AA11" s="70">
        <f>'IS (R$)'!AA12</f>
        <v>-12660</v>
      </c>
      <c r="AB11" s="70">
        <f>'IS (R$)'!AB12</f>
        <v>-11835</v>
      </c>
      <c r="AC11" s="70">
        <f>'IS (R$)'!AC12</f>
        <v>-27990</v>
      </c>
      <c r="AD11" s="70">
        <f>'IS (R$)'!AD12</f>
        <v>-10055</v>
      </c>
      <c r="AE11" s="70">
        <f>+'IS (R$)'!AE12</f>
        <v>-18245</v>
      </c>
      <c r="AF11" s="70">
        <f>+'IS (R$)'!AF12</f>
        <v>-14927</v>
      </c>
      <c r="AG11" s="70">
        <f>+'IS (R$)'!AG12</f>
        <v>-35748</v>
      </c>
      <c r="AH11" s="70">
        <f>+'IS (R$)'!AH12</f>
        <v>-32866</v>
      </c>
      <c r="AI11" s="70">
        <f>+'IS (R$)'!AI12</f>
        <v>-14188</v>
      </c>
      <c r="AJ11" s="70">
        <f>+'IS (R$)'!AJ12</f>
        <v>-2115</v>
      </c>
      <c r="AK11" s="70">
        <f>+'IS (R$)'!AK12</f>
        <v>-3637</v>
      </c>
      <c r="AL11" s="70">
        <f>+'IS (R$)'!AL12</f>
        <v>-15619</v>
      </c>
      <c r="AM11" s="70">
        <f>+'IS (R$)'!AM12</f>
        <v>-24666</v>
      </c>
      <c r="AN11" s="70">
        <f>+'IS (R$)'!AN12</f>
        <v>-38802</v>
      </c>
      <c r="AO11" s="70">
        <f>'IS (R$)'!AO12</f>
        <v>-28016</v>
      </c>
      <c r="AP11" s="70">
        <f>'IS (R$)'!AP12</f>
        <v>-15585</v>
      </c>
      <c r="AQ11" s="70">
        <f>'IS (R$)'!AQ12</f>
        <v>-24504</v>
      </c>
      <c r="AR11" s="70">
        <f>'IS (R$)'!AR12</f>
        <v>-65153</v>
      </c>
      <c r="AS11" s="70">
        <f>'IS (R$)'!AS12</f>
        <v>-4273</v>
      </c>
      <c r="AT11" s="70">
        <f>'IS (R$)'!AT12</f>
        <v>-29534</v>
      </c>
      <c r="AU11" s="70">
        <f>'IS (R$)'!AU12</f>
        <v>-50440</v>
      </c>
      <c r="AV11" s="70">
        <f>'IS (R$)'!AV12</f>
        <v>-70419</v>
      </c>
      <c r="AW11" s="70">
        <f>'IS (R$)'!AW12</f>
        <v>-71318</v>
      </c>
      <c r="AX11" s="70">
        <f>'IS (R$)'!AX12</f>
        <v>-7090</v>
      </c>
      <c r="AY11" s="70">
        <f>'IS (R$)'!AY12</f>
        <v>-14</v>
      </c>
      <c r="AZ11" s="307"/>
      <c r="BA11" s="41">
        <f t="shared" si="32"/>
        <v>-42441.000000000015</v>
      </c>
      <c r="BB11" s="41">
        <f t="shared" si="33"/>
        <v>-29677</v>
      </c>
      <c r="BC11" s="41">
        <f t="shared" si="34"/>
        <v>-57642</v>
      </c>
      <c r="BD11" s="41">
        <f t="shared" si="35"/>
        <v>-46501</v>
      </c>
      <c r="BE11" s="41">
        <f t="shared" si="36"/>
        <v>-51502</v>
      </c>
      <c r="BF11" s="41">
        <f t="shared" si="37"/>
        <v>-73362</v>
      </c>
      <c r="BG11" s="70">
        <f t="shared" si="38"/>
        <v>-63225</v>
      </c>
      <c r="BH11" s="70">
        <f t="shared" si="2"/>
        <v>-78975</v>
      </c>
      <c r="BI11" s="70">
        <f t="shared" si="3"/>
        <v>-52806</v>
      </c>
      <c r="BJ11" s="70">
        <f t="shared" si="4"/>
        <v>-107103</v>
      </c>
      <c r="BK11" s="70">
        <f t="shared" si="5"/>
        <v>-109515</v>
      </c>
      <c r="BL11" s="70">
        <f t="shared" si="6"/>
        <v>-221711</v>
      </c>
      <c r="BM11" s="308"/>
    </row>
    <row r="12" spans="1:65" s="17" customFormat="1" ht="19.5" customHeight="1">
      <c r="A12" s="142" t="s">
        <v>53</v>
      </c>
      <c r="B12" s="70">
        <f>'IS (R$)'!B13</f>
        <v>-5997</v>
      </c>
      <c r="C12" s="70">
        <f>'IS (R$)'!C13</f>
        <v>-6994</v>
      </c>
      <c r="D12" s="70">
        <f>'IS (R$)'!D13</f>
        <v>-10201</v>
      </c>
      <c r="E12" s="70">
        <f>'IS (R$)'!E13</f>
        <v>-5866</v>
      </c>
      <c r="F12" s="70">
        <f>'IS (R$)'!F13</f>
        <v>0</v>
      </c>
      <c r="G12" s="70">
        <f>'IS (R$)'!G13</f>
        <v>-12415</v>
      </c>
      <c r="H12" s="70">
        <f>'IS (R$)'!H13</f>
        <v>-16388</v>
      </c>
      <c r="I12" s="70">
        <f>'IS (R$)'!I13</f>
        <v>-10606</v>
      </c>
      <c r="J12" s="70">
        <f>'IS (R$)'!J13</f>
        <v>-10403</v>
      </c>
      <c r="K12" s="70">
        <f>'IS (R$)'!K13</f>
        <v>-15037</v>
      </c>
      <c r="L12" s="70">
        <f>'IS (R$)'!L13</f>
        <v>-7745</v>
      </c>
      <c r="M12" s="70">
        <f>'IS (R$)'!M13</f>
        <v>-27455</v>
      </c>
      <c r="N12" s="70">
        <f>'IS (R$)'!N13</f>
        <v>-8944</v>
      </c>
      <c r="O12" s="70">
        <f>'IS (R$)'!O13</f>
        <v>-16254</v>
      </c>
      <c r="P12" s="70">
        <f>'IS (R$)'!P13</f>
        <v>-9691</v>
      </c>
      <c r="Q12" s="70">
        <f>'IS (R$)'!Q13</f>
        <v>-20262</v>
      </c>
      <c r="R12" s="70">
        <f>'IS (R$)'!R13</f>
        <v>-13625</v>
      </c>
      <c r="S12" s="70">
        <f>'IS (R$)'!S13</f>
        <v>-23507</v>
      </c>
      <c r="T12" s="70">
        <f>'IS (R$)'!T13</f>
        <v>-13094</v>
      </c>
      <c r="U12" s="70">
        <f>'IS (R$)'!U13</f>
        <v>-27015</v>
      </c>
      <c r="V12" s="70">
        <f>'IS (R$)'!V13</f>
        <v>-13713</v>
      </c>
      <c r="W12" s="70">
        <f>'IS (R$)'!W13</f>
        <v>-31104</v>
      </c>
      <c r="X12" s="70">
        <f>'IS (R$)'!X13</f>
        <v>-22531</v>
      </c>
      <c r="Y12" s="70">
        <f>'IS (R$)'!Y13</f>
        <v>-34451</v>
      </c>
      <c r="Z12" s="70">
        <f>'IS (R$)'!Z13</f>
        <v>-18080</v>
      </c>
      <c r="AA12" s="70">
        <f>'IS (R$)'!AA13</f>
        <v>-15505</v>
      </c>
      <c r="AB12" s="70">
        <f>'IS (R$)'!AB13</f>
        <v>-33385</v>
      </c>
      <c r="AC12" s="70">
        <f>'IS (R$)'!AC13</f>
        <v>-48086</v>
      </c>
      <c r="AD12" s="70">
        <f>'IS (R$)'!AD13</f>
        <v>-24090</v>
      </c>
      <c r="AE12" s="70">
        <f>+'IS (R$)'!AE13</f>
        <v>-46916</v>
      </c>
      <c r="AF12" s="70">
        <f>+'IS (R$)'!AF13</f>
        <v>-47131</v>
      </c>
      <c r="AG12" s="70">
        <f>+'IS (R$)'!AG13</f>
        <v>-63587</v>
      </c>
      <c r="AH12" s="70">
        <f>+'IS (R$)'!AH13</f>
        <v>-19961</v>
      </c>
      <c r="AI12" s="70">
        <f>+'IS (R$)'!AI13</f>
        <v>-50250</v>
      </c>
      <c r="AJ12" s="70">
        <f>+'IS (R$)'!AJ13</f>
        <v>-61733</v>
      </c>
      <c r="AK12" s="70">
        <f>+'IS (R$)'!AK13</f>
        <v>-37318</v>
      </c>
      <c r="AL12" s="70">
        <f>+'IS (R$)'!AL13</f>
        <v>-115327</v>
      </c>
      <c r="AM12" s="70">
        <f>+'IS (R$)'!AM13</f>
        <v>-61407</v>
      </c>
      <c r="AN12" s="70">
        <f>+'IS (R$)'!AN13</f>
        <v>-103221</v>
      </c>
      <c r="AO12" s="70">
        <f>'IS (R$)'!AO13</f>
        <v>-120711</v>
      </c>
      <c r="AP12" s="70">
        <f>'IS (R$)'!AP13</f>
        <v>-126125</v>
      </c>
      <c r="AQ12" s="70">
        <f>'IS (R$)'!AQ13</f>
        <v>-128548</v>
      </c>
      <c r="AR12" s="70">
        <f>'IS (R$)'!AR13</f>
        <v>-155557</v>
      </c>
      <c r="AS12" s="70">
        <f>'IS (R$)'!AS13</f>
        <v>-154304</v>
      </c>
      <c r="AT12" s="70">
        <f>'IS (R$)'!AT13</f>
        <v>-190517</v>
      </c>
      <c r="AU12" s="70">
        <f>'IS (R$)'!AU13</f>
        <v>-109742</v>
      </c>
      <c r="AV12" s="70">
        <f>'IS (R$)'!AV13</f>
        <v>-133725</v>
      </c>
      <c r="AW12" s="70">
        <f>'IS (R$)'!AW13</f>
        <v>-191202</v>
      </c>
      <c r="AX12" s="70">
        <f>'IS (R$)'!AX13</f>
        <v>-252093</v>
      </c>
      <c r="AY12" s="70">
        <f>'IS (R$)'!AY13</f>
        <v>-297021</v>
      </c>
      <c r="AZ12" s="307"/>
      <c r="BA12" s="41">
        <f t="shared" si="32"/>
        <v>-29058</v>
      </c>
      <c r="BB12" s="41">
        <f t="shared" si="33"/>
        <v>-39409</v>
      </c>
      <c r="BC12" s="41">
        <f t="shared" si="34"/>
        <v>-60640</v>
      </c>
      <c r="BD12" s="41">
        <f t="shared" si="35"/>
        <v>-55151</v>
      </c>
      <c r="BE12" s="41">
        <f t="shared" si="36"/>
        <v>-77241</v>
      </c>
      <c r="BF12" s="41">
        <f t="shared" si="37"/>
        <v>-101799</v>
      </c>
      <c r="BG12" s="70">
        <f t="shared" si="38"/>
        <v>-115056</v>
      </c>
      <c r="BH12" s="70">
        <f t="shared" si="2"/>
        <v>-181724</v>
      </c>
      <c r="BI12" s="70">
        <f t="shared" si="3"/>
        <v>-169262</v>
      </c>
      <c r="BJ12" s="70">
        <f t="shared" si="4"/>
        <v>-400666</v>
      </c>
      <c r="BK12" s="70">
        <f t="shared" si="5"/>
        <v>-564534</v>
      </c>
      <c r="BL12" s="70">
        <f t="shared" si="6"/>
        <v>-625186</v>
      </c>
      <c r="BM12" s="308"/>
    </row>
    <row r="13" spans="1:65" s="17" customFormat="1" ht="19.5" customHeight="1">
      <c r="A13" s="142" t="s">
        <v>54</v>
      </c>
      <c r="B13" s="70">
        <f>'IS (R$)'!B14</f>
        <v>-7501</v>
      </c>
      <c r="C13" s="70">
        <f>'IS (R$)'!C14</f>
        <v>-2586</v>
      </c>
      <c r="D13" s="70">
        <f>'IS (R$)'!D14</f>
        <v>-21270</v>
      </c>
      <c r="E13" s="70">
        <f>'IS (R$)'!E14</f>
        <v>5279</v>
      </c>
      <c r="F13" s="70">
        <f>'IS (R$)'!F14</f>
        <v>0</v>
      </c>
      <c r="G13" s="70">
        <f>'IS (R$)'!G14</f>
        <v>-11777</v>
      </c>
      <c r="H13" s="70">
        <f>'IS (R$)'!H14</f>
        <v>-14615</v>
      </c>
      <c r="I13" s="70">
        <f>'IS (R$)'!I14</f>
        <v>-6010</v>
      </c>
      <c r="J13" s="70">
        <f>'IS (R$)'!J14</f>
        <v>-7128</v>
      </c>
      <c r="K13" s="70">
        <f>'IS (R$)'!K14</f>
        <v>-8918</v>
      </c>
      <c r="L13" s="70">
        <f>'IS (R$)'!L14</f>
        <v>-4724</v>
      </c>
      <c r="M13" s="70">
        <f>'IS (R$)'!M14</f>
        <v>-23003</v>
      </c>
      <c r="N13" s="70">
        <f>'IS (R$)'!N14</f>
        <v>-7311</v>
      </c>
      <c r="O13" s="70">
        <f>'IS (R$)'!O14</f>
        <v>-17889</v>
      </c>
      <c r="P13" s="70">
        <f>'IS (R$)'!P14</f>
        <v>-13053</v>
      </c>
      <c r="Q13" s="70">
        <f>'IS (R$)'!Q14</f>
        <v>-19889</v>
      </c>
      <c r="R13" s="70">
        <f>'IS (R$)'!R14</f>
        <v>-11212</v>
      </c>
      <c r="S13" s="70">
        <f>'IS (R$)'!S14</f>
        <v>-15382</v>
      </c>
      <c r="T13" s="70">
        <f>'IS (R$)'!T14</f>
        <v>-11337</v>
      </c>
      <c r="U13" s="70">
        <f>'IS (R$)'!U14</f>
        <v>-18761</v>
      </c>
      <c r="V13" s="70">
        <f>'IS (R$)'!V14</f>
        <v>-12757</v>
      </c>
      <c r="W13" s="70">
        <f>'IS (R$)'!W14</f>
        <v>-32931</v>
      </c>
      <c r="X13" s="70">
        <f>'IS (R$)'!X14</f>
        <v>-21168</v>
      </c>
      <c r="Y13" s="70">
        <f>'IS (R$)'!Y14</f>
        <v>-38232</v>
      </c>
      <c r="Z13" s="70">
        <f>'IS (R$)'!Z14</f>
        <v>-22994</v>
      </c>
      <c r="AA13" s="70">
        <f>'IS (R$)'!AA14</f>
        <v>-13911</v>
      </c>
      <c r="AB13" s="70">
        <f>'IS (R$)'!AB14</f>
        <v>-23365</v>
      </c>
      <c r="AC13" s="70">
        <f>'IS (R$)'!AC14</f>
        <v>-47808</v>
      </c>
      <c r="AD13" s="70">
        <f>'IS (R$)'!AD14</f>
        <v>-24508</v>
      </c>
      <c r="AE13" s="70">
        <f>+'IS (R$)'!AE14</f>
        <v>-54518</v>
      </c>
      <c r="AF13" s="70">
        <f>+'IS (R$)'!AF14</f>
        <v>-68405</v>
      </c>
      <c r="AG13" s="70">
        <f>+'IS (R$)'!AG14</f>
        <v>-65074</v>
      </c>
      <c r="AH13" s="70">
        <f>+'IS (R$)'!AH14</f>
        <v>-52835</v>
      </c>
      <c r="AI13" s="70">
        <f>+'IS (R$)'!AI14</f>
        <v>-44103</v>
      </c>
      <c r="AJ13" s="70">
        <f>+'IS (R$)'!AJ14</f>
        <v>-44347</v>
      </c>
      <c r="AK13" s="70">
        <f>+'IS (R$)'!AK14</f>
        <v>-28240</v>
      </c>
      <c r="AL13" s="70">
        <f>+'IS (R$)'!AL14</f>
        <v>-108922</v>
      </c>
      <c r="AM13" s="70">
        <f>+'IS (R$)'!AM14</f>
        <v>-12954</v>
      </c>
      <c r="AN13" s="70">
        <f>+'IS (R$)'!AN14</f>
        <v>-82597</v>
      </c>
      <c r="AO13" s="70">
        <f>'IS (R$)'!AO14</f>
        <v>-96242</v>
      </c>
      <c r="AP13" s="70">
        <f>'IS (R$)'!AP14</f>
        <v>-54860</v>
      </c>
      <c r="AQ13" s="70">
        <f>'IS (R$)'!AQ14</f>
        <v>-76619</v>
      </c>
      <c r="AR13" s="70">
        <f>'IS (R$)'!AR14</f>
        <v>-76907</v>
      </c>
      <c r="AS13" s="70">
        <f>'IS (R$)'!AS14</f>
        <v>-127501</v>
      </c>
      <c r="AT13" s="70">
        <f>'IS (R$)'!AT14</f>
        <v>-341133</v>
      </c>
      <c r="AU13" s="70">
        <f>'IS (R$)'!AU14</f>
        <v>-211161</v>
      </c>
      <c r="AV13" s="70">
        <f>'IS (R$)'!AV14</f>
        <v>-295432</v>
      </c>
      <c r="AW13" s="70">
        <f>'IS (R$)'!AW14</f>
        <v>-215663</v>
      </c>
      <c r="AX13" s="70">
        <f>'IS (R$)'!AX14</f>
        <v>-157763</v>
      </c>
      <c r="AY13" s="70">
        <f>'IS (R$)'!AY14</f>
        <v>-249709</v>
      </c>
      <c r="AZ13" s="307"/>
      <c r="BA13" s="41">
        <f t="shared" si="32"/>
        <v>-26078</v>
      </c>
      <c r="BB13" s="41">
        <f t="shared" si="33"/>
        <v>-32402</v>
      </c>
      <c r="BC13" s="41">
        <f t="shared" si="34"/>
        <v>-43773</v>
      </c>
      <c r="BD13" s="41">
        <f t="shared" si="35"/>
        <v>-58142</v>
      </c>
      <c r="BE13" s="41">
        <f t="shared" si="36"/>
        <v>-56692</v>
      </c>
      <c r="BF13" s="41">
        <f t="shared" si="37"/>
        <v>-105088</v>
      </c>
      <c r="BG13" s="70">
        <f t="shared" si="38"/>
        <v>-108078</v>
      </c>
      <c r="BH13" s="70">
        <f t="shared" si="2"/>
        <v>-212505</v>
      </c>
      <c r="BI13" s="70">
        <f t="shared" si="3"/>
        <v>-169525</v>
      </c>
      <c r="BJ13" s="70">
        <f t="shared" si="4"/>
        <v>-300715</v>
      </c>
      <c r="BK13" s="70">
        <f t="shared" si="5"/>
        <v>-335887</v>
      </c>
      <c r="BL13" s="70">
        <f t="shared" si="6"/>
        <v>-1063389</v>
      </c>
      <c r="BM13" s="308"/>
    </row>
    <row r="14" spans="1:65" s="17" customFormat="1" ht="19.5" customHeight="1">
      <c r="A14" s="142" t="s">
        <v>55</v>
      </c>
      <c r="B14" s="70">
        <f>'IS (R$)'!B15</f>
        <v>-2458</v>
      </c>
      <c r="C14" s="70">
        <f>'IS (R$)'!C15</f>
        <v>-2233</v>
      </c>
      <c r="D14" s="70">
        <f>'IS (R$)'!D15</f>
        <v>-2109</v>
      </c>
      <c r="E14" s="70">
        <f>'IS (R$)'!E15</f>
        <v>-6403</v>
      </c>
      <c r="F14" s="70">
        <f>'IS (R$)'!F15</f>
        <v>0</v>
      </c>
      <c r="G14" s="70">
        <f>'IS (R$)'!G15</f>
        <v>-2747</v>
      </c>
      <c r="H14" s="70">
        <f>'IS (R$)'!H15</f>
        <v>-3440</v>
      </c>
      <c r="I14" s="70">
        <f>'IS (R$)'!I15</f>
        <v>-2283</v>
      </c>
      <c r="J14" s="70">
        <f>'IS (R$)'!J15</f>
        <v>-1873</v>
      </c>
      <c r="K14" s="70">
        <f>'IS (R$)'!K15</f>
        <v>-3066</v>
      </c>
      <c r="L14" s="70">
        <f>'IS (R$)'!L15</f>
        <v>-1670</v>
      </c>
      <c r="M14" s="70">
        <f>'IS (R$)'!M15</f>
        <v>-4638</v>
      </c>
      <c r="N14" s="70">
        <f>'IS (R$)'!N15</f>
        <v>-2052</v>
      </c>
      <c r="O14" s="70">
        <f>'IS (R$)'!O15</f>
        <v>-3074</v>
      </c>
      <c r="P14" s="70">
        <f>'IS (R$)'!P15</f>
        <v>-2706</v>
      </c>
      <c r="Q14" s="70">
        <f>'IS (R$)'!Q15</f>
        <v>-3862</v>
      </c>
      <c r="R14" s="70">
        <f>'IS (R$)'!R15</f>
        <v>-2545</v>
      </c>
      <c r="S14" s="70">
        <f>'IS (R$)'!S15</f>
        <v>-3712</v>
      </c>
      <c r="T14" s="70">
        <f>'IS (R$)'!T15</f>
        <v>-2359</v>
      </c>
      <c r="U14" s="70">
        <f>'IS (R$)'!U15</f>
        <v>-5410</v>
      </c>
      <c r="V14" s="70">
        <f>'IS (R$)'!V15</f>
        <v>-3046</v>
      </c>
      <c r="W14" s="70">
        <f>'IS (R$)'!W15</f>
        <v>-22022</v>
      </c>
      <c r="X14" s="70">
        <f>'IS (R$)'!X15</f>
        <v>-12390</v>
      </c>
      <c r="Y14" s="70">
        <f>'IS (R$)'!Y15</f>
        <v>-18525</v>
      </c>
      <c r="Z14" s="70">
        <f>'IS (R$)'!Z15</f>
        <v>-13297</v>
      </c>
      <c r="AA14" s="70">
        <f>'IS (R$)'!AA15</f>
        <v>-12644</v>
      </c>
      <c r="AB14" s="70">
        <f>'IS (R$)'!AB15</f>
        <v>-14174</v>
      </c>
      <c r="AC14" s="70">
        <f>'IS (R$)'!AC15</f>
        <v>-29700</v>
      </c>
      <c r="AD14" s="70">
        <f>'IS (R$)'!AD15</f>
        <v>-13671</v>
      </c>
      <c r="AE14" s="70">
        <f>+'IS (R$)'!AE15</f>
        <v>-27625</v>
      </c>
      <c r="AF14" s="70">
        <f>+'IS (R$)'!AF15</f>
        <v>-35036</v>
      </c>
      <c r="AG14" s="70">
        <f>+'IS (R$)'!AG15</f>
        <v>-54220</v>
      </c>
      <c r="AH14" s="70">
        <f>+'IS (R$)'!AH15</f>
        <v>-34373</v>
      </c>
      <c r="AI14" s="70">
        <f>+'IS (R$)'!AI15</f>
        <v>-41619</v>
      </c>
      <c r="AJ14" s="70">
        <f>+'IS (R$)'!AJ15</f>
        <v>-35372</v>
      </c>
      <c r="AK14" s="70">
        <f>+'IS (R$)'!AK15</f>
        <v>-20295</v>
      </c>
      <c r="AL14" s="70">
        <f>+'IS (R$)'!AL15</f>
        <v>-64951</v>
      </c>
      <c r="AM14" s="70">
        <f>+'IS (R$)'!AM15</f>
        <v>-67340</v>
      </c>
      <c r="AN14" s="70">
        <f>+'IS (R$)'!AN15</f>
        <v>-56932</v>
      </c>
      <c r="AO14" s="70">
        <f>'IS (R$)'!AO15</f>
        <v>-50413</v>
      </c>
      <c r="AP14" s="70">
        <f>'IS (R$)'!AP15</f>
        <v>-56978</v>
      </c>
      <c r="AQ14" s="70">
        <f>'IS (R$)'!AQ15</f>
        <v>-67582</v>
      </c>
      <c r="AR14" s="70">
        <f>'IS (R$)'!AR15</f>
        <v>-71256</v>
      </c>
      <c r="AS14" s="70">
        <f>'IS (R$)'!AS15</f>
        <v>-59611</v>
      </c>
      <c r="AT14" s="70">
        <f>'IS (R$)'!AT15</f>
        <v>-135040</v>
      </c>
      <c r="AU14" s="70">
        <f>'IS (R$)'!AU15</f>
        <v>-109492</v>
      </c>
      <c r="AV14" s="70">
        <f>'IS (R$)'!AV15</f>
        <v>-151522</v>
      </c>
      <c r="AW14" s="70">
        <f>'IS (R$)'!AW15</f>
        <v>-157488</v>
      </c>
      <c r="AX14" s="70">
        <f>'IS (R$)'!AX15</f>
        <v>-203644</v>
      </c>
      <c r="AY14" s="70">
        <f>'IS (R$)'!AY15</f>
        <v>-59533</v>
      </c>
      <c r="AZ14" s="307"/>
      <c r="BA14" s="41">
        <f t="shared" si="32"/>
        <v>-13203</v>
      </c>
      <c r="BB14" s="41">
        <f t="shared" si="33"/>
        <v>-8470</v>
      </c>
      <c r="BC14" s="41">
        <f t="shared" si="34"/>
        <v>-11247</v>
      </c>
      <c r="BD14" s="41">
        <f t="shared" si="35"/>
        <v>-11694</v>
      </c>
      <c r="BE14" s="41">
        <f t="shared" si="36"/>
        <v>-14026</v>
      </c>
      <c r="BF14" s="41">
        <f t="shared" si="37"/>
        <v>-55983</v>
      </c>
      <c r="BG14" s="70">
        <f t="shared" si="38"/>
        <v>-69815</v>
      </c>
      <c r="BH14" s="70">
        <f t="shared" si="2"/>
        <v>-130552</v>
      </c>
      <c r="BI14" s="70">
        <f t="shared" si="3"/>
        <v>-131659</v>
      </c>
      <c r="BJ14" s="70">
        <f t="shared" si="4"/>
        <v>-239636</v>
      </c>
      <c r="BK14" s="70">
        <f t="shared" si="5"/>
        <v>-255427</v>
      </c>
      <c r="BL14" s="70">
        <f t="shared" si="6"/>
        <v>-553542</v>
      </c>
      <c r="BM14" s="308"/>
    </row>
    <row r="15" spans="1:65" s="17" customFormat="1" ht="19.5" customHeight="1">
      <c r="A15" s="142" t="s">
        <v>56</v>
      </c>
      <c r="B15" s="70">
        <f>'IS (R$)'!B16</f>
        <v>-3516</v>
      </c>
      <c r="C15" s="70">
        <f>'IS (R$)'!C16</f>
        <v>-1879</v>
      </c>
      <c r="D15" s="70">
        <f>'IS (R$)'!D16</f>
        <v>-3483</v>
      </c>
      <c r="E15" s="70">
        <f>'IS (R$)'!E16</f>
        <v>-3626</v>
      </c>
      <c r="F15" s="70">
        <f>'IS (R$)'!F16</f>
        <v>0</v>
      </c>
      <c r="G15" s="70">
        <f>'IS (R$)'!G16</f>
        <v>-4512</v>
      </c>
      <c r="H15" s="70">
        <f>'IS (R$)'!H16</f>
        <v>-6087</v>
      </c>
      <c r="I15" s="70">
        <f>'IS (R$)'!I16</f>
        <v>-3251</v>
      </c>
      <c r="J15" s="70">
        <f>'IS (R$)'!J16</f>
        <v>-3594</v>
      </c>
      <c r="K15" s="70">
        <f>'IS (R$)'!K16</f>
        <v>-3834</v>
      </c>
      <c r="L15" s="70">
        <f>'IS (R$)'!L16</f>
        <v>-2081</v>
      </c>
      <c r="M15" s="70">
        <f>'IS (R$)'!M16</f>
        <v>-4110</v>
      </c>
      <c r="N15" s="70">
        <f>'IS (R$)'!N16</f>
        <v>-1885</v>
      </c>
      <c r="O15" s="70">
        <f>'IS (R$)'!O16</f>
        <v>-3982</v>
      </c>
      <c r="P15" s="70">
        <f>'IS (R$)'!P16</f>
        <v>-2547</v>
      </c>
      <c r="Q15" s="70">
        <f>'IS (R$)'!Q16</f>
        <v>-2963</v>
      </c>
      <c r="R15" s="70">
        <f>'IS (R$)'!R16</f>
        <v>-2209</v>
      </c>
      <c r="S15" s="70">
        <f>'IS (R$)'!S16</f>
        <v>-3487</v>
      </c>
      <c r="T15" s="70">
        <f>'IS (R$)'!T16</f>
        <v>-2615</v>
      </c>
      <c r="U15" s="70">
        <f>'IS (R$)'!U16</f>
        <v>-4255</v>
      </c>
      <c r="V15" s="70">
        <f>'IS (R$)'!V16</f>
        <v>-1674</v>
      </c>
      <c r="W15" s="70">
        <f>'IS (R$)'!W16</f>
        <v>-3000</v>
      </c>
      <c r="X15" s="70">
        <f>'IS (R$)'!X16</f>
        <v>-1913</v>
      </c>
      <c r="Y15" s="70">
        <f>'IS (R$)'!Y16</f>
        <v>-3546</v>
      </c>
      <c r="Z15" s="70">
        <f>'IS (R$)'!Z16</f>
        <v>-1194</v>
      </c>
      <c r="AA15" s="70">
        <f>'IS (R$)'!AA16</f>
        <v>-1040</v>
      </c>
      <c r="AB15" s="70">
        <f>'IS (R$)'!AB16</f>
        <v>-1823</v>
      </c>
      <c r="AC15" s="70">
        <f>'IS (R$)'!AC16</f>
        <v>-3287</v>
      </c>
      <c r="AD15" s="70">
        <f>'IS (R$)'!AD16</f>
        <v>-2053</v>
      </c>
      <c r="AE15" s="70">
        <f>+'IS (R$)'!AE16</f>
        <v>-2420</v>
      </c>
      <c r="AF15" s="70">
        <f>+'IS (R$)'!AF16</f>
        <v>-2490</v>
      </c>
      <c r="AG15" s="70">
        <f>+'IS (R$)'!AG16</f>
        <v>-2177</v>
      </c>
      <c r="AH15" s="70">
        <f>+'IS (R$)'!AH16</f>
        <v>0</v>
      </c>
      <c r="AI15" s="70">
        <f>+'IS (R$)'!AI16</f>
        <v>0</v>
      </c>
      <c r="AJ15" s="70">
        <f>+'IS (R$)'!AJ16</f>
        <v>0</v>
      </c>
      <c r="AK15" s="70">
        <f>+'IS (R$)'!AK16</f>
        <v>0</v>
      </c>
      <c r="AL15" s="70">
        <f>+'IS (R$)'!AL16</f>
        <v>0</v>
      </c>
      <c r="AM15" s="70">
        <f>+'IS (R$)'!AM16</f>
        <v>0</v>
      </c>
      <c r="AN15" s="70">
        <f>+'IS (R$)'!AN16</f>
        <v>0</v>
      </c>
      <c r="AO15" s="70">
        <f>'IS (R$)'!AO16</f>
        <v>0</v>
      </c>
      <c r="AP15" s="70">
        <f>'IS (R$)'!AP16</f>
        <v>0</v>
      </c>
      <c r="AQ15" s="70">
        <f>'IS (R$)'!AQ16</f>
        <v>0</v>
      </c>
      <c r="AR15" s="70">
        <f>'IS (R$)'!AR16</f>
        <v>0</v>
      </c>
      <c r="AS15" s="70">
        <f>'IS (R$)'!AS16</f>
        <v>0</v>
      </c>
      <c r="AT15" s="70">
        <f>'IS (R$)'!AT16</f>
        <v>0</v>
      </c>
      <c r="AU15" s="70">
        <f>'IS (R$)'!AU16</f>
        <v>0</v>
      </c>
      <c r="AV15" s="70">
        <f>'IS (R$)'!AV16</f>
        <v>0</v>
      </c>
      <c r="AW15" s="70">
        <f>'IS (R$)'!AW16</f>
        <v>0</v>
      </c>
      <c r="AX15" s="70">
        <f>'IS (R$)'!AX16</f>
        <v>0</v>
      </c>
      <c r="AY15" s="70">
        <f>'IS (R$)'!AY16</f>
        <v>0</v>
      </c>
      <c r="AZ15" s="307"/>
      <c r="BA15" s="41">
        <f t="shared" si="32"/>
        <v>-12504</v>
      </c>
      <c r="BB15" s="41">
        <f t="shared" si="33"/>
        <v>-13850</v>
      </c>
      <c r="BC15" s="41">
        <f t="shared" si="34"/>
        <v>-13619</v>
      </c>
      <c r="BD15" s="41">
        <f t="shared" si="35"/>
        <v>-11377</v>
      </c>
      <c r="BE15" s="41">
        <f t="shared" si="36"/>
        <v>-12566</v>
      </c>
      <c r="BF15" s="41">
        <f t="shared" si="37"/>
        <v>-10133</v>
      </c>
      <c r="BG15" s="70">
        <f t="shared" si="38"/>
        <v>-7344</v>
      </c>
      <c r="BH15" s="70">
        <f t="shared" si="2"/>
        <v>-9140</v>
      </c>
      <c r="BI15" s="70">
        <f t="shared" si="3"/>
        <v>0</v>
      </c>
      <c r="BJ15" s="70">
        <f t="shared" si="4"/>
        <v>0</v>
      </c>
      <c r="BK15" s="70">
        <f t="shared" si="5"/>
        <v>0</v>
      </c>
      <c r="BL15" s="70">
        <f t="shared" si="6"/>
        <v>0</v>
      </c>
      <c r="BM15" s="308"/>
    </row>
    <row r="16" spans="1:65" s="17" customFormat="1" ht="19.5" customHeight="1">
      <c r="A16" s="142" t="s">
        <v>57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v>-21451</v>
      </c>
      <c r="AE16" s="70">
        <f>+'IS (R$)'!AE17</f>
        <v>0</v>
      </c>
      <c r="AF16" s="70">
        <f>+'IS (R$)'!AF17</f>
        <v>0</v>
      </c>
      <c r="AG16" s="70">
        <f>+'IS (R$)'!AG17</f>
        <v>-98919</v>
      </c>
      <c r="AH16" s="70">
        <f>+'IS (R$)'!AH17</f>
        <v>0</v>
      </c>
      <c r="AI16" s="70">
        <f>+'IS (R$)'!AI17</f>
        <v>-105607</v>
      </c>
      <c r="AJ16" s="70">
        <f>+'IS (R$)'!AJ17</f>
        <v>-91815</v>
      </c>
      <c r="AK16" s="70">
        <f>+'IS (R$)'!AK17</f>
        <v>-121785</v>
      </c>
      <c r="AL16" s="70">
        <f>+'IS (R$)'!AL17</f>
        <v>-56365</v>
      </c>
      <c r="AM16" s="70">
        <f>+'IS (R$)'!AM17</f>
        <v>17407</v>
      </c>
      <c r="AN16" s="70">
        <f>+'IS (R$)'!AN17</f>
        <v>0</v>
      </c>
      <c r="AO16" s="70">
        <f>'IS (R$)'!AO17</f>
        <v>523</v>
      </c>
      <c r="AP16" s="70">
        <f>'IS (R$)'!AP17</f>
        <v>0</v>
      </c>
      <c r="AQ16" s="70">
        <f>'IS (R$)'!AQ17</f>
        <v>0</v>
      </c>
      <c r="AR16" s="70">
        <f>'IS (R$)'!AR17</f>
        <v>0</v>
      </c>
      <c r="AS16" s="70">
        <f>'IS (R$)'!AS17</f>
        <v>0</v>
      </c>
      <c r="AT16" s="70">
        <f>'IS (R$)'!AT17</f>
        <v>0</v>
      </c>
      <c r="AU16" s="70">
        <f>'IS (R$)'!AU17</f>
        <v>0</v>
      </c>
      <c r="AV16" s="70">
        <f>'IS (R$)'!AV17</f>
        <v>0</v>
      </c>
      <c r="AW16" s="70">
        <f>'IS (R$)'!AW17</f>
        <v>0</v>
      </c>
      <c r="AX16" s="70">
        <f>'IS (R$)'!AX17</f>
        <v>0</v>
      </c>
      <c r="AY16" s="70">
        <f>'IS (R$)'!AY17</f>
        <v>0</v>
      </c>
      <c r="AZ16" s="307"/>
      <c r="BA16" s="41"/>
      <c r="BB16" s="41"/>
      <c r="BC16" s="41"/>
      <c r="BD16" s="41"/>
      <c r="BE16" s="41"/>
      <c r="BF16" s="41"/>
      <c r="BG16" s="70">
        <f t="shared" si="38"/>
        <v>-72165</v>
      </c>
      <c r="BH16" s="70">
        <f t="shared" si="2"/>
        <v>-120370</v>
      </c>
      <c r="BI16" s="70">
        <f t="shared" si="3"/>
        <v>-319207</v>
      </c>
      <c r="BJ16" s="70">
        <f t="shared" si="4"/>
        <v>-38435</v>
      </c>
      <c r="BK16" s="70">
        <f t="shared" si="5"/>
        <v>0</v>
      </c>
      <c r="BL16" s="70">
        <f t="shared" si="6"/>
        <v>0</v>
      </c>
      <c r="BM16" s="308"/>
    </row>
    <row r="17" spans="1:65" s="17" customFormat="1" ht="19.5" customHeight="1">
      <c r="A17" s="142" t="s">
        <v>58</v>
      </c>
      <c r="B17" s="70">
        <f>'IS (R$)'!B18</f>
        <v>-47889</v>
      </c>
      <c r="C17" s="70">
        <f>'IS (R$)'!C18</f>
        <v>5525</v>
      </c>
      <c r="D17" s="70">
        <f>'IS (R$)'!D18</f>
        <v>1948</v>
      </c>
      <c r="E17" s="70">
        <f>'IS (R$)'!E18</f>
        <v>-32722</v>
      </c>
      <c r="F17" s="70">
        <f>'IS (R$)'!F18</f>
        <v>0</v>
      </c>
      <c r="G17" s="70">
        <f>'IS (R$)'!G18</f>
        <v>-2923</v>
      </c>
      <c r="H17" s="70">
        <f>'IS (R$)'!H18</f>
        <v>-6371</v>
      </c>
      <c r="I17" s="70">
        <f>'IS (R$)'!I18</f>
        <v>-5425</v>
      </c>
      <c r="J17" s="70">
        <f>'IS (R$)'!J18</f>
        <v>-2162</v>
      </c>
      <c r="K17" s="70">
        <f>'IS (R$)'!K18</f>
        <v>-14612</v>
      </c>
      <c r="L17" s="70">
        <f>'IS (R$)'!L18</f>
        <v>-58590</v>
      </c>
      <c r="M17" s="70">
        <f>'IS (R$)'!M18</f>
        <v>65569</v>
      </c>
      <c r="N17" s="70">
        <f>'IS (R$)'!N18</f>
        <v>-1702</v>
      </c>
      <c r="O17" s="70">
        <f>'IS (R$)'!O18</f>
        <v>-2640</v>
      </c>
      <c r="P17" s="70">
        <f>'IS (R$)'!P18</f>
        <v>-2958</v>
      </c>
      <c r="Q17" s="70">
        <f>'IS (R$)'!Q18</f>
        <v>-4027</v>
      </c>
      <c r="R17" s="70">
        <f>'IS (R$)'!R18</f>
        <v>-4343</v>
      </c>
      <c r="S17" s="70">
        <f>'IS (R$)'!S18</f>
        <v>-5224</v>
      </c>
      <c r="T17" s="70">
        <f>'IS (R$)'!T18</f>
        <v>-4151</v>
      </c>
      <c r="U17" s="70">
        <f>'IS (R$)'!U18</f>
        <v>-5835</v>
      </c>
      <c r="V17" s="70">
        <f>'IS (R$)'!V18</f>
        <v>-2331</v>
      </c>
      <c r="W17" s="70">
        <f>'IS (R$)'!W18</f>
        <v>-13721</v>
      </c>
      <c r="X17" s="70">
        <f>'IS (R$)'!X18</f>
        <v>-27507</v>
      </c>
      <c r="Y17" s="70">
        <f>'IS (R$)'!Y18</f>
        <v>9715</v>
      </c>
      <c r="Z17" s="70">
        <f>'IS (R$)'!Z18</f>
        <v>-6756</v>
      </c>
      <c r="AA17" s="70">
        <f>'IS (R$)'!AA18</f>
        <v>-95</v>
      </c>
      <c r="AB17" s="70">
        <v>-5061</v>
      </c>
      <c r="AC17" s="70">
        <v>-36669</v>
      </c>
      <c r="AD17" s="70">
        <v>-2406</v>
      </c>
      <c r="AE17" s="70">
        <f>+'IS (R$)'!AE18</f>
        <v>-19627</v>
      </c>
      <c r="AF17" s="70">
        <f>+'IS (R$)'!AF18</f>
        <v>-37571</v>
      </c>
      <c r="AG17" s="70">
        <f>+'IS (R$)'!AG18</f>
        <v>3949</v>
      </c>
      <c r="AH17" s="70">
        <f>+'IS (R$)'!AH18</f>
        <v>-49774</v>
      </c>
      <c r="AI17" s="70">
        <f>+'IS (R$)'!AI18</f>
        <v>-56831</v>
      </c>
      <c r="AJ17" s="70">
        <f>+'IS (R$)'!AJ18</f>
        <v>-6504</v>
      </c>
      <c r="AK17" s="70">
        <f>+'IS (R$)'!AK18</f>
        <v>89379</v>
      </c>
      <c r="AL17" s="70">
        <f>+'IS (R$)'!AL18</f>
        <v>-58170</v>
      </c>
      <c r="AM17" s="70">
        <f>+'IS (R$)'!AM18</f>
        <v>10526</v>
      </c>
      <c r="AN17" s="70">
        <f>+'IS (R$)'!AN18</f>
        <v>-197385</v>
      </c>
      <c r="AO17" s="70">
        <f>'IS (R$)'!AO18</f>
        <v>137456</v>
      </c>
      <c r="AP17" s="70">
        <f>'IS (R$)'!AP18</f>
        <v>-50477</v>
      </c>
      <c r="AQ17" s="70">
        <f>'IS (R$)'!AQ18</f>
        <v>-125520</v>
      </c>
      <c r="AR17" s="70">
        <f>'IS (R$)'!AR18</f>
        <v>99954</v>
      </c>
      <c r="AS17" s="70">
        <f>'IS (R$)'!AS18</f>
        <v>-35415</v>
      </c>
      <c r="AT17" s="70">
        <f>'IS (R$)'!AT18</f>
        <v>-66130</v>
      </c>
      <c r="AU17" s="70">
        <f>'IS (R$)'!AU18</f>
        <v>-25942</v>
      </c>
      <c r="AV17" s="70">
        <f>'IS (R$)'!AV18</f>
        <v>-61904</v>
      </c>
      <c r="AW17" s="70">
        <f>'IS (R$)'!AW18</f>
        <v>-73934</v>
      </c>
      <c r="AX17" s="70">
        <f>'IS (R$)'!AX18</f>
        <v>-77156</v>
      </c>
      <c r="AY17" s="70">
        <f>'IS (R$)'!AY18</f>
        <v>-67378</v>
      </c>
      <c r="AZ17" s="307"/>
      <c r="BA17" s="41">
        <f>SUM(B17:E17)</f>
        <v>-73138</v>
      </c>
      <c r="BB17" s="41">
        <f>SUM(F17:I17)</f>
        <v>-14719</v>
      </c>
      <c r="BC17" s="41">
        <f>SUM(J17:M17)</f>
        <v>-9795</v>
      </c>
      <c r="BD17" s="41">
        <f>SUM(N17:Q17)</f>
        <v>-11327</v>
      </c>
      <c r="BE17" s="41">
        <f>SUM(R17:U17)</f>
        <v>-19553</v>
      </c>
      <c r="BF17" s="41">
        <f>SUM(V17:Y17)</f>
        <v>-33844</v>
      </c>
      <c r="BG17" s="70">
        <f t="shared" si="38"/>
        <v>-48581</v>
      </c>
      <c r="BH17" s="70">
        <f t="shared" si="2"/>
        <v>-55655</v>
      </c>
      <c r="BI17" s="70">
        <f t="shared" si="3"/>
        <v>-23730</v>
      </c>
      <c r="BJ17" s="70">
        <f t="shared" si="4"/>
        <v>-107573</v>
      </c>
      <c r="BK17" s="70">
        <f t="shared" si="5"/>
        <v>-111458</v>
      </c>
      <c r="BL17" s="70">
        <f t="shared" si="6"/>
        <v>-227910</v>
      </c>
      <c r="BM17" s="308"/>
    </row>
    <row r="18" spans="1:65" s="17" customFormat="1" ht="19.5" customHeight="1">
      <c r="A18" s="141" t="s">
        <v>60</v>
      </c>
      <c r="B18" s="70">
        <f>'IS (R$)'!B20</f>
        <v>-11658.268050000001</v>
      </c>
      <c r="C18" s="70">
        <f>'IS (R$)'!C20</f>
        <v>-12455.012639999999</v>
      </c>
      <c r="D18" s="70">
        <f>'IS (R$)'!D20</f>
        <v>-12962.481670000001</v>
      </c>
      <c r="E18" s="70">
        <f>'IS (R$)'!E20</f>
        <v>-9893.2376399999976</v>
      </c>
      <c r="F18" s="70">
        <f>'IS (R$)'!F20</f>
        <v>0</v>
      </c>
      <c r="G18" s="70">
        <f>'IS (R$)'!G20</f>
        <v>-9580</v>
      </c>
      <c r="H18" s="70">
        <f>'IS (R$)'!H20</f>
        <v>-11832</v>
      </c>
      <c r="I18" s="70">
        <f>'IS (R$)'!I20</f>
        <v>-4847</v>
      </c>
      <c r="J18" s="70">
        <f>'IS (R$)'!J20</f>
        <v>-4947</v>
      </c>
      <c r="K18" s="70">
        <f>'IS (R$)'!K20</f>
        <v>-7868</v>
      </c>
      <c r="L18" s="70">
        <f>'IS (R$)'!L20</f>
        <v>-13081</v>
      </c>
      <c r="M18" s="70">
        <f>'IS (R$)'!M20</f>
        <v>-9555</v>
      </c>
      <c r="N18" s="70">
        <f>'IS (R$)'!N20</f>
        <v>-7997</v>
      </c>
      <c r="O18" s="70">
        <f>'IS (R$)'!O20</f>
        <v>-15029</v>
      </c>
      <c r="P18" s="70">
        <f>'IS (R$)'!P20</f>
        <v>-10028</v>
      </c>
      <c r="Q18" s="70">
        <f>'IS (R$)'!Q20</f>
        <v>-15535</v>
      </c>
      <c r="R18" s="70">
        <f>'IS (R$)'!R20</f>
        <v>-10762</v>
      </c>
      <c r="S18" s="70">
        <f>'IS (R$)'!S20</f>
        <v>-16732</v>
      </c>
      <c r="T18" s="70">
        <f>'IS (R$)'!T20</f>
        <v>-18352</v>
      </c>
      <c r="U18" s="70">
        <f>'IS (R$)'!U20</f>
        <v>-30814</v>
      </c>
      <c r="V18" s="70">
        <f>'IS (R$)'!V20</f>
        <v>-14233</v>
      </c>
      <c r="W18" s="70">
        <f>'IS (R$)'!W20</f>
        <v>-48719</v>
      </c>
      <c r="X18" s="70">
        <f>'IS (R$)'!X20</f>
        <v>-32514</v>
      </c>
      <c r="Y18" s="70">
        <f>'IS (R$)'!Y20</f>
        <v>-48314</v>
      </c>
      <c r="Z18" s="70">
        <f>'IS (R$)'!Z20</f>
        <v>-32228</v>
      </c>
      <c r="AA18" s="70">
        <f>'IS (R$)'!AA20</f>
        <v>-21131</v>
      </c>
      <c r="AB18" s="70">
        <f>'IS (R$)'!AB20</f>
        <v>-24376</v>
      </c>
      <c r="AC18" s="70">
        <f>'IS (R$)'!AC20</f>
        <v>-74819.270225658169</v>
      </c>
      <c r="AD18" s="70">
        <f>'IS (R$)'!AD20</f>
        <v>-33244</v>
      </c>
      <c r="AE18" s="70">
        <f>+'IS (R$)'!AE20</f>
        <v>-82201</v>
      </c>
      <c r="AF18" s="70">
        <f>+'IS (R$)'!AF20</f>
        <v>-78575</v>
      </c>
      <c r="AG18" s="70">
        <f>+'IS (R$)'!AG20</f>
        <v>-127073</v>
      </c>
      <c r="AH18" s="70">
        <f>+'IS (R$)'!AH20</f>
        <v>-120009</v>
      </c>
      <c r="AI18" s="70">
        <f>+'IS (R$)'!AI20</f>
        <v>-157418</v>
      </c>
      <c r="AJ18" s="70">
        <f>+'IS (R$)'!AJ20</f>
        <v>-144460</v>
      </c>
      <c r="AK18" s="70">
        <f>+'IS (R$)'!AK20</f>
        <v>-76498</v>
      </c>
      <c r="AL18" s="70">
        <f>+'IS (R$)'!AL20</f>
        <v>-238251</v>
      </c>
      <c r="AM18" s="70">
        <f>+'IS (R$)'!AM20</f>
        <v>-225599</v>
      </c>
      <c r="AN18" s="70">
        <f>+'IS (R$)'!AN20</f>
        <v>-318526</v>
      </c>
      <c r="AO18" s="70">
        <f>'IS (R$)'!AO20</f>
        <v>-352238</v>
      </c>
      <c r="AP18" s="70">
        <f>'IS (R$)'!AP20</f>
        <v>-291647</v>
      </c>
      <c r="AQ18" s="70">
        <f>'IS (R$)'!AQ20</f>
        <v>-315157</v>
      </c>
      <c r="AR18" s="70">
        <f>'IS (R$)'!AR20</f>
        <v>-320347</v>
      </c>
      <c r="AS18" s="70">
        <f>'IS (R$)'!AS20</f>
        <v>-305669</v>
      </c>
      <c r="AT18" s="70">
        <f>'IS (R$)'!AT20</f>
        <v>-515294</v>
      </c>
      <c r="AU18" s="70">
        <f>'IS (R$)'!AU20</f>
        <v>-306824</v>
      </c>
      <c r="AV18" s="70">
        <f>'IS (R$)'!AV20</f>
        <v>-345720</v>
      </c>
      <c r="AW18" s="70">
        <f>'IS (R$)'!AW20</f>
        <v>-365814</v>
      </c>
      <c r="AX18" s="70">
        <f>'IS (R$)'!AX20</f>
        <v>-368066</v>
      </c>
      <c r="AY18" s="70">
        <f>'IS (R$)'!AY20</f>
        <v>-906795</v>
      </c>
      <c r="AZ18" s="307"/>
      <c r="BA18" s="41">
        <f>SUM(B18:E18)</f>
        <v>-46969</v>
      </c>
      <c r="BB18" s="41">
        <f>SUM(F18:I18)</f>
        <v>-26259</v>
      </c>
      <c r="BC18" s="41">
        <f>SUM(J18:M18)</f>
        <v>-35451</v>
      </c>
      <c r="BD18" s="41">
        <f>SUM(N18:Q18)</f>
        <v>-48589</v>
      </c>
      <c r="BE18" s="41">
        <f>SUM(R18:U18)</f>
        <v>-76660</v>
      </c>
      <c r="BF18" s="41">
        <f>SUM(V18:Y18)</f>
        <v>-143780</v>
      </c>
      <c r="BG18" s="70">
        <f t="shared" si="38"/>
        <v>-152554.27022565817</v>
      </c>
      <c r="BH18" s="70">
        <f t="shared" si="2"/>
        <v>-321093</v>
      </c>
      <c r="BI18" s="70">
        <f t="shared" si="3"/>
        <v>-498385</v>
      </c>
      <c r="BJ18" s="70">
        <f t="shared" si="4"/>
        <v>-1134614</v>
      </c>
      <c r="BK18" s="70">
        <f t="shared" si="5"/>
        <v>-1232820</v>
      </c>
      <c r="BL18" s="70">
        <f t="shared" si="6"/>
        <v>-1533652</v>
      </c>
      <c r="BM18" s="308"/>
    </row>
    <row r="19" spans="1:65" s="17" customFormat="1" ht="19.5" customHeight="1">
      <c r="A19" s="141" t="s">
        <v>63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(R$)'!AL24</f>
        <v>-96642</v>
      </c>
      <c r="AM19" s="70">
        <f>'IS (R$)'!AM24</f>
        <v>-165166</v>
      </c>
      <c r="AN19" s="70">
        <f>'IS (R$)'!AN24</f>
        <v>-161869</v>
      </c>
      <c r="AO19" s="70">
        <f>'IS (R$)'!AO24</f>
        <v>-256846</v>
      </c>
      <c r="AP19" s="70">
        <f>'IS (R$)'!AP24</f>
        <v>-166734</v>
      </c>
      <c r="AQ19" s="70">
        <f>'IS (R$)'!AQ24</f>
        <v>-171853</v>
      </c>
      <c r="AR19" s="70">
        <f>'IS (R$)'!AR24</f>
        <v>-87670</v>
      </c>
      <c r="AS19" s="70">
        <f>'IS (R$)'!AS24</f>
        <v>-239110</v>
      </c>
      <c r="AT19" s="70">
        <f>'IS (R$)'!AT24</f>
        <v>-74149</v>
      </c>
      <c r="AU19" s="70">
        <f>'IS (R$)'!AU24</f>
        <v>-355386</v>
      </c>
      <c r="AV19" s="70">
        <f>'IS (R$)'!AV24</f>
        <v>-152225</v>
      </c>
      <c r="AW19" s="70">
        <f>'IS (R$)'!AW24</f>
        <v>-203814</v>
      </c>
      <c r="AX19" s="70">
        <f>'IS (R$)'!AX24</f>
        <v>-577034</v>
      </c>
      <c r="AY19" s="70">
        <f>'IS (R$)'!AY24</f>
        <v>-419494</v>
      </c>
      <c r="AZ19" s="307"/>
      <c r="BA19" s="41"/>
      <c r="BB19" s="41"/>
      <c r="BC19" s="41"/>
      <c r="BD19" s="41"/>
      <c r="BE19" s="41"/>
      <c r="BF19" s="41"/>
      <c r="BG19" s="70"/>
      <c r="BH19" s="70"/>
      <c r="BI19" s="70"/>
      <c r="BJ19" s="70">
        <f t="shared" si="4"/>
        <v>-680523</v>
      </c>
      <c r="BK19" s="70">
        <f t="shared" si="5"/>
        <v>-665367</v>
      </c>
      <c r="BL19" s="70">
        <f t="shared" si="6"/>
        <v>-785574</v>
      </c>
      <c r="BM19" s="308"/>
    </row>
    <row r="20" spans="1:65" s="17" customFormat="1" ht="19.5" customHeight="1">
      <c r="A20" s="141" t="s">
        <v>81</v>
      </c>
      <c r="B20" s="70">
        <f>SUM('IS (R$)'!B25:B28)</f>
        <v>-32237</v>
      </c>
      <c r="C20" s="70">
        <f>SUM('IS (R$)'!C25:C28)</f>
        <v>-39485</v>
      </c>
      <c r="D20" s="70">
        <f>SUM('IS (R$)'!D25:D28)</f>
        <v>-30939</v>
      </c>
      <c r="E20" s="70">
        <f>SUM('IS (R$)'!E25:E28)</f>
        <v>-56713</v>
      </c>
      <c r="F20" s="70">
        <f>SUM('IS (R$)'!F25:F28)</f>
        <v>-19031</v>
      </c>
      <c r="G20" s="70">
        <f>SUM('IS (R$)'!G25:G28)</f>
        <v>-18175</v>
      </c>
      <c r="H20" s="70">
        <f>SUM('IS (R$)'!H25:H28)</f>
        <v>-14259.575649903567</v>
      </c>
      <c r="I20" s="70">
        <f>SUM('IS (R$)'!I25:I28)</f>
        <v>-24067.424350096429</v>
      </c>
      <c r="J20" s="70">
        <f>SUM('IS (R$)'!J25:J28)</f>
        <v>-14893</v>
      </c>
      <c r="K20" s="70">
        <f>SUM('IS (R$)'!K25:K28)</f>
        <v>-14724</v>
      </c>
      <c r="L20" s="70">
        <f>SUM('IS (R$)'!L25:L28)</f>
        <v>-13938</v>
      </c>
      <c r="M20" s="70">
        <f>SUM('IS (R$)'!M25:M28)</f>
        <v>-29718</v>
      </c>
      <c r="N20" s="70">
        <f>SUM('IS (R$)'!N25:N28)</f>
        <v>-18434.925213476177</v>
      </c>
      <c r="O20" s="70">
        <f>SUM('IS (R$)'!O25:O28)</f>
        <v>-27175</v>
      </c>
      <c r="P20" s="70">
        <f>SUM('IS (R$)'!P25:P28)</f>
        <v>-13547</v>
      </c>
      <c r="Q20" s="70">
        <f>SUM('IS (R$)'!Q25:Q28)</f>
        <v>-33038.999999999971</v>
      </c>
      <c r="R20" s="70">
        <f>SUM('IS (R$)'!R25:R28)</f>
        <v>-27749</v>
      </c>
      <c r="S20" s="70">
        <f>SUM('IS (R$)'!S25:S28)</f>
        <v>-24242</v>
      </c>
      <c r="T20" s="70">
        <f>SUM('IS (R$)'!T25:T28)</f>
        <v>-20072</v>
      </c>
      <c r="U20" s="70">
        <f>SUM('IS (R$)'!U25:U28)</f>
        <v>-38031</v>
      </c>
      <c r="V20" s="70">
        <f>SUM('IS (R$)'!V25:V28)</f>
        <v>-19676.099901694502</v>
      </c>
      <c r="W20" s="70">
        <f>SUM('IS (R$)'!W25:W28)</f>
        <v>-28976</v>
      </c>
      <c r="X20" s="70">
        <f>SUM('IS (R$)'!X25:X28)</f>
        <v>-29097.021139238685</v>
      </c>
      <c r="Y20" s="70">
        <f>SUM('IS (R$)'!Y25:Y28)</f>
        <v>-30756.878959066817</v>
      </c>
      <c r="Z20" s="70">
        <f>SUM('IS (R$)'!Z25:Z28)</f>
        <v>-36662.008815316367</v>
      </c>
      <c r="AA20" s="70">
        <f>SUM('IS (R$)'!AA25:AA28)</f>
        <v>-25810.397406733922</v>
      </c>
      <c r="AB20" s="70">
        <f>SUM('IS (R$)'!AB25:AB28)</f>
        <v>-27537.320012494485</v>
      </c>
      <c r="AC20" s="70">
        <f>SUM('IS (R$)'!AC25:AC28)</f>
        <v>-38042.403511358927</v>
      </c>
      <c r="AD20" s="70">
        <f>SUM('IS (R$)'!AD25:AD28)</f>
        <v>-46029</v>
      </c>
      <c r="AE20" s="70">
        <f>SUM('IS (R$)'!AE25:AE28)</f>
        <v>-48133</v>
      </c>
      <c r="AF20" s="70">
        <f>SUM('IS (R$)'!AF25:AF28)</f>
        <v>-41600</v>
      </c>
      <c r="AG20" s="70">
        <f>SUM('IS (R$)'!AG25:AG28)</f>
        <v>-62210</v>
      </c>
      <c r="AH20" s="70">
        <f>SUM('IS (R$)'!AH25:AH28)</f>
        <v>-64071</v>
      </c>
      <c r="AI20" s="70">
        <f>SUM('IS (R$)'!AI25:AI28)</f>
        <v>-58331</v>
      </c>
      <c r="AJ20" s="70">
        <f>SUM('IS (R$)'!AJ25:AJ28)</f>
        <v>-57674</v>
      </c>
      <c r="AK20" s="70">
        <f>SUM('IS (R$)'!AK25:AK28)</f>
        <v>-63196</v>
      </c>
      <c r="AL20" s="70">
        <f>SUM('IS (R$)'!AL25:AL28)</f>
        <v>-57558</v>
      </c>
      <c r="AM20" s="70">
        <f>SUM('IS (R$)'!AM25:AM28)</f>
        <v>-76971</v>
      </c>
      <c r="AN20" s="70">
        <f>SUM('IS (R$)'!AN25:AN28)</f>
        <v>-106245</v>
      </c>
      <c r="AO20" s="70">
        <f>SUM('IS (R$)'!AO25:AO28)</f>
        <v>-160285</v>
      </c>
      <c r="AP20" s="70">
        <f>SUM('IS (R$)'!AP25:AP28)</f>
        <v>-78994</v>
      </c>
      <c r="AQ20" s="70">
        <f>SUM('IS (R$)'!AQ25:AQ28)</f>
        <v>-152639</v>
      </c>
      <c r="AR20" s="70">
        <f>SUM('IS (R$)'!AR25:AR28)</f>
        <v>-119901</v>
      </c>
      <c r="AS20" s="70">
        <f>SUM('IS (R$)'!AS25:AS28)</f>
        <v>-113543</v>
      </c>
      <c r="AT20" s="70">
        <f>SUM('IS (R$)'!AT25:AT28)</f>
        <v>-197654</v>
      </c>
      <c r="AU20" s="70">
        <f>SUM('IS (R$)'!AU25:AU28)</f>
        <v>-146551</v>
      </c>
      <c r="AV20" s="70">
        <f>SUM('IS (R$)'!AV25:AV28)</f>
        <v>-150088</v>
      </c>
      <c r="AW20" s="70">
        <f>SUM('IS (R$)'!AW25:AW28)</f>
        <v>-155738</v>
      </c>
      <c r="AX20" s="70">
        <f>SUM('IS (R$)'!AX25:AX28)</f>
        <v>-147377</v>
      </c>
      <c r="AY20" s="70">
        <f>SUM('IS (R$)'!AY25:AY28)</f>
        <v>-154280</v>
      </c>
      <c r="AZ20" s="307"/>
      <c r="BA20" s="41">
        <f>SUM(B20:E20)</f>
        <v>-159374</v>
      </c>
      <c r="BB20" s="41">
        <f>SUM(F20:I20)</f>
        <v>-75533</v>
      </c>
      <c r="BC20" s="41">
        <f>SUM(J20:M20)</f>
        <v>-73273</v>
      </c>
      <c r="BD20" s="41">
        <f>SUM(N20:Q20)</f>
        <v>-92195.925213476148</v>
      </c>
      <c r="BE20" s="41">
        <f>SUM(R20:U20)</f>
        <v>-110094</v>
      </c>
      <c r="BF20" s="41">
        <f>SUM(V20:Y20)</f>
        <v>-108506</v>
      </c>
      <c r="BG20" s="70">
        <f>SUM(Z20:AC20)</f>
        <v>-128052.12974590369</v>
      </c>
      <c r="BH20" s="70">
        <f t="shared" ref="BH20:BH25" si="39">SUM(AD20:AG20)</f>
        <v>-197972</v>
      </c>
      <c r="BI20" s="70">
        <f t="shared" ref="BI20:BI25" si="40">SUM(AH20:AK20)</f>
        <v>-243272</v>
      </c>
      <c r="BJ20" s="70">
        <f t="shared" si="4"/>
        <v>-401059</v>
      </c>
      <c r="BK20" s="70">
        <f t="shared" si="5"/>
        <v>-465077</v>
      </c>
      <c r="BL20" s="70">
        <f t="shared" si="6"/>
        <v>-650031</v>
      </c>
      <c r="BM20" s="308"/>
    </row>
    <row r="21" spans="1:65" s="17" customFormat="1" ht="19.5" customHeight="1">
      <c r="A21" s="141" t="s">
        <v>68</v>
      </c>
      <c r="B21" s="70">
        <f>'IS (R$)'!B29</f>
        <v>-638</v>
      </c>
      <c r="C21" s="70">
        <f>'IS (R$)'!C29</f>
        <v>-2342</v>
      </c>
      <c r="D21" s="70">
        <f>'IS (R$)'!D29</f>
        <v>-358</v>
      </c>
      <c r="E21" s="70">
        <f>'IS (R$)'!E29</f>
        <v>-984</v>
      </c>
      <c r="F21" s="70">
        <f>'IS (R$)'!F29</f>
        <v>-601</v>
      </c>
      <c r="G21" s="70">
        <f>'IS (R$)'!G29</f>
        <v>-825</v>
      </c>
      <c r="H21" s="70">
        <f>'IS (R$)'!H29</f>
        <v>-915.77284881499997</v>
      </c>
      <c r="I21" s="70">
        <f>'IS (R$)'!I29</f>
        <v>-3284.2271511849999</v>
      </c>
      <c r="J21" s="70">
        <f>'IS (R$)'!J29</f>
        <v>-352</v>
      </c>
      <c r="K21" s="70">
        <f>'IS (R$)'!K29</f>
        <v>-293</v>
      </c>
      <c r="L21" s="70">
        <f>'IS (R$)'!L29</f>
        <v>-500</v>
      </c>
      <c r="M21" s="70">
        <f>'IS (R$)'!M29</f>
        <v>-243</v>
      </c>
      <c r="N21" s="70">
        <f>'IS (R$)'!N29</f>
        <v>-424.12118687222284</v>
      </c>
      <c r="O21" s="70">
        <f>'IS (R$)'!O29</f>
        <v>-110</v>
      </c>
      <c r="P21" s="70">
        <f>'IS (R$)'!P29</f>
        <v>-1543</v>
      </c>
      <c r="Q21" s="70">
        <f>'IS (R$)'!Q29</f>
        <v>-1566.9999999999998</v>
      </c>
      <c r="R21" s="70">
        <f>'IS (R$)'!R29</f>
        <v>-804</v>
      </c>
      <c r="S21" s="70">
        <f>'IS (R$)'!S29</f>
        <v>-1496</v>
      </c>
      <c r="T21" s="70">
        <f>'IS (R$)'!T29</f>
        <v>-2929</v>
      </c>
      <c r="U21" s="70">
        <f>'IS (R$)'!U29</f>
        <v>-318</v>
      </c>
      <c r="V21" s="70">
        <f>'IS (R$)'!V29</f>
        <v>-699.09324516200013</v>
      </c>
      <c r="W21" s="70">
        <f>'IS (R$)'!W29</f>
        <v>-3151</v>
      </c>
      <c r="X21" s="70">
        <f>'IS (R$)'!X29</f>
        <v>509</v>
      </c>
      <c r="Y21" s="70">
        <f>'IS (R$)'!Y29</f>
        <v>-7788.9067548379999</v>
      </c>
      <c r="Z21" s="70">
        <f>'IS (R$)'!Z29</f>
        <v>-2296.4067473329997</v>
      </c>
      <c r="AA21" s="70">
        <f>'IS (R$)'!AA29</f>
        <v>-1502.5465086040003</v>
      </c>
      <c r="AB21" s="70">
        <f>'IS (R$)'!AB29</f>
        <v>-7753</v>
      </c>
      <c r="AC21" s="70">
        <f>'IS (R$)'!AC29</f>
        <v>-4825.8695236170006</v>
      </c>
      <c r="AD21" s="70">
        <f>'IS (R$)'!AD29</f>
        <v>-5759</v>
      </c>
      <c r="AE21" s="70">
        <f>'IS (R$)'!AE29</f>
        <v>2578</v>
      </c>
      <c r="AF21" s="70">
        <f>'IS (R$)'!AF29</f>
        <v>-270</v>
      </c>
      <c r="AG21" s="70">
        <f>'IS (R$)'!AG29</f>
        <v>-3244</v>
      </c>
      <c r="AH21" s="70">
        <f>'IS (R$)'!AH29</f>
        <v>-3463</v>
      </c>
      <c r="AI21" s="70">
        <f>'IS (R$)'!AI29</f>
        <v>-5742</v>
      </c>
      <c r="AJ21" s="70">
        <f>'IS (R$)'!AJ29</f>
        <v>-2310</v>
      </c>
      <c r="AK21" s="70">
        <f>'IS (R$)'!AK29</f>
        <v>-215</v>
      </c>
      <c r="AL21" s="70">
        <f>'IS (R$)'!AL29</f>
        <v>-4738</v>
      </c>
      <c r="AM21" s="70">
        <f>'IS (R$)'!AM29</f>
        <v>-6839</v>
      </c>
      <c r="AN21" s="70">
        <f>'IS (R$)'!AN29</f>
        <v>-10089</v>
      </c>
      <c r="AO21" s="70">
        <f>'IS (R$)'!AO29</f>
        <v>-7478</v>
      </c>
      <c r="AP21" s="70">
        <f>'IS (R$)'!AP29</f>
        <v>-14323</v>
      </c>
      <c r="AQ21" s="70">
        <f>'IS (R$)'!AQ29</f>
        <v>-10595</v>
      </c>
      <c r="AR21" s="70">
        <f>'IS (R$)'!AR29</f>
        <v>-2781</v>
      </c>
      <c r="AS21" s="70">
        <f>'IS (R$)'!AS29</f>
        <v>-3975</v>
      </c>
      <c r="AT21" s="70">
        <f>'IS (R$)'!AT29</f>
        <v>-1801</v>
      </c>
      <c r="AU21" s="70">
        <f>'IS (R$)'!AU29</f>
        <v>14408</v>
      </c>
      <c r="AV21" s="70">
        <f>'IS (R$)'!AV29</f>
        <v>-5528</v>
      </c>
      <c r="AW21" s="70">
        <f>'IS (R$)'!AW29</f>
        <v>-19710</v>
      </c>
      <c r="AX21" s="70">
        <f>'IS (R$)'!AX29</f>
        <v>-12400</v>
      </c>
      <c r="AY21" s="70">
        <f>'IS (R$)'!AY29</f>
        <v>-13820</v>
      </c>
      <c r="AZ21" s="307"/>
      <c r="BA21" s="41">
        <f>SUM(B21:E21)</f>
        <v>-4322</v>
      </c>
      <c r="BB21" s="41">
        <f>SUM(F21:I21)</f>
        <v>-5626</v>
      </c>
      <c r="BC21" s="41">
        <f>SUM(J21:M21)</f>
        <v>-1388</v>
      </c>
      <c r="BD21" s="41">
        <f>SUM(N21:Q21)</f>
        <v>-3644.121186872223</v>
      </c>
      <c r="BE21" s="41">
        <f>SUM(R21:U21)</f>
        <v>-5547</v>
      </c>
      <c r="BF21" s="41">
        <f>SUM(V21:Y21)</f>
        <v>-11130</v>
      </c>
      <c r="BG21" s="70">
        <f>SUM(Z21:AC21)</f>
        <v>-16377.822779554001</v>
      </c>
      <c r="BH21" s="70">
        <f t="shared" si="39"/>
        <v>-6695</v>
      </c>
      <c r="BI21" s="70">
        <f t="shared" si="40"/>
        <v>-11730</v>
      </c>
      <c r="BJ21" s="70">
        <f t="shared" si="4"/>
        <v>-29144</v>
      </c>
      <c r="BK21" s="70">
        <f t="shared" si="5"/>
        <v>-31674</v>
      </c>
      <c r="BL21" s="70">
        <f t="shared" si="6"/>
        <v>-12631</v>
      </c>
      <c r="BM21" s="308"/>
    </row>
    <row r="22" spans="1:65" s="17" customFormat="1" ht="19.5" customHeight="1">
      <c r="A22" s="141" t="s">
        <v>70</v>
      </c>
      <c r="B22" s="41">
        <f>'IS (R$)'!B32</f>
        <v>0</v>
      </c>
      <c r="C22" s="41">
        <f>'IS (R$)'!C32</f>
        <v>0</v>
      </c>
      <c r="D22" s="41">
        <f>'IS (R$)'!D32</f>
        <v>3156</v>
      </c>
      <c r="E22" s="41">
        <f>'IS (R$)'!E32</f>
        <v>-6759.7611900000002</v>
      </c>
      <c r="F22" s="41">
        <f>'IS (R$)'!F32</f>
        <v>0</v>
      </c>
      <c r="G22" s="41">
        <f>'IS (R$)'!G32</f>
        <v>18416</v>
      </c>
      <c r="H22" s="41">
        <f>'IS (R$)'!H32</f>
        <v>-18415.700110000013</v>
      </c>
      <c r="I22" s="41">
        <f>'IS (R$)'!I32</f>
        <v>192157</v>
      </c>
      <c r="J22" s="41">
        <f>'IS (R$)'!J32</f>
        <v>0</v>
      </c>
      <c r="K22" s="41">
        <f>'IS (R$)'!K32</f>
        <v>-6712</v>
      </c>
      <c r="L22" s="41">
        <f>'IS (R$)'!L32</f>
        <v>0</v>
      </c>
      <c r="M22" s="41">
        <f>'IS (R$)'!M32</f>
        <v>0</v>
      </c>
      <c r="N22" s="41">
        <f>'IS (R$)'!N32</f>
        <v>0</v>
      </c>
      <c r="O22" s="41">
        <f>'IS (R$)'!O32</f>
        <v>0</v>
      </c>
      <c r="P22" s="41">
        <f>'IS (R$)'!P32</f>
        <v>0</v>
      </c>
      <c r="Q22" s="41">
        <f>'IS (R$)'!Q32</f>
        <v>0</v>
      </c>
      <c r="R22" s="41">
        <f>'IS (R$)'!R32</f>
        <v>0</v>
      </c>
      <c r="S22" s="41">
        <f>'IS (R$)'!S32</f>
        <v>0</v>
      </c>
      <c r="T22" s="41">
        <f>'IS (R$)'!T32</f>
        <v>0</v>
      </c>
      <c r="U22" s="41">
        <f>'IS (R$)'!U32</f>
        <v>-89</v>
      </c>
      <c r="V22" s="41">
        <f>'IS (R$)'!V32</f>
        <v>5</v>
      </c>
      <c r="W22" s="41">
        <f>'IS (R$)'!W32</f>
        <v>5</v>
      </c>
      <c r="X22" s="41">
        <f>'IS (R$)'!X32</f>
        <v>6.3230099999999982</v>
      </c>
      <c r="Y22" s="41">
        <f>'IS (R$)'!Y32</f>
        <v>-27652</v>
      </c>
      <c r="Z22" s="41">
        <f>'IS (R$)'!Z32</f>
        <v>-6346.9083499999997</v>
      </c>
      <c r="AA22" s="41">
        <f>'IS (R$)'!AA32</f>
        <v>6349</v>
      </c>
      <c r="AB22" s="41">
        <f>'IS (R$)'!AB32</f>
        <v>0</v>
      </c>
      <c r="AC22" s="41">
        <f>'IS (R$)'!AC32</f>
        <v>0</v>
      </c>
      <c r="AD22" s="41">
        <f>'IS (R$)'!AD32</f>
        <v>0</v>
      </c>
      <c r="AE22" s="41">
        <f>+'IS (R$)'!AE32</f>
        <v>0</v>
      </c>
      <c r="AF22" s="41">
        <f>+'IS (R$)'!AF32</f>
        <v>0</v>
      </c>
      <c r="AG22" s="41">
        <f>+'IS (R$)'!AG32</f>
        <v>0</v>
      </c>
      <c r="AH22" s="41">
        <f>+'IS (R$)'!AH32</f>
        <v>0</v>
      </c>
      <c r="AI22" s="41">
        <f>+'IS (R$)'!AI32</f>
        <v>0</v>
      </c>
      <c r="AJ22" s="41">
        <f>+'IS (R$)'!AJ32</f>
        <v>0</v>
      </c>
      <c r="AK22" s="41">
        <f>+'IS (R$)'!AK32</f>
        <v>0</v>
      </c>
      <c r="AL22" s="41">
        <f>+'IS (R$)'!AL32</f>
        <v>0</v>
      </c>
      <c r="AM22" s="41">
        <f>+'IS (R$)'!AM32</f>
        <v>0</v>
      </c>
      <c r="AN22" s="41">
        <f>+'IS (R$)'!AN32</f>
        <v>0</v>
      </c>
      <c r="AO22" s="41">
        <f>+'IS (R$)'!AO32</f>
        <v>0</v>
      </c>
      <c r="AP22" s="41">
        <f>+'IS (R$)'!AP32</f>
        <v>0</v>
      </c>
      <c r="AQ22" s="41">
        <f>+'IS (R$)'!AQ32</f>
        <v>0</v>
      </c>
      <c r="AR22" s="41">
        <f>+'IS (R$)'!AR32</f>
        <v>0</v>
      </c>
      <c r="AS22" s="41">
        <f>+'IS (R$)'!AS32</f>
        <v>0</v>
      </c>
      <c r="AT22" s="41">
        <f>+'IS (R$)'!AT32</f>
        <v>0</v>
      </c>
      <c r="AU22" s="41">
        <f>+'IS (R$)'!AU32</f>
        <v>0</v>
      </c>
      <c r="AV22" s="41">
        <f>+'IS (R$)'!AV32</f>
        <v>0</v>
      </c>
      <c r="AW22" s="41">
        <f>+'IS (R$)'!AW32</f>
        <v>0</v>
      </c>
      <c r="AX22" s="41">
        <f>+'IS (R$)'!AX32</f>
        <v>0</v>
      </c>
      <c r="AY22" s="41">
        <f>+'IS (R$)'!AY32</f>
        <v>0</v>
      </c>
      <c r="AZ22" s="307"/>
      <c r="BA22" s="41">
        <f>SUM(B22:E22)</f>
        <v>-3603.7611900000002</v>
      </c>
      <c r="BB22" s="41">
        <f>SUM(F22:I22)</f>
        <v>192157.29988999999</v>
      </c>
      <c r="BC22" s="41">
        <f>SUM(J22:M22)</f>
        <v>-6712</v>
      </c>
      <c r="BD22" s="41">
        <f>SUM(N22:Q22)</f>
        <v>0</v>
      </c>
      <c r="BE22" s="41">
        <f>SUM(R22:U22)</f>
        <v>-89</v>
      </c>
      <c r="BF22" s="41">
        <f>SUM(V22:Y22)</f>
        <v>-27635.67699</v>
      </c>
      <c r="BG22" s="70">
        <f>SUM(Z22:AC22)</f>
        <v>2.0916500000002998</v>
      </c>
      <c r="BH22" s="70">
        <f t="shared" si="39"/>
        <v>0</v>
      </c>
      <c r="BI22" s="70">
        <f t="shared" si="40"/>
        <v>0</v>
      </c>
      <c r="BJ22" s="70">
        <f t="shared" si="4"/>
        <v>0</v>
      </c>
      <c r="BK22" s="70">
        <f t="shared" si="5"/>
        <v>0</v>
      </c>
      <c r="BL22" s="70">
        <f t="shared" si="6"/>
        <v>0</v>
      </c>
      <c r="BM22" s="308"/>
    </row>
    <row r="23" spans="1:65" s="17" customFormat="1" ht="19.5" customHeight="1">
      <c r="A23" s="141" t="s">
        <v>69</v>
      </c>
      <c r="B23" s="41">
        <f>'IS (R$)'!B31</f>
        <v>0</v>
      </c>
      <c r="C23" s="41">
        <f>'IS (R$)'!C31</f>
        <v>0</v>
      </c>
      <c r="D23" s="41">
        <f>'IS (R$)'!D31</f>
        <v>0</v>
      </c>
      <c r="E23" s="41">
        <f>'IS (R$)'!E31</f>
        <v>0</v>
      </c>
      <c r="F23" s="41">
        <f>'IS (R$)'!F31</f>
        <v>0</v>
      </c>
      <c r="G23" s="41">
        <f>'IS (R$)'!G31</f>
        <v>0</v>
      </c>
      <c r="H23" s="41">
        <f>'IS (R$)'!H31</f>
        <v>0</v>
      </c>
      <c r="I23" s="41">
        <f>'IS (R$)'!I31</f>
        <v>0</v>
      </c>
      <c r="J23" s="41">
        <f>'IS (R$)'!J31</f>
        <v>0</v>
      </c>
      <c r="K23" s="41">
        <f>'IS (R$)'!K31</f>
        <v>0</v>
      </c>
      <c r="L23" s="41">
        <f>'IS (R$)'!L31</f>
        <v>0</v>
      </c>
      <c r="M23" s="41">
        <f>'IS (R$)'!M31</f>
        <v>0</v>
      </c>
      <c r="N23" s="41">
        <f>'IS (R$)'!N31</f>
        <v>0</v>
      </c>
      <c r="O23" s="41">
        <f>'IS (R$)'!O31</f>
        <v>0</v>
      </c>
      <c r="P23" s="41">
        <f>'IS (R$)'!P31</f>
        <v>0</v>
      </c>
      <c r="Q23" s="41">
        <f>'IS (R$)'!Q31</f>
        <v>0</v>
      </c>
      <c r="R23" s="41">
        <f>'IS (R$)'!R31</f>
        <v>0</v>
      </c>
      <c r="S23" s="41">
        <f>'IS (R$)'!S31</f>
        <v>-3470</v>
      </c>
      <c r="T23" s="41">
        <f>'IS (R$)'!T31</f>
        <v>-1380</v>
      </c>
      <c r="U23" s="41">
        <f>'IS (R$)'!U31</f>
        <v>0</v>
      </c>
      <c r="V23" s="41">
        <f>'IS (R$)'!V31</f>
        <v>0</v>
      </c>
      <c r="W23" s="41">
        <f>'IS (R$)'!W31</f>
        <v>0</v>
      </c>
      <c r="X23" s="41">
        <f>'IS (R$)'!X31</f>
        <v>0</v>
      </c>
      <c r="Y23" s="41">
        <f>'IS (R$)'!Y31</f>
        <v>568370</v>
      </c>
      <c r="Z23" s="41">
        <f>'IS (R$)'!Z31</f>
        <v>30</v>
      </c>
      <c r="AA23" s="41">
        <f>'IS (R$)'!AA31</f>
        <v>0</v>
      </c>
      <c r="AB23" s="41">
        <f>'IS (R$)'!AB31</f>
        <v>660</v>
      </c>
      <c r="AC23" s="41">
        <f>'IS (R$)'!AC31</f>
        <v>-55861</v>
      </c>
      <c r="AD23" s="41">
        <f>'IS (R$)'!AD31</f>
        <v>0</v>
      </c>
      <c r="AE23" s="41">
        <f>+'IS (R$)'!AE31</f>
        <v>0</v>
      </c>
      <c r="AF23" s="41">
        <f>+'IS (R$)'!AF31</f>
        <v>0</v>
      </c>
      <c r="AG23" s="41">
        <f>+'IS (R$)'!AG31</f>
        <v>0</v>
      </c>
      <c r="AH23" s="41">
        <f>+'IS (R$)'!AH31</f>
        <v>0</v>
      </c>
      <c r="AI23" s="41">
        <f>+'IS (R$)'!AI31</f>
        <v>0</v>
      </c>
      <c r="AJ23" s="41">
        <f>+'IS (R$)'!AJ31</f>
        <v>0</v>
      </c>
      <c r="AK23" s="41">
        <f>+'IS (R$)'!AK31</f>
        <v>0</v>
      </c>
      <c r="AL23" s="41">
        <f>+'IS (R$)'!AL31</f>
        <v>0</v>
      </c>
      <c r="AM23" s="41">
        <f>+'IS (R$)'!AM31</f>
        <v>0</v>
      </c>
      <c r="AN23" s="41">
        <f>+'IS (R$)'!AN31</f>
        <v>0</v>
      </c>
      <c r="AO23" s="41">
        <f>+'IS (R$)'!AO31</f>
        <v>0</v>
      </c>
      <c r="AP23" s="41">
        <f>+'IS (R$)'!AP31</f>
        <v>0</v>
      </c>
      <c r="AQ23" s="41">
        <f>+'IS (R$)'!AQ31</f>
        <v>0</v>
      </c>
      <c r="AR23" s="41">
        <f>+'IS (R$)'!AR31</f>
        <v>0</v>
      </c>
      <c r="AS23" s="41">
        <f>+'IS (R$)'!AS31</f>
        <v>0</v>
      </c>
      <c r="AT23" s="41">
        <f>+'IS (R$)'!AT31</f>
        <v>0</v>
      </c>
      <c r="AU23" s="41">
        <f>+'IS (R$)'!AU31</f>
        <v>0</v>
      </c>
      <c r="AV23" s="41">
        <f>+'IS (R$)'!AV31</f>
        <v>0</v>
      </c>
      <c r="AW23" s="41">
        <f>+'IS (R$)'!AW31</f>
        <v>0</v>
      </c>
      <c r="AX23" s="41">
        <f>+'IS (R$)'!AX31</f>
        <v>0</v>
      </c>
      <c r="AY23" s="41">
        <f>+'IS (R$)'!AY31</f>
        <v>0</v>
      </c>
      <c r="AZ23" s="307"/>
      <c r="BA23" s="41">
        <f>SUM(B23:E23)</f>
        <v>0</v>
      </c>
      <c r="BB23" s="41">
        <f>SUM(F23:I23)</f>
        <v>0</v>
      </c>
      <c r="BC23" s="41">
        <f>SUM(J23:M23)</f>
        <v>0</v>
      </c>
      <c r="BD23" s="41">
        <f>SUM(N23:Q23)</f>
        <v>0</v>
      </c>
      <c r="BE23" s="41">
        <f>SUM(R23:U23)</f>
        <v>-4850</v>
      </c>
      <c r="BF23" s="41">
        <f>SUM(V23:Y23)</f>
        <v>568370</v>
      </c>
      <c r="BG23" s="70">
        <f>SUM(Z23:AC23)</f>
        <v>-55171</v>
      </c>
      <c r="BH23" s="70">
        <f t="shared" si="39"/>
        <v>0</v>
      </c>
      <c r="BI23" s="70">
        <f t="shared" si="40"/>
        <v>0</v>
      </c>
      <c r="BJ23" s="70">
        <f t="shared" si="4"/>
        <v>0</v>
      </c>
      <c r="BK23" s="70">
        <f t="shared" si="5"/>
        <v>0</v>
      </c>
      <c r="BL23" s="70">
        <f t="shared" si="6"/>
        <v>0</v>
      </c>
      <c r="BM23" s="308"/>
    </row>
    <row r="24" spans="1:65" s="17" customFormat="1" ht="19.5" customHeight="1">
      <c r="A24" s="141" t="s">
        <v>71</v>
      </c>
      <c r="B24" s="70">
        <f>'IS (R$)'!B33</f>
        <v>22654</v>
      </c>
      <c r="C24" s="70">
        <f>'IS (R$)'!C33</f>
        <v>301</v>
      </c>
      <c r="D24" s="70">
        <f>'IS (R$)'!D33</f>
        <v>1278</v>
      </c>
      <c r="E24" s="70">
        <f>'IS (R$)'!E33</f>
        <v>-15821</v>
      </c>
      <c r="F24" s="70">
        <f>'IS (R$)'!F33</f>
        <v>-18568</v>
      </c>
      <c r="G24" s="70">
        <f>'IS (R$)'!G33</f>
        <v>14608</v>
      </c>
      <c r="H24" s="70">
        <f>'IS (R$)'!H33</f>
        <v>31491</v>
      </c>
      <c r="I24" s="70">
        <f>'IS (R$)'!I33</f>
        <v>-9732.8329999999987</v>
      </c>
      <c r="J24" s="70">
        <f>'IS (R$)'!J33</f>
        <v>-2168</v>
      </c>
      <c r="K24" s="70">
        <f>'IS (R$)'!K33</f>
        <v>16977</v>
      </c>
      <c r="L24" s="70">
        <f>'IS (R$)'!L33</f>
        <v>-16333</v>
      </c>
      <c r="M24" s="70">
        <f>'IS (R$)'!M33</f>
        <v>352945</v>
      </c>
      <c r="N24" s="70">
        <f>'IS (R$)'!N33</f>
        <v>105.63762258064526</v>
      </c>
      <c r="O24" s="70">
        <f>'IS (R$)'!O33</f>
        <v>42324</v>
      </c>
      <c r="P24" s="70">
        <f>'IS (R$)'!P33</f>
        <v>-1848</v>
      </c>
      <c r="Q24" s="70">
        <f>'IS (R$)'!Q33</f>
        <v>885.52206480286031</v>
      </c>
      <c r="R24" s="70">
        <f>'IS (R$)'!R33</f>
        <v>3533</v>
      </c>
      <c r="S24" s="70">
        <f>'IS (R$)'!S33</f>
        <v>-650</v>
      </c>
      <c r="T24" s="70">
        <f>'IS (R$)'!T33</f>
        <v>-14523</v>
      </c>
      <c r="U24" s="70">
        <f>'IS (R$)'!U33</f>
        <v>-3266</v>
      </c>
      <c r="V24" s="70">
        <f>'IS (R$)'!V33</f>
        <v>303</v>
      </c>
      <c r="W24" s="70">
        <f>'IS (R$)'!W33</f>
        <v>-32578</v>
      </c>
      <c r="X24" s="70">
        <f>'IS (R$)'!X33</f>
        <v>-30247</v>
      </c>
      <c r="Y24" s="70">
        <f>'IS (R$)'!Y33</f>
        <v>-58207.538021250002</v>
      </c>
      <c r="Z24" s="70">
        <f>'IS (R$)'!Z33</f>
        <v>121419.76392089897</v>
      </c>
      <c r="AA24" s="70">
        <f>'IS (R$)'!AA33</f>
        <v>107472.94552633207</v>
      </c>
      <c r="AB24" s="70">
        <f>'IS (R$)'!AB33</f>
        <v>32547.706174009894</v>
      </c>
      <c r="AC24" s="70">
        <f>'IS (R$)'!AC33</f>
        <v>486082.96915832418</v>
      </c>
      <c r="AD24" s="70">
        <f>'IS (R$)'!AD33</f>
        <v>-20250</v>
      </c>
      <c r="AE24" s="70">
        <f>'IS (R$)'!AE33</f>
        <v>-62187</v>
      </c>
      <c r="AF24" s="70">
        <f>'IS (R$)'!AF33</f>
        <v>15814</v>
      </c>
      <c r="AG24" s="70">
        <f>'IS (R$)'!AG33</f>
        <v>-8899</v>
      </c>
      <c r="AH24" s="70">
        <f>'IS (R$)'!AH33</f>
        <v>-27005</v>
      </c>
      <c r="AI24" s="70">
        <f>'IS (R$)'!AI33</f>
        <v>-109192</v>
      </c>
      <c r="AJ24" s="70">
        <f>'IS (R$)'!AJ33</f>
        <v>3238</v>
      </c>
      <c r="AK24" s="70">
        <f>'IS (R$)'!AK33</f>
        <v>159529</v>
      </c>
      <c r="AL24" s="70">
        <f>'IS (R$)'!AL33</f>
        <v>-132950</v>
      </c>
      <c r="AM24" s="70">
        <f>'IS (R$)'!AM33</f>
        <v>-17278</v>
      </c>
      <c r="AN24" s="70">
        <f>'IS (R$)'!AN33</f>
        <v>-53149</v>
      </c>
      <c r="AO24" s="70">
        <f>'IS (R$)'!AO33</f>
        <v>267728</v>
      </c>
      <c r="AP24" s="70">
        <f>'IS (R$)'!AP33</f>
        <v>30023</v>
      </c>
      <c r="AQ24" s="70">
        <f>'IS (R$)'!AQ33</f>
        <v>309234</v>
      </c>
      <c r="AR24" s="70">
        <f>'IS (R$)'!AR33</f>
        <v>-49760</v>
      </c>
      <c r="AS24" s="70">
        <f>'IS (R$)'!AS33</f>
        <v>-15640</v>
      </c>
      <c r="AT24" s="70">
        <f>'IS (R$)'!AT33</f>
        <v>-83355</v>
      </c>
      <c r="AU24" s="70">
        <f>'IS (R$)'!AU33</f>
        <v>-271405</v>
      </c>
      <c r="AV24" s="70">
        <f>'IS (R$)'!AV33</f>
        <v>-44617</v>
      </c>
      <c r="AW24" s="70">
        <f>'IS (R$)'!AW33</f>
        <v>-92491</v>
      </c>
      <c r="AX24" s="70">
        <f>'IS (R$)'!AX33</f>
        <v>-159176</v>
      </c>
      <c r="AY24" s="70">
        <f>'IS (R$)'!AY33</f>
        <v>-158340</v>
      </c>
      <c r="AZ24" s="307"/>
      <c r="BA24" s="41">
        <f>SUM(B24:E24)</f>
        <v>8412</v>
      </c>
      <c r="BB24" s="41">
        <f>SUM(F24:I24)</f>
        <v>17798.167000000001</v>
      </c>
      <c r="BC24" s="41">
        <f>SUM(J24:M24)</f>
        <v>351421</v>
      </c>
      <c r="BD24" s="41">
        <f>SUM(N24:Q24)</f>
        <v>41467.159687383508</v>
      </c>
      <c r="BE24" s="41">
        <f>SUM(R24:U24)</f>
        <v>-14906</v>
      </c>
      <c r="BF24" s="41">
        <f>SUM(V24:Y24)</f>
        <v>-120729.53802125</v>
      </c>
      <c r="BG24" s="41">
        <f>SUM(Z24:AC24)</f>
        <v>747523.38477956504</v>
      </c>
      <c r="BH24" s="41">
        <f t="shared" si="39"/>
        <v>-75522</v>
      </c>
      <c r="BI24" s="41">
        <f t="shared" si="40"/>
        <v>26570</v>
      </c>
      <c r="BJ24" s="41">
        <f t="shared" si="4"/>
        <v>64351</v>
      </c>
      <c r="BK24" s="41">
        <f t="shared" si="5"/>
        <v>273857</v>
      </c>
      <c r="BL24" s="41">
        <f t="shared" si="6"/>
        <v>-491868</v>
      </c>
      <c r="BM24" s="308"/>
    </row>
    <row r="25" spans="1:65" s="8" customFormat="1" ht="19.5" customHeight="1">
      <c r="A25" s="125" t="s">
        <v>194</v>
      </c>
      <c r="B25" s="126">
        <f t="shared" ref="B25:Z25" si="41">+B7+B8</f>
        <v>35787.731950000001</v>
      </c>
      <c r="C25" s="126">
        <f t="shared" si="41"/>
        <v>34020.987359999999</v>
      </c>
      <c r="D25" s="126">
        <f t="shared" si="41"/>
        <v>27809.518329999992</v>
      </c>
      <c r="E25" s="126">
        <f t="shared" si="41"/>
        <v>-71486.998830000026</v>
      </c>
      <c r="F25" s="126">
        <f t="shared" si="41"/>
        <v>-33347</v>
      </c>
      <c r="G25" s="126">
        <f t="shared" si="41"/>
        <v>37418</v>
      </c>
      <c r="H25" s="126">
        <f t="shared" si="41"/>
        <v>23490.002240225513</v>
      </c>
      <c r="I25" s="126">
        <f t="shared" si="41"/>
        <v>122490.46464977445</v>
      </c>
      <c r="J25" s="126">
        <f t="shared" si="41"/>
        <v>-31227</v>
      </c>
      <c r="K25" s="126">
        <f t="shared" si="41"/>
        <v>5918</v>
      </c>
      <c r="L25" s="126">
        <f t="shared" si="41"/>
        <v>-658</v>
      </c>
      <c r="M25" s="126">
        <f t="shared" si="41"/>
        <v>354619</v>
      </c>
      <c r="N25" s="126">
        <f t="shared" si="41"/>
        <v>435.6568450814375</v>
      </c>
      <c r="O25" s="126">
        <f t="shared" si="41"/>
        <v>66259</v>
      </c>
      <c r="P25" s="126">
        <f t="shared" si="41"/>
        <v>20807</v>
      </c>
      <c r="Q25" s="126">
        <f t="shared" si="41"/>
        <v>44162.522064802877</v>
      </c>
      <c r="R25" s="126">
        <f t="shared" si="41"/>
        <v>14807</v>
      </c>
      <c r="S25" s="126">
        <f t="shared" si="41"/>
        <v>88578</v>
      </c>
      <c r="T25" s="126">
        <f t="shared" si="41"/>
        <v>90507</v>
      </c>
      <c r="U25" s="126">
        <f t="shared" si="41"/>
        <v>65185</v>
      </c>
      <c r="V25" s="126">
        <f t="shared" si="41"/>
        <v>53236.738343143486</v>
      </c>
      <c r="W25" s="126">
        <f t="shared" si="41"/>
        <v>302645</v>
      </c>
      <c r="X25" s="126">
        <f t="shared" si="41"/>
        <v>189577.47069573542</v>
      </c>
      <c r="Y25" s="126">
        <f t="shared" si="41"/>
        <v>841754.56731327483</v>
      </c>
      <c r="Z25" s="126">
        <f t="shared" si="41"/>
        <v>182564.45038162154</v>
      </c>
      <c r="AA25" s="126">
        <f>+AA7+AA8</f>
        <v>321815.00161099416</v>
      </c>
      <c r="AB25" s="126">
        <f>+AB7+AB8</f>
        <v>308846.38616151537</v>
      </c>
      <c r="AC25" s="126">
        <f t="shared" ref="AC25" si="42">+AC7+AC8</f>
        <v>973322.49557768996</v>
      </c>
      <c r="AD25" s="126">
        <f t="shared" ref="AD25:AI25" si="43">+AD7+AD8</f>
        <v>448723</v>
      </c>
      <c r="AE25" s="126">
        <f t="shared" si="43"/>
        <v>663543</v>
      </c>
      <c r="AF25" s="126">
        <f t="shared" si="43"/>
        <v>623699</v>
      </c>
      <c r="AG25" s="126">
        <f t="shared" si="43"/>
        <v>1256617.7750389285</v>
      </c>
      <c r="AH25" s="126">
        <f t="shared" si="43"/>
        <v>1125638</v>
      </c>
      <c r="AI25" s="126">
        <f t="shared" si="43"/>
        <v>1230704</v>
      </c>
      <c r="AJ25" s="126">
        <f>+AJ7+AJ8</f>
        <v>1542694</v>
      </c>
      <c r="AK25" s="126">
        <f>+AK7+AK8</f>
        <v>871433</v>
      </c>
      <c r="AL25" s="126">
        <f>+AL7+AL8</f>
        <v>1865462</v>
      </c>
      <c r="AM25" s="126">
        <f t="shared" ref="AM25:AQ25" si="44">+AM7+AM8</f>
        <v>1680919</v>
      </c>
      <c r="AN25" s="126">
        <f t="shared" si="44"/>
        <v>2916675</v>
      </c>
      <c r="AO25" s="126">
        <f t="shared" si="44"/>
        <v>2585522</v>
      </c>
      <c r="AP25" s="126">
        <f t="shared" si="44"/>
        <v>2360895</v>
      </c>
      <c r="AQ25" s="126">
        <f t="shared" si="44"/>
        <v>3189549</v>
      </c>
      <c r="AR25" s="126">
        <f t="shared" ref="AR25:AS25" si="45">+AR7+AR8</f>
        <v>1830280</v>
      </c>
      <c r="AS25" s="126">
        <f t="shared" si="45"/>
        <v>2059033</v>
      </c>
      <c r="AT25" s="126">
        <f t="shared" ref="AT25:AU25" si="46">+AT7+AT8</f>
        <v>2626492</v>
      </c>
      <c r="AU25" s="126">
        <f t="shared" si="46"/>
        <v>1345111</v>
      </c>
      <c r="AV25" s="126">
        <f t="shared" ref="AV25:AW25" si="47">+AV7+AV8</f>
        <v>1779276</v>
      </c>
      <c r="AW25" s="126">
        <f t="shared" si="47"/>
        <v>1913326</v>
      </c>
      <c r="AX25" s="126">
        <f t="shared" ref="AX25:AY25" si="48">+AX7+AX8</f>
        <v>4399697</v>
      </c>
      <c r="AY25" s="126">
        <f t="shared" si="48"/>
        <v>4374112</v>
      </c>
      <c r="AZ25" s="308"/>
      <c r="BA25" s="126">
        <f>+BA7+BA8</f>
        <v>26131.23881000001</v>
      </c>
      <c r="BB25" s="126">
        <f>+BB7+BB8</f>
        <v>150051.46688999998</v>
      </c>
      <c r="BC25" s="126">
        <f t="shared" ref="BC25:BD25" si="49">+BC7+BC8</f>
        <v>328652</v>
      </c>
      <c r="BD25" s="126">
        <f t="shared" si="49"/>
        <v>131664.17890988424</v>
      </c>
      <c r="BE25" s="126">
        <f>+BE7+BE8</f>
        <v>259077</v>
      </c>
      <c r="BF25" s="126">
        <f>+BF7+BF8</f>
        <v>1387213.7763521539</v>
      </c>
      <c r="BG25" s="126">
        <f>+BG7+BG8</f>
        <v>1786548.3337318208</v>
      </c>
      <c r="BH25" s="126">
        <f t="shared" si="39"/>
        <v>2992582.7750389287</v>
      </c>
      <c r="BI25" s="126">
        <f t="shared" si="40"/>
        <v>4770469</v>
      </c>
      <c r="BJ25" s="126">
        <f t="shared" si="4"/>
        <v>9048578</v>
      </c>
      <c r="BK25" s="126">
        <f t="shared" si="5"/>
        <v>9439757</v>
      </c>
      <c r="BL25" s="126">
        <f t="shared" si="6"/>
        <v>7664205</v>
      </c>
      <c r="BM25" s="308"/>
    </row>
    <row r="26" spans="1:65" s="139" customFormat="1" ht="19.5" customHeight="1">
      <c r="A26" s="147" t="s">
        <v>83</v>
      </c>
      <c r="B26" s="148">
        <f t="shared" ref="B26:Z26" si="50">B25/B7</f>
        <v>0.24973470164616235</v>
      </c>
      <c r="C26" s="148">
        <f t="shared" si="50"/>
        <v>0.24724015726401313</v>
      </c>
      <c r="D26" s="148">
        <f t="shared" si="50"/>
        <v>0.21948067439584543</v>
      </c>
      <c r="E26" s="148">
        <f t="shared" si="50"/>
        <v>-0.90230601726684123</v>
      </c>
      <c r="F26" s="148">
        <f t="shared" si="50"/>
        <v>-6.8714197403667834</v>
      </c>
      <c r="G26" s="148">
        <f t="shared" si="50"/>
        <v>0.38651764316998594</v>
      </c>
      <c r="H26" s="148">
        <f t="shared" si="50"/>
        <v>0.18360019778139391</v>
      </c>
      <c r="I26" s="148">
        <f t="shared" si="50"/>
        <v>5.2192564678279814</v>
      </c>
      <c r="J26" s="148">
        <f t="shared" si="50"/>
        <v>-0.75229468308077763</v>
      </c>
      <c r="K26" s="148">
        <f t="shared" si="50"/>
        <v>5.7244561379750633E-2</v>
      </c>
      <c r="L26" s="148">
        <f t="shared" si="50"/>
        <v>-4.7255856709900752E-3</v>
      </c>
      <c r="M26" s="148">
        <f t="shared" si="50"/>
        <v>3.1178311748828458</v>
      </c>
      <c r="N26" s="148">
        <f t="shared" si="50"/>
        <v>5.8253745728312845E-3</v>
      </c>
      <c r="O26" s="148">
        <f t="shared" si="50"/>
        <v>0.42608371327335748</v>
      </c>
      <c r="P26" s="148">
        <f t="shared" si="50"/>
        <v>0.18913047430327048</v>
      </c>
      <c r="Q26" s="148">
        <f t="shared" si="50"/>
        <v>0.22809452813471517</v>
      </c>
      <c r="R26" s="148">
        <f t="shared" si="50"/>
        <v>0.12638811830480987</v>
      </c>
      <c r="S26" s="148">
        <f t="shared" si="50"/>
        <v>0.36999227250892841</v>
      </c>
      <c r="T26" s="148">
        <f t="shared" si="50"/>
        <v>0.40292128728959564</v>
      </c>
      <c r="U26" s="148">
        <f t="shared" si="50"/>
        <v>0.24347017364314447</v>
      </c>
      <c r="V26" s="148">
        <f t="shared" si="50"/>
        <v>0.38279726883424087</v>
      </c>
      <c r="W26" s="148">
        <f t="shared" si="50"/>
        <v>0.55203718127146673</v>
      </c>
      <c r="X26" s="148">
        <f t="shared" si="50"/>
        <v>0.47507772429362832</v>
      </c>
      <c r="Y26" s="148">
        <f t="shared" si="50"/>
        <v>1.5085345418336762</v>
      </c>
      <c r="Z26" s="148">
        <f t="shared" si="50"/>
        <v>0.81808032682701359</v>
      </c>
      <c r="AA26" s="148">
        <f>AA25/AA7</f>
        <v>1.0304939018962835</v>
      </c>
      <c r="AB26" s="148">
        <f>AB25/AB7</f>
        <v>0.63198188269066669</v>
      </c>
      <c r="AC26" s="148">
        <f t="shared" ref="AC26" si="51">AC25/AC7</f>
        <v>1.1060042140498008</v>
      </c>
      <c r="AD26" s="148">
        <f t="shared" ref="AD26:AE26" si="52">AD25/AD7</f>
        <v>0.68472412540780736</v>
      </c>
      <c r="AE26" s="148">
        <f t="shared" si="52"/>
        <v>0.64872799869382902</v>
      </c>
      <c r="AF26" s="148">
        <f t="shared" ref="AF26" si="53">AF25/AF7</f>
        <v>0.66385068072211573</v>
      </c>
      <c r="AG26" s="148">
        <f t="shared" ref="AG26:AK26" si="54">AG25/AG7</f>
        <v>0.7066340518997376</v>
      </c>
      <c r="AH26" s="148">
        <f t="shared" si="54"/>
        <v>0.73571351540364516</v>
      </c>
      <c r="AI26" s="148">
        <f t="shared" si="54"/>
        <v>0.6567309770355686</v>
      </c>
      <c r="AJ26" s="148">
        <f t="shared" si="54"/>
        <v>0.77686820231384446</v>
      </c>
      <c r="AK26" s="148">
        <f t="shared" si="54"/>
        <v>0.89496245798282648</v>
      </c>
      <c r="AL26" s="148">
        <f>AL25/AL7</f>
        <v>0.66269691700222566</v>
      </c>
      <c r="AM26" s="148">
        <f t="shared" ref="AM26:AQ26" si="55">AM25/AM7</f>
        <v>0.72729086026948697</v>
      </c>
      <c r="AN26" s="148">
        <f t="shared" si="55"/>
        <v>0.72096952408731696</v>
      </c>
      <c r="AO26" s="148">
        <f t="shared" si="55"/>
        <v>0.79504520849041405</v>
      </c>
      <c r="AP26" s="148">
        <f t="shared" si="55"/>
        <v>0.7408832939234512</v>
      </c>
      <c r="AQ26" s="148">
        <f t="shared" si="55"/>
        <v>0.80680018779095708</v>
      </c>
      <c r="AR26" s="148">
        <f t="shared" ref="AR26:AS26" si="56">AR25/AR7</f>
        <v>0.68302746096703382</v>
      </c>
      <c r="AS26" s="148">
        <f t="shared" si="56"/>
        <v>0.66035411603444949</v>
      </c>
      <c r="AT26" s="148">
        <f t="shared" ref="AT26:AU26" si="57">AT25/AT7</f>
        <v>0.61638840120823291</v>
      </c>
      <c r="AU26" s="148">
        <f t="shared" si="57"/>
        <v>0.46102611488850942</v>
      </c>
      <c r="AV26" s="148">
        <f t="shared" ref="AV26:AW26" si="58">AV25/AV7</f>
        <v>0.5576870516314909</v>
      </c>
      <c r="AW26" s="148">
        <f t="shared" si="58"/>
        <v>0.55290481312227313</v>
      </c>
      <c r="AX26" s="148">
        <f t="shared" ref="AX26:AY26" si="59">AX25/AX7</f>
        <v>0.69161357642919208</v>
      </c>
      <c r="AY26" s="148">
        <f t="shared" si="59"/>
        <v>0.65280421031517666</v>
      </c>
      <c r="AZ26" s="309"/>
      <c r="BA26" s="148">
        <f t="shared" ref="BA26:BF26" si="60">BA25/BA7</f>
        <v>5.3675319376631718E-2</v>
      </c>
      <c r="BB26" s="148">
        <f t="shared" si="60"/>
        <v>0.59292240869163193</v>
      </c>
      <c r="BC26" s="148">
        <f t="shared" si="60"/>
        <v>0.826026526185623</v>
      </c>
      <c r="BD26" s="148">
        <f t="shared" si="60"/>
        <v>0.24659812243626009</v>
      </c>
      <c r="BE26" s="148">
        <f t="shared" si="60"/>
        <v>0.30518423408566181</v>
      </c>
      <c r="BF26" s="148">
        <f t="shared" si="60"/>
        <v>0.84362645309333606</v>
      </c>
      <c r="BG26" s="148">
        <f t="shared" ref="BG26" si="61">BG25/BG7</f>
        <v>0.93822249248179101</v>
      </c>
      <c r="BH26" s="148">
        <f>BH25/BH7</f>
        <v>0.68075088396922767</v>
      </c>
      <c r="BI26" s="148">
        <f>BI25/BI7</f>
        <v>0.74966413791206854</v>
      </c>
      <c r="BJ26" s="148">
        <f>BJ25/BJ7</f>
        <v>0.72833227151825608</v>
      </c>
      <c r="BK26" s="148">
        <f>BK25/BK7</f>
        <v>0.72963408604292324</v>
      </c>
      <c r="BL26" s="148">
        <f>BL25/BL7</f>
        <v>0.55418451262026747</v>
      </c>
      <c r="BM26" s="308"/>
    </row>
    <row r="27" spans="1:65" s="8" customFormat="1" ht="19.5" customHeight="1">
      <c r="A27" s="9" t="s">
        <v>84</v>
      </c>
      <c r="B27" s="68">
        <f>'IS (R$)'!B19+'IS (R$)'!B30</f>
        <v>-25434</v>
      </c>
      <c r="C27" s="68">
        <f>'IS (R$)'!C19+'IS (R$)'!C30</f>
        <v>-23143</v>
      </c>
      <c r="D27" s="68">
        <f>'IS (R$)'!D19+'IS (R$)'!D30</f>
        <v>-28267</v>
      </c>
      <c r="E27" s="68">
        <f>'IS (R$)'!E19+'IS (R$)'!E30</f>
        <v>-99494</v>
      </c>
      <c r="F27" s="68">
        <f>'IS (R$)'!F19+'IS (R$)'!F30</f>
        <v>-4851</v>
      </c>
      <c r="G27" s="68">
        <f>'IS (R$)'!G19+'IS (R$)'!G30</f>
        <v>-43684</v>
      </c>
      <c r="H27" s="68">
        <f>'IS (R$)'!H19+'IS (R$)'!H30</f>
        <v>-55269</v>
      </c>
      <c r="I27" s="68">
        <f>'IS (R$)'!I19+'IS (R$)'!I30</f>
        <v>37968</v>
      </c>
      <c r="J27" s="68">
        <f>'IS (R$)'!J19+'IS (R$)'!J30</f>
        <v>-11581</v>
      </c>
      <c r="K27" s="68">
        <f>'IS (R$)'!K19+'IS (R$)'!K30</f>
        <v>-21399</v>
      </c>
      <c r="L27" s="68">
        <f>'IS (R$)'!L19+'IS (R$)'!L30</f>
        <v>-15448</v>
      </c>
      <c r="M27" s="68">
        <f>'IS (R$)'!M19+'IS (R$)'!M30</f>
        <v>-21141</v>
      </c>
      <c r="N27" s="68">
        <f>'IS (R$)'!N19+'IS (R$)'!N30</f>
        <v>-12715</v>
      </c>
      <c r="O27" s="68">
        <f>'IS (R$)'!O19+'IS (R$)'!O30</f>
        <v>-27575</v>
      </c>
      <c r="P27" s="68">
        <f>'IS (R$)'!P19+'IS (R$)'!P30</f>
        <v>-21313</v>
      </c>
      <c r="Q27" s="68">
        <f>'IS (R$)'!Q19+'IS (R$)'!Q30</f>
        <v>-27852</v>
      </c>
      <c r="R27" s="68">
        <f>'IS (R$)'!R19+'IS (R$)'!R30</f>
        <v>-15719</v>
      </c>
      <c r="S27" s="68">
        <f>'IS (R$)'!S19+'IS (R$)'!S30</f>
        <v>-25265</v>
      </c>
      <c r="T27" s="68">
        <f>'IS (R$)'!T19+'IS (R$)'!T30</f>
        <v>-19129</v>
      </c>
      <c r="U27" s="68">
        <f>'IS (R$)'!U19+'IS (R$)'!U30</f>
        <v>-12349</v>
      </c>
      <c r="V27" s="68">
        <f>'IS (R$)'!V19+'IS (R$)'!V30</f>
        <v>-31240.42337</v>
      </c>
      <c r="W27" s="68">
        <f>'IS (R$)'!W19+'IS (R$)'!W30</f>
        <v>-90543</v>
      </c>
      <c r="X27" s="68">
        <f>'IS (R$)'!X19+'IS (R$)'!X30</f>
        <v>-84119</v>
      </c>
      <c r="Y27" s="68">
        <f>'IS (R$)'!Y19+'IS (R$)'!Y30</f>
        <v>-303055.57663000003</v>
      </c>
      <c r="Z27" s="68">
        <f>'IS (R$)'!Z19+'IS (R$)'!Z30</f>
        <v>-131654.5577528752</v>
      </c>
      <c r="AA27" s="68">
        <f>'IS (R$)'!AA19+'IS (R$)'!AA30</f>
        <v>-219924</v>
      </c>
      <c r="AB27" s="68">
        <f>'IS (R$)'!AB19+'IS (R$)'!AB30</f>
        <v>-200821.21543312797</v>
      </c>
      <c r="AC27" s="68">
        <f>'IS (R$)'!AC19+'IS (R$)'!AC30</f>
        <v>-291400.13537574996</v>
      </c>
      <c r="AD27" s="68">
        <f>'IS (R$)'!AD19+'IS (R$)'!AD30</f>
        <v>-131950</v>
      </c>
      <c r="AE27" s="68">
        <f>'IS (R$)'!AE19+'IS (R$)'!AE30</f>
        <v>-242123</v>
      </c>
      <c r="AF27" s="68">
        <f>'IS (R$)'!AF19+'IS (R$)'!AF30</f>
        <v>-191970.44332748398</v>
      </c>
      <c r="AG27" s="68">
        <f>'IS (R$)'!AG19+'IS (R$)'!AG30</f>
        <v>-305095.5522028791</v>
      </c>
      <c r="AH27" s="68">
        <f>'IS (R$)'!AH19+'IS (R$)'!AH30</f>
        <v>-174927</v>
      </c>
      <c r="AI27" s="68">
        <f>'IS (R$)'!AI19+'IS (R$)'!AI30</f>
        <v>-208061</v>
      </c>
      <c r="AJ27" s="68">
        <f>'IS (R$)'!AJ19+'IS (R$)'!AJ30</f>
        <v>-265102</v>
      </c>
      <c r="AK27" s="68">
        <f>'IS (R$)'!AK19+'IS (R$)'!AK30</f>
        <v>-206166</v>
      </c>
      <c r="AL27" s="68">
        <f>'IS (R$)'!AL19+'IS (R$)'!AL30</f>
        <v>-345619</v>
      </c>
      <c r="AM27" s="68">
        <f>'IS (R$)'!AM19+'IS (R$)'!AM30</f>
        <v>-499730</v>
      </c>
      <c r="AN27" s="68">
        <f>'IS (R$)'!AN19+'IS (R$)'!AN30</f>
        <v>-846220</v>
      </c>
      <c r="AO27" s="68">
        <f>'IS (R$)'!AO19+'IS (R$)'!AO30</f>
        <v>-363016</v>
      </c>
      <c r="AP27" s="68">
        <f>'IS (R$)'!AP19+'IS (R$)'!AP30</f>
        <v>-637139</v>
      </c>
      <c r="AQ27" s="68">
        <f>'IS (R$)'!AQ19+'IS (R$)'!AQ30</f>
        <v>-669472</v>
      </c>
      <c r="AR27" s="68">
        <f>'IS (R$)'!AR19+'IS (R$)'!AR30</f>
        <v>-579556</v>
      </c>
      <c r="AS27" s="68">
        <f>'IS (R$)'!AS19+'IS (R$)'!AS30</f>
        <v>-608129</v>
      </c>
      <c r="AT27" s="68">
        <f>'IS (R$)'!AT19+'IS (R$)'!AT30</f>
        <v>-1560134</v>
      </c>
      <c r="AU27" s="68">
        <f>'IS (R$)'!AU19+'IS (R$)'!AU30</f>
        <v>-1267414</v>
      </c>
      <c r="AV27" s="68">
        <f>'IS (R$)'!AV19+'IS (R$)'!AV30</f>
        <v>-1177179</v>
      </c>
      <c r="AW27" s="68">
        <f>'IS (R$)'!AW19+'IS (R$)'!AW30</f>
        <v>-1850156</v>
      </c>
      <c r="AX27" s="68">
        <f>'IS (R$)'!AX19+'IS (R$)'!AX30</f>
        <v>-1946925</v>
      </c>
      <c r="AY27" s="68">
        <f>'IS (R$)'!AY19+'IS (R$)'!AY30</f>
        <v>-1596623</v>
      </c>
      <c r="AZ27" s="308"/>
      <c r="BA27" s="42">
        <f>SUM(B27:E27)</f>
        <v>-176338</v>
      </c>
      <c r="BB27" s="42">
        <f>SUM(F27:I27)</f>
        <v>-65836</v>
      </c>
      <c r="BC27" s="42">
        <f>SUM(J27:M27)</f>
        <v>-69569</v>
      </c>
      <c r="BD27" s="42">
        <f>SUM(N27:Q27)</f>
        <v>-89455</v>
      </c>
      <c r="BE27" s="42">
        <f>SUM(R27:U27)</f>
        <v>-72462</v>
      </c>
      <c r="BF27" s="42">
        <f>SUM(V27:Y27)</f>
        <v>-508958</v>
      </c>
      <c r="BG27" s="68">
        <f>SUM(Z27:AC27)</f>
        <v>-843799.90856175311</v>
      </c>
      <c r="BH27" s="68">
        <f>SUM(AD27:AG27)</f>
        <v>-871138.99553036306</v>
      </c>
      <c r="BI27" s="68">
        <f>SUM(AH27:AK27)</f>
        <v>-854256</v>
      </c>
      <c r="BJ27" s="68">
        <f>SUM(AL27:AO27)</f>
        <v>-2054585</v>
      </c>
      <c r="BK27" s="68">
        <f>SUM(AP27:AS27)</f>
        <v>-2494296</v>
      </c>
      <c r="BL27" s="68">
        <f>SUM(AT27:AW27)</f>
        <v>-5854883</v>
      </c>
      <c r="BM27" s="308"/>
    </row>
    <row r="28" spans="1:65" s="8" customFormat="1" ht="19.5" customHeight="1">
      <c r="A28" s="9" t="s">
        <v>85</v>
      </c>
      <c r="B28" s="42">
        <f t="shared" ref="B28:Z28" si="62">B25+B27</f>
        <v>10353.731950000001</v>
      </c>
      <c r="C28" s="42">
        <f t="shared" si="62"/>
        <v>10877.987359999999</v>
      </c>
      <c r="D28" s="42">
        <f t="shared" si="62"/>
        <v>-457.48167000000831</v>
      </c>
      <c r="E28" s="42">
        <f t="shared" si="62"/>
        <v>-170980.99883000003</v>
      </c>
      <c r="F28" s="42">
        <f t="shared" si="62"/>
        <v>-38198</v>
      </c>
      <c r="G28" s="42">
        <f t="shared" si="62"/>
        <v>-6266</v>
      </c>
      <c r="H28" s="42">
        <f t="shared" si="62"/>
        <v>-31778.997759774487</v>
      </c>
      <c r="I28" s="42">
        <f t="shared" si="62"/>
        <v>160458.46464977445</v>
      </c>
      <c r="J28" s="42">
        <f t="shared" si="62"/>
        <v>-42808</v>
      </c>
      <c r="K28" s="42">
        <f t="shared" si="62"/>
        <v>-15481</v>
      </c>
      <c r="L28" s="42">
        <f t="shared" si="62"/>
        <v>-16106</v>
      </c>
      <c r="M28" s="42">
        <f t="shared" si="62"/>
        <v>333478</v>
      </c>
      <c r="N28" s="42">
        <f t="shared" si="62"/>
        <v>-12279.343154918563</v>
      </c>
      <c r="O28" s="42">
        <f t="shared" si="62"/>
        <v>38684</v>
      </c>
      <c r="P28" s="42">
        <f t="shared" si="62"/>
        <v>-506</v>
      </c>
      <c r="Q28" s="42">
        <f t="shared" si="62"/>
        <v>16310.522064802877</v>
      </c>
      <c r="R28" s="42">
        <f t="shared" si="62"/>
        <v>-912</v>
      </c>
      <c r="S28" s="42">
        <f t="shared" si="62"/>
        <v>63313</v>
      </c>
      <c r="T28" s="42">
        <f t="shared" si="62"/>
        <v>71378</v>
      </c>
      <c r="U28" s="42">
        <f t="shared" si="62"/>
        <v>52836</v>
      </c>
      <c r="V28" s="42">
        <f t="shared" si="62"/>
        <v>21996.314973143486</v>
      </c>
      <c r="W28" s="42">
        <f t="shared" si="62"/>
        <v>212102</v>
      </c>
      <c r="X28" s="42">
        <f t="shared" si="62"/>
        <v>105458.47069573542</v>
      </c>
      <c r="Y28" s="42">
        <f t="shared" si="62"/>
        <v>538698.99068327481</v>
      </c>
      <c r="Z28" s="42">
        <f t="shared" si="62"/>
        <v>50909.89262874634</v>
      </c>
      <c r="AA28" s="42">
        <f>AA25+AA27</f>
        <v>101891.00161099416</v>
      </c>
      <c r="AB28" s="42">
        <f>AB25+AB27</f>
        <v>108025.1707283874</v>
      </c>
      <c r="AC28" s="42">
        <f t="shared" ref="AC28" si="63">AC25+AC27</f>
        <v>681922.36020193994</v>
      </c>
      <c r="AD28" s="42">
        <f t="shared" ref="AD28:AE28" si="64">AD25+AD27</f>
        <v>316773</v>
      </c>
      <c r="AE28" s="42">
        <f t="shared" si="64"/>
        <v>421420</v>
      </c>
      <c r="AF28" s="42">
        <f t="shared" ref="AF28:AG28" si="65">AF25+AF27</f>
        <v>431728.55667251605</v>
      </c>
      <c r="AG28" s="42">
        <f t="shared" si="65"/>
        <v>951522.22283604939</v>
      </c>
      <c r="AH28" s="42">
        <f t="shared" ref="AH28:AI28" si="66">AH25+AH27</f>
        <v>950711</v>
      </c>
      <c r="AI28" s="42">
        <f t="shared" si="66"/>
        <v>1022643</v>
      </c>
      <c r="AJ28" s="42">
        <f t="shared" ref="AJ28" si="67">AJ25+AJ27</f>
        <v>1277592</v>
      </c>
      <c r="AK28" s="42">
        <f t="shared" ref="AK28:AQ28" si="68">AK25+AK27</f>
        <v>665267</v>
      </c>
      <c r="AL28" s="42">
        <f t="shared" si="68"/>
        <v>1519843</v>
      </c>
      <c r="AM28" s="42">
        <f t="shared" si="68"/>
        <v>1181189</v>
      </c>
      <c r="AN28" s="42">
        <f t="shared" si="68"/>
        <v>2070455</v>
      </c>
      <c r="AO28" s="42">
        <f t="shared" si="68"/>
        <v>2222506</v>
      </c>
      <c r="AP28" s="42">
        <f t="shared" si="68"/>
        <v>1723756</v>
      </c>
      <c r="AQ28" s="42">
        <f t="shared" si="68"/>
        <v>2520077</v>
      </c>
      <c r="AR28" s="42">
        <f t="shared" ref="AR28:AS28" si="69">AR25+AR27</f>
        <v>1250724</v>
      </c>
      <c r="AS28" s="42">
        <f t="shared" si="69"/>
        <v>1450904</v>
      </c>
      <c r="AT28" s="42">
        <f t="shared" ref="AT28:AU28" si="70">AT25+AT27</f>
        <v>1066358</v>
      </c>
      <c r="AU28" s="42">
        <f t="shared" si="70"/>
        <v>77697</v>
      </c>
      <c r="AV28" s="42">
        <f t="shared" ref="AV28:AW28" si="71">AV25+AV27</f>
        <v>602097</v>
      </c>
      <c r="AW28" s="42">
        <f t="shared" si="71"/>
        <v>63170</v>
      </c>
      <c r="AX28" s="42">
        <f t="shared" ref="AX28:AY28" si="72">AX25+AX27</f>
        <v>2452772</v>
      </c>
      <c r="AY28" s="42">
        <f t="shared" si="72"/>
        <v>2777489</v>
      </c>
      <c r="AZ28" s="308"/>
      <c r="BA28" s="42">
        <f t="shared" ref="BA28:BF28" si="73">BA25+BA27</f>
        <v>-150206.76118999999</v>
      </c>
      <c r="BB28" s="42">
        <f t="shared" si="73"/>
        <v>84215.466889999982</v>
      </c>
      <c r="BC28" s="42">
        <f t="shared" si="73"/>
        <v>259083</v>
      </c>
      <c r="BD28" s="42">
        <f t="shared" si="73"/>
        <v>42209.178909884242</v>
      </c>
      <c r="BE28" s="42">
        <f t="shared" si="73"/>
        <v>186615</v>
      </c>
      <c r="BF28" s="42">
        <f t="shared" si="73"/>
        <v>878255.77635215386</v>
      </c>
      <c r="BG28" s="42">
        <f>BG25+BG27</f>
        <v>942748.4251700677</v>
      </c>
      <c r="BH28" s="42">
        <f>SUM(AD28:AG28)</f>
        <v>2121443.7795085656</v>
      </c>
      <c r="BI28" s="42">
        <f>SUM(AH28:AK28)</f>
        <v>3916213</v>
      </c>
      <c r="BJ28" s="68">
        <f>SUM(AL28:AO28)</f>
        <v>6993993</v>
      </c>
      <c r="BK28" s="68">
        <f>SUM(AP28:AS28)</f>
        <v>6945461</v>
      </c>
      <c r="BL28" s="68">
        <f>SUM(AT28:AW28)</f>
        <v>1809322</v>
      </c>
      <c r="BM28" s="308"/>
    </row>
    <row r="29" spans="1:65" s="139" customFormat="1" ht="19.5" customHeight="1" thickBot="1">
      <c r="A29" s="137" t="s">
        <v>86</v>
      </c>
      <c r="B29" s="144">
        <f t="shared" ref="B29:Z29" si="74">B28/B7</f>
        <v>7.2250629435531719E-2</v>
      </c>
      <c r="C29" s="144">
        <f t="shared" si="74"/>
        <v>7.9053417149335406E-2</v>
      </c>
      <c r="D29" s="144">
        <f t="shared" si="74"/>
        <v>-3.6105762158067361E-3</v>
      </c>
      <c r="E29" s="144">
        <f t="shared" si="74"/>
        <v>-2.1581152742120744</v>
      </c>
      <c r="F29" s="144">
        <f t="shared" si="74"/>
        <v>-7.8710076241500104</v>
      </c>
      <c r="G29" s="144">
        <f t="shared" si="74"/>
        <v>-6.4726055697876206E-2</v>
      </c>
      <c r="H29" s="144">
        <f t="shared" si="74"/>
        <v>-0.24838781258170947</v>
      </c>
      <c r="I29" s="144">
        <f t="shared" si="74"/>
        <v>6.8370536583038826</v>
      </c>
      <c r="J29" s="144">
        <f t="shared" si="74"/>
        <v>-1.0312944180780073</v>
      </c>
      <c r="K29" s="144">
        <f t="shared" si="74"/>
        <v>-0.1497470521662588</v>
      </c>
      <c r="L29" s="144">
        <f t="shared" si="74"/>
        <v>-0.115669122822137</v>
      </c>
      <c r="M29" s="144">
        <f t="shared" si="74"/>
        <v>2.9319582553038095</v>
      </c>
      <c r="N29" s="144">
        <f t="shared" si="74"/>
        <v>-0.16419292889191497</v>
      </c>
      <c r="O29" s="144">
        <f t="shared" si="74"/>
        <v>0.24876050595793114</v>
      </c>
      <c r="P29" s="144">
        <f t="shared" si="74"/>
        <v>-4.59941461995746E-3</v>
      </c>
      <c r="Q29" s="144">
        <f t="shared" si="74"/>
        <v>8.4242037366954403E-2</v>
      </c>
      <c r="R29" s="144">
        <f t="shared" si="74"/>
        <v>-7.7845589176731679E-3</v>
      </c>
      <c r="S29" s="144">
        <f t="shared" si="74"/>
        <v>0.26445980660387208</v>
      </c>
      <c r="T29" s="144">
        <f t="shared" si="74"/>
        <v>0.31776233489295586</v>
      </c>
      <c r="U29" s="144">
        <f t="shared" si="74"/>
        <v>0.19734586322941139</v>
      </c>
      <c r="V29" s="144">
        <f t="shared" si="74"/>
        <v>0.15816388378010948</v>
      </c>
      <c r="W29" s="144">
        <f t="shared" si="74"/>
        <v>0.38688294940289986</v>
      </c>
      <c r="X29" s="144">
        <f t="shared" si="74"/>
        <v>0.26427702659893809</v>
      </c>
      <c r="Y29" s="144">
        <f t="shared" si="74"/>
        <v>0.96541921678010467</v>
      </c>
      <c r="Z29" s="144">
        <f t="shared" si="74"/>
        <v>0.22812974548655968</v>
      </c>
      <c r="AA29" s="144">
        <f>AA28/AA7</f>
        <v>0.32626836938184189</v>
      </c>
      <c r="AB29" s="144">
        <f>AB28/AB7</f>
        <v>0.22104824221321559</v>
      </c>
      <c r="AC29" s="144">
        <f t="shared" ref="AC29" si="75">AC28/AC7</f>
        <v>0.77488089247386682</v>
      </c>
      <c r="AD29" s="144">
        <f t="shared" ref="AD29:AE29" si="76">AD28/AD7</f>
        <v>0.48337641569031975</v>
      </c>
      <c r="AE29" s="144">
        <f t="shared" si="76"/>
        <v>0.41201090691869768</v>
      </c>
      <c r="AF29" s="144">
        <f t="shared" ref="AF29:AG29" si="77">AF28/AF7</f>
        <v>0.4595218145840001</v>
      </c>
      <c r="AG29" s="144">
        <f t="shared" si="77"/>
        <v>0.5350696267004923</v>
      </c>
      <c r="AH29" s="144">
        <f t="shared" ref="AH29:AI29" si="78">AH28/AH7</f>
        <v>0.62138176922146804</v>
      </c>
      <c r="AI29" s="144">
        <f t="shared" si="78"/>
        <v>0.54570500831116575</v>
      </c>
      <c r="AJ29" s="144">
        <f>AJ28/AJ7</f>
        <v>0.64336841935636568</v>
      </c>
      <c r="AK29" s="144">
        <f>AK28/AK7</f>
        <v>0.68322979452793386</v>
      </c>
      <c r="AL29" s="144">
        <f>AL28/AL7</f>
        <v>0.53991733438012335</v>
      </c>
      <c r="AM29" s="144">
        <f t="shared" ref="AM29:AQ29" si="79">AM28/AM7</f>
        <v>0.51107041085909266</v>
      </c>
      <c r="AN29" s="144">
        <f t="shared" si="79"/>
        <v>0.51179337978835693</v>
      </c>
      <c r="AO29" s="144">
        <f t="shared" si="79"/>
        <v>0.6834181825338157</v>
      </c>
      <c r="AP29" s="144">
        <f t="shared" si="79"/>
        <v>0.54093978054945802</v>
      </c>
      <c r="AQ29" s="144">
        <f t="shared" si="79"/>
        <v>0.63745645445411614</v>
      </c>
      <c r="AR29" s="144">
        <f t="shared" ref="AR29:AS29" si="80">AR28/AR7</f>
        <v>0.46674762227120026</v>
      </c>
      <c r="AS29" s="144">
        <f t="shared" si="80"/>
        <v>0.4653205793063282</v>
      </c>
      <c r="AT29" s="144">
        <f t="shared" ref="AT29:AU29" si="81">AT28/AT7</f>
        <v>0.25025421845397161</v>
      </c>
      <c r="AU29" s="144">
        <f t="shared" si="81"/>
        <v>2.6630029825414049E-2</v>
      </c>
      <c r="AV29" s="144">
        <f t="shared" ref="AV29:AW29" si="82">AV28/AV7</f>
        <v>0.18871816442539877</v>
      </c>
      <c r="AW29" s="144">
        <f t="shared" si="82"/>
        <v>1.8254598037623488E-2</v>
      </c>
      <c r="AX29" s="144">
        <f t="shared" ref="AX29:AY29" si="83">AX28/AX7</f>
        <v>0.38556528212860625</v>
      </c>
      <c r="AY29" s="144">
        <f t="shared" si="83"/>
        <v>0.41451991016784429</v>
      </c>
      <c r="AZ29" s="309"/>
      <c r="BA29" s="144">
        <f t="shared" ref="BA29:BF29" si="84">BA28/BA7</f>
        <v>-0.3085347747201847</v>
      </c>
      <c r="BB29" s="144">
        <f t="shared" si="84"/>
        <v>0.33277407087339117</v>
      </c>
      <c r="BC29" s="144">
        <f t="shared" si="84"/>
        <v>0.65117337026322597</v>
      </c>
      <c r="BD29" s="144">
        <f t="shared" si="84"/>
        <v>7.9054943834630506E-2</v>
      </c>
      <c r="BE29" s="144">
        <f t="shared" si="84"/>
        <v>0.21982636762003488</v>
      </c>
      <c r="BF29" s="144">
        <f t="shared" si="84"/>
        <v>0.53410643560723559</v>
      </c>
      <c r="BG29" s="144">
        <f t="shared" ref="BG29:BL29" si="85">BG28/BG7</f>
        <v>0.49509311365718572</v>
      </c>
      <c r="BH29" s="144">
        <f t="shared" si="85"/>
        <v>0.48258472254712786</v>
      </c>
      <c r="BI29" s="144">
        <f t="shared" si="85"/>
        <v>0.61542050530567027</v>
      </c>
      <c r="BJ29" s="144">
        <f t="shared" si="85"/>
        <v>0.56295594829074602</v>
      </c>
      <c r="BK29" s="144">
        <f t="shared" si="85"/>
        <v>0.5368406293596083</v>
      </c>
      <c r="BL29" s="144">
        <f t="shared" si="85"/>
        <v>0.13082873314885596</v>
      </c>
      <c r="BM29" s="308"/>
    </row>
    <row r="30" spans="1:65" s="8" customFormat="1" ht="18.75" customHeight="1" thickBot="1">
      <c r="A30" s="145" t="s">
        <v>72</v>
      </c>
      <c r="B30" s="133">
        <f>'IS (R$)'!B34</f>
        <v>-7110</v>
      </c>
      <c r="C30" s="133">
        <f>'IS (R$)'!C34</f>
        <v>-1637</v>
      </c>
      <c r="D30" s="133">
        <f>'IS (R$)'!D34</f>
        <v>20867</v>
      </c>
      <c r="E30" s="133">
        <f>'IS (R$)'!E34</f>
        <v>2713</v>
      </c>
      <c r="F30" s="133">
        <f>'IS (R$)'!F34</f>
        <v>-15804</v>
      </c>
      <c r="G30" s="133">
        <f>'IS (R$)'!G34</f>
        <v>-12127</v>
      </c>
      <c r="H30" s="133">
        <f>'IS (R$)'!H34</f>
        <v>29111</v>
      </c>
      <c r="I30" s="133">
        <f>'IS (R$)'!I34</f>
        <v>15511</v>
      </c>
      <c r="J30" s="133">
        <f>'IS (R$)'!J34</f>
        <v>-22219</v>
      </c>
      <c r="K30" s="133">
        <f>'IS (R$)'!K34</f>
        <v>-35877</v>
      </c>
      <c r="L30" s="133">
        <f>'IS (R$)'!L34</f>
        <v>109994</v>
      </c>
      <c r="M30" s="133">
        <f>'IS (R$)'!M34</f>
        <v>-64074</v>
      </c>
      <c r="N30" s="133">
        <f>'IS (R$)'!N34</f>
        <v>21602</v>
      </c>
      <c r="O30" s="133">
        <f>'IS (R$)'!O34</f>
        <v>10692</v>
      </c>
      <c r="P30" s="133">
        <f>'IS (R$)'!P34</f>
        <v>14224</v>
      </c>
      <c r="Q30" s="133">
        <f>'IS (R$)'!Q34</f>
        <v>-60293</v>
      </c>
      <c r="R30" s="133">
        <f>'IS (R$)'!R34</f>
        <v>-27859</v>
      </c>
      <c r="S30" s="133">
        <f>'IS (R$)'!S34</f>
        <v>13368</v>
      </c>
      <c r="T30" s="133">
        <f>'IS (R$)'!T34</f>
        <v>27044</v>
      </c>
      <c r="U30" s="133">
        <f>'IS (R$)'!U34</f>
        <v>38317</v>
      </c>
      <c r="V30" s="133">
        <f>'IS (R$)'!V34</f>
        <v>-140139.25098636447</v>
      </c>
      <c r="W30" s="133">
        <f>'IS (R$)'!W34</f>
        <v>-11654</v>
      </c>
      <c r="X30" s="133">
        <f>'IS (R$)'!X34</f>
        <v>-168878</v>
      </c>
      <c r="Y30" s="133">
        <f>'IS (R$)'!Y34</f>
        <v>-16582.749013635563</v>
      </c>
      <c r="Z30" s="133">
        <f>'IS (R$)'!Z34</f>
        <v>-103482.87228324357</v>
      </c>
      <c r="AA30" s="133">
        <f>'IS (R$)'!AA34</f>
        <v>-224644</v>
      </c>
      <c r="AB30" s="133">
        <f>'IS (R$)'!AB34</f>
        <v>-182181.56236137112</v>
      </c>
      <c r="AC30" s="133">
        <f>'IS (R$)'!AC34</f>
        <v>51639.485327776056</v>
      </c>
      <c r="AD30" s="133">
        <f>'IS (R$)'!AD34</f>
        <v>-362048</v>
      </c>
      <c r="AE30" s="133">
        <f>'IS (R$)'!AE34</f>
        <v>140421</v>
      </c>
      <c r="AF30" s="133">
        <f>'IS (R$)'!AF34</f>
        <v>-264307</v>
      </c>
      <c r="AG30" s="133">
        <f>'IS (R$)'!AG34</f>
        <v>-136388.03108174179</v>
      </c>
      <c r="AH30" s="133">
        <f>'IS (R$)'!AH34</f>
        <v>-45470</v>
      </c>
      <c r="AI30" s="133">
        <f>'IS (R$)'!AI34</f>
        <v>-191898</v>
      </c>
      <c r="AJ30" s="133">
        <f>'IS (R$)'!AJ34</f>
        <v>-31198</v>
      </c>
      <c r="AK30" s="133">
        <f>'IS (R$)'!AK34</f>
        <v>14173</v>
      </c>
      <c r="AL30" s="133">
        <f>'IS (R$)'!AL34</f>
        <v>-264290</v>
      </c>
      <c r="AM30" s="133">
        <f>'IS (R$)'!AM34</f>
        <v>-341054</v>
      </c>
      <c r="AN30" s="133">
        <f>'IS (R$)'!AN34</f>
        <v>-112097</v>
      </c>
      <c r="AO30" s="133">
        <f>'IS (R$)'!AO34</f>
        <v>-333749</v>
      </c>
      <c r="AP30" s="133">
        <f>'IS (R$)'!AP34</f>
        <v>-198679</v>
      </c>
      <c r="AQ30" s="133">
        <f>'IS (R$)'!AQ34</f>
        <v>-55870</v>
      </c>
      <c r="AR30" s="133">
        <f>'IS (R$)'!AR34</f>
        <v>-205831</v>
      </c>
      <c r="AS30" s="133">
        <f>'IS (R$)'!AS34</f>
        <v>-123962</v>
      </c>
      <c r="AT30" s="133">
        <f>'IS (R$)'!AT34</f>
        <v>-481631</v>
      </c>
      <c r="AU30" s="133">
        <f>'IS (R$)'!AU34</f>
        <v>-504544</v>
      </c>
      <c r="AV30" s="133">
        <f>'IS (R$)'!AV34</f>
        <v>-758847</v>
      </c>
      <c r="AW30" s="133">
        <f>'IS (R$)'!AW34</f>
        <v>-296913</v>
      </c>
      <c r="AX30" s="133">
        <f>'IS (R$)'!AX34</f>
        <v>-740796</v>
      </c>
      <c r="AY30" s="133">
        <f>'IS (R$)'!AY34</f>
        <v>-670300</v>
      </c>
      <c r="AZ30" s="308"/>
      <c r="BA30" s="129">
        <f>SUM(B30:E30)</f>
        <v>14833</v>
      </c>
      <c r="BB30" s="129">
        <f>SUM(F30:I30)</f>
        <v>16691</v>
      </c>
      <c r="BC30" s="129">
        <f>SUM(J30:M30)</f>
        <v>-12176</v>
      </c>
      <c r="BD30" s="129">
        <f>SUM(N30:Q30)</f>
        <v>-13775</v>
      </c>
      <c r="BE30" s="129">
        <f>SUM(R30:U30)</f>
        <v>50870</v>
      </c>
      <c r="BF30" s="129">
        <f>SUM(V30:Y30)</f>
        <v>-337254</v>
      </c>
      <c r="BG30" s="133">
        <f>SUM(Z30:AC30)</f>
        <v>-458668.94931683864</v>
      </c>
      <c r="BH30" s="129">
        <f>SUM(AD30:AG30)</f>
        <v>-622322.03108174179</v>
      </c>
      <c r="BI30" s="129">
        <f>SUM(AH30:AK30)</f>
        <v>-254393</v>
      </c>
      <c r="BJ30" s="129">
        <f>SUM(AL30:AO30)</f>
        <v>-1051190</v>
      </c>
      <c r="BK30" s="129">
        <f>SUM(AP30:AS30)</f>
        <v>-584342</v>
      </c>
      <c r="BL30" s="129">
        <f>SUM(AT30:AW30)</f>
        <v>-2041935</v>
      </c>
      <c r="BM30" s="308"/>
    </row>
    <row r="31" spans="1:65" s="8" customFormat="1" ht="19.5" customHeight="1" thickBot="1">
      <c r="A31" s="131" t="s">
        <v>87</v>
      </c>
      <c r="B31" s="132">
        <f t="shared" ref="B31:Z31" si="86">B28+B30</f>
        <v>3243.7319500000012</v>
      </c>
      <c r="C31" s="132">
        <f t="shared" si="86"/>
        <v>9240.9873599999992</v>
      </c>
      <c r="D31" s="132">
        <f t="shared" si="86"/>
        <v>20409.518329999992</v>
      </c>
      <c r="E31" s="132">
        <f t="shared" si="86"/>
        <v>-168267.99883000003</v>
      </c>
      <c r="F31" s="132">
        <f t="shared" si="86"/>
        <v>-54002</v>
      </c>
      <c r="G31" s="132">
        <f t="shared" si="86"/>
        <v>-18393</v>
      </c>
      <c r="H31" s="132">
        <f t="shared" si="86"/>
        <v>-2667.9977597744873</v>
      </c>
      <c r="I31" s="132">
        <f t="shared" si="86"/>
        <v>175969.46464977445</v>
      </c>
      <c r="J31" s="132">
        <f t="shared" si="86"/>
        <v>-65027</v>
      </c>
      <c r="K31" s="132">
        <f t="shared" si="86"/>
        <v>-51358</v>
      </c>
      <c r="L31" s="132">
        <f t="shared" si="86"/>
        <v>93888</v>
      </c>
      <c r="M31" s="132">
        <f t="shared" si="86"/>
        <v>269404</v>
      </c>
      <c r="N31" s="132">
        <f t="shared" si="86"/>
        <v>9322.6568450814375</v>
      </c>
      <c r="O31" s="132">
        <f t="shared" si="86"/>
        <v>49376</v>
      </c>
      <c r="P31" s="132">
        <f t="shared" si="86"/>
        <v>13718</v>
      </c>
      <c r="Q31" s="132">
        <f t="shared" si="86"/>
        <v>-43982.477935197123</v>
      </c>
      <c r="R31" s="132">
        <f t="shared" si="86"/>
        <v>-28771</v>
      </c>
      <c r="S31" s="132">
        <f t="shared" si="86"/>
        <v>76681</v>
      </c>
      <c r="T31" s="132">
        <f t="shared" si="86"/>
        <v>98422</v>
      </c>
      <c r="U31" s="132">
        <f t="shared" si="86"/>
        <v>91153</v>
      </c>
      <c r="V31" s="132">
        <f t="shared" si="86"/>
        <v>-118142.93601322098</v>
      </c>
      <c r="W31" s="132">
        <f t="shared" si="86"/>
        <v>200448</v>
      </c>
      <c r="X31" s="132">
        <f t="shared" si="86"/>
        <v>-63419.529304264579</v>
      </c>
      <c r="Y31" s="132">
        <f t="shared" si="86"/>
        <v>522116.24166963925</v>
      </c>
      <c r="Z31" s="132">
        <f t="shared" si="86"/>
        <v>-52572.979654497234</v>
      </c>
      <c r="AA31" s="132">
        <f>AA28+AA30</f>
        <v>-122752.99838900584</v>
      </c>
      <c r="AB31" s="132">
        <f>AB28+AB30</f>
        <v>-74156.391632983723</v>
      </c>
      <c r="AC31" s="132">
        <f t="shared" ref="AC31" si="87">AC28+AC30</f>
        <v>733561.845529716</v>
      </c>
      <c r="AD31" s="132">
        <f t="shared" ref="AD31:AE31" si="88">AD28+AD30</f>
        <v>-45275</v>
      </c>
      <c r="AE31" s="132">
        <f t="shared" si="88"/>
        <v>561841</v>
      </c>
      <c r="AF31" s="132">
        <f t="shared" ref="AF31:AG31" si="89">AF28+AF30</f>
        <v>167421.55667251605</v>
      </c>
      <c r="AG31" s="132">
        <f t="shared" si="89"/>
        <v>815134.1917543076</v>
      </c>
      <c r="AH31" s="132">
        <f t="shared" ref="AH31:AI31" si="90">AH28+AH30</f>
        <v>905241</v>
      </c>
      <c r="AI31" s="132">
        <f t="shared" si="90"/>
        <v>830745</v>
      </c>
      <c r="AJ31" s="132">
        <f t="shared" ref="AJ31" si="91">AJ28+AJ30</f>
        <v>1246394</v>
      </c>
      <c r="AK31" s="132">
        <f>AK28+AK30</f>
        <v>679440</v>
      </c>
      <c r="AL31" s="132">
        <f>AL28+AL30</f>
        <v>1255553</v>
      </c>
      <c r="AM31" s="132">
        <f t="shared" ref="AM31:AQ31" si="92">AM28+AM30</f>
        <v>840135</v>
      </c>
      <c r="AN31" s="132">
        <f t="shared" si="92"/>
        <v>1958358</v>
      </c>
      <c r="AO31" s="132">
        <f t="shared" si="92"/>
        <v>1888757</v>
      </c>
      <c r="AP31" s="132">
        <f t="shared" si="92"/>
        <v>1525077</v>
      </c>
      <c r="AQ31" s="132">
        <f t="shared" si="92"/>
        <v>2464207</v>
      </c>
      <c r="AR31" s="132">
        <f t="shared" ref="AR31:AS31" si="93">AR28+AR30</f>
        <v>1044893</v>
      </c>
      <c r="AS31" s="132">
        <f t="shared" si="93"/>
        <v>1326942</v>
      </c>
      <c r="AT31" s="132">
        <f t="shared" ref="AT31:AU31" si="94">AT28+AT30</f>
        <v>584727</v>
      </c>
      <c r="AU31" s="132">
        <f t="shared" si="94"/>
        <v>-426847</v>
      </c>
      <c r="AV31" s="132">
        <f t="shared" ref="AV31:AW31" si="95">AV28+AV30</f>
        <v>-156750</v>
      </c>
      <c r="AW31" s="132">
        <f t="shared" si="95"/>
        <v>-233743</v>
      </c>
      <c r="AX31" s="132">
        <f t="shared" ref="AX31:AY31" si="96">AX28+AX30</f>
        <v>1711976</v>
      </c>
      <c r="AY31" s="132">
        <f t="shared" si="96"/>
        <v>2107189</v>
      </c>
      <c r="AZ31" s="308"/>
      <c r="BA31" s="132">
        <f t="shared" ref="BA31:BF31" si="97">+BA28+BA30</f>
        <v>-135373.76118999999</v>
      </c>
      <c r="BB31" s="132">
        <f t="shared" si="97"/>
        <v>100906.46688999998</v>
      </c>
      <c r="BC31" s="132">
        <f t="shared" si="97"/>
        <v>246907</v>
      </c>
      <c r="BD31" s="132">
        <f t="shared" si="97"/>
        <v>28434.178909884242</v>
      </c>
      <c r="BE31" s="132">
        <f t="shared" si="97"/>
        <v>237485</v>
      </c>
      <c r="BF31" s="132">
        <f t="shared" si="97"/>
        <v>541001.77635215386</v>
      </c>
      <c r="BG31" s="132">
        <f>BG28+BG30</f>
        <v>484079.47585322906</v>
      </c>
      <c r="BH31" s="132">
        <f>BH28+BH30</f>
        <v>1499121.7484268239</v>
      </c>
      <c r="BI31" s="132">
        <f>BI28+BI30</f>
        <v>3661820</v>
      </c>
      <c r="BJ31" s="132">
        <f>BJ28+BJ30</f>
        <v>5942803</v>
      </c>
      <c r="BK31" s="132">
        <f>SUM(AP31:AS31)</f>
        <v>6361119</v>
      </c>
      <c r="BL31" s="132">
        <f>SUM(AT31:AW31)</f>
        <v>-232613</v>
      </c>
      <c r="BM31" s="308"/>
    </row>
    <row r="32" spans="1:65" s="8" customFormat="1" ht="19.5" customHeight="1" thickBot="1">
      <c r="A32" s="9" t="s">
        <v>76</v>
      </c>
      <c r="B32" s="128">
        <f>'IS (R$)'!B39</f>
        <v>-1545</v>
      </c>
      <c r="C32" s="128">
        <f>'IS (R$)'!C39</f>
        <v>502</v>
      </c>
      <c r="D32" s="128">
        <f>'IS (R$)'!D39</f>
        <v>-4064</v>
      </c>
      <c r="E32" s="128">
        <f>'IS (R$)'!E39</f>
        <v>10634</v>
      </c>
      <c r="F32" s="128">
        <f>'IS (R$)'!F39</f>
        <v>463</v>
      </c>
      <c r="G32" s="128">
        <f>'IS (R$)'!G39</f>
        <v>2158</v>
      </c>
      <c r="H32" s="128">
        <f>'IS (R$)'!H39</f>
        <v>2690</v>
      </c>
      <c r="I32" s="128">
        <f>'IS (R$)'!I39</f>
        <v>216</v>
      </c>
      <c r="J32" s="128">
        <f>'IS (R$)'!J39</f>
        <v>-360</v>
      </c>
      <c r="K32" s="128">
        <f>'IS (R$)'!K39</f>
        <v>336</v>
      </c>
      <c r="L32" s="128">
        <f>'IS (R$)'!L39</f>
        <v>-22417</v>
      </c>
      <c r="M32" s="128">
        <f>'IS (R$)'!M39</f>
        <v>11112</v>
      </c>
      <c r="N32" s="128">
        <f>'IS (R$)'!N39</f>
        <v>-5303.8250048387099</v>
      </c>
      <c r="O32" s="128">
        <f>'IS (R$)'!O39</f>
        <v>-2270</v>
      </c>
      <c r="P32" s="128">
        <f>'IS (R$)'!P39</f>
        <v>2664</v>
      </c>
      <c r="Q32" s="128">
        <f>'IS (R$)'!Q39</f>
        <v>7103</v>
      </c>
      <c r="R32" s="128">
        <f>'IS (R$)'!R39</f>
        <v>316</v>
      </c>
      <c r="S32" s="128">
        <f>'IS (R$)'!S39</f>
        <v>-326</v>
      </c>
      <c r="T32" s="128">
        <f>'IS (R$)'!T39</f>
        <v>-25754</v>
      </c>
      <c r="U32" s="128">
        <f>'IS (R$)'!U39</f>
        <v>-5425</v>
      </c>
      <c r="V32" s="128">
        <f>'IS (R$)'!V39</f>
        <v>-4761</v>
      </c>
      <c r="W32" s="128">
        <f>'IS (R$)'!W39</f>
        <v>-35686</v>
      </c>
      <c r="X32" s="128">
        <f>'IS (R$)'!X39</f>
        <v>-721</v>
      </c>
      <c r="Y32" s="128">
        <f>'IS (R$)'!Y39</f>
        <v>342511.87936303503</v>
      </c>
      <c r="Z32" s="128">
        <f>'IS (R$)'!Z39</f>
        <v>-8889.5231999999996</v>
      </c>
      <c r="AA32" s="128">
        <f>'IS (R$)'!AA39</f>
        <v>22952</v>
      </c>
      <c r="AB32" s="128">
        <f>'IS (R$)'!AB39</f>
        <v>-36441.413292637924</v>
      </c>
      <c r="AC32" s="128">
        <f>'IS (R$)'!AC39</f>
        <v>-8788.6238634373294</v>
      </c>
      <c r="AD32" s="128">
        <f>'IS (R$)'!AD39</f>
        <v>-20517</v>
      </c>
      <c r="AE32" s="128">
        <f>'IS (R$)'!AE39</f>
        <v>-140939</v>
      </c>
      <c r="AF32" s="128">
        <f>'IS (R$)'!AF39</f>
        <v>-70317</v>
      </c>
      <c r="AG32" s="128">
        <f>'IS (R$)'!AG39</f>
        <v>65697.968032402321</v>
      </c>
      <c r="AH32" s="128">
        <f>'IS (R$)'!AH39</f>
        <v>163727</v>
      </c>
      <c r="AI32" s="128">
        <f>'IS (R$)'!AI39</f>
        <v>-191665</v>
      </c>
      <c r="AJ32" s="128">
        <f>'IS (R$)'!AJ39</f>
        <v>-454080</v>
      </c>
      <c r="AK32" s="128">
        <f>'IS (R$)'!AK39</f>
        <v>247270</v>
      </c>
      <c r="AL32" s="128">
        <f>'IS (R$)'!AL39</f>
        <v>-93488</v>
      </c>
      <c r="AM32" s="128">
        <f>'IS (R$)'!AM39</f>
        <v>834</v>
      </c>
      <c r="AN32" s="128">
        <f>'IS (R$)'!AN39</f>
        <v>-491403</v>
      </c>
      <c r="AO32" s="128">
        <f>'IS (R$)'!AO39</f>
        <v>-340710</v>
      </c>
      <c r="AP32" s="128">
        <f>'IS (R$)'!AP39</f>
        <v>-479524</v>
      </c>
      <c r="AQ32" s="128">
        <f>'IS (R$)'!AQ39</f>
        <v>-1044198</v>
      </c>
      <c r="AR32" s="128">
        <f>'IS (R$)'!AR39</f>
        <v>-157743</v>
      </c>
      <c r="AS32" s="128">
        <f>'IS (R$)'!AS39</f>
        <v>5621952</v>
      </c>
      <c r="AT32" s="128">
        <f>'IS (R$)'!AT39</f>
        <v>1487932</v>
      </c>
      <c r="AU32" s="128">
        <f>'IS (R$)'!AU39</f>
        <v>1107521</v>
      </c>
      <c r="AV32" s="128">
        <f>'IS (R$)'!AV39</f>
        <v>505455</v>
      </c>
      <c r="AW32" s="128">
        <f>'IS (R$)'!AW39</f>
        <v>-616816</v>
      </c>
      <c r="AX32" s="128">
        <f>'IS (R$)'!AX39</f>
        <v>698907</v>
      </c>
      <c r="AY32" s="128">
        <f>'IS (R$)'!AY39</f>
        <v>-147325</v>
      </c>
      <c r="AZ32" s="308"/>
      <c r="BA32" s="42">
        <f>SUM(B32:E32)</f>
        <v>5527</v>
      </c>
      <c r="BB32" s="42">
        <f>SUM(F32:I32)</f>
        <v>5527</v>
      </c>
      <c r="BC32" s="42">
        <f>SUM(J32:M32)</f>
        <v>-11329</v>
      </c>
      <c r="BD32" s="42">
        <f>SUM(N32:Q32)</f>
        <v>2193.1749951612901</v>
      </c>
      <c r="BE32" s="42">
        <f>SUM(R32:U32)</f>
        <v>-31189</v>
      </c>
      <c r="BF32" s="42">
        <f>SUM(V32:Y32)</f>
        <v>301343.87936303503</v>
      </c>
      <c r="BG32" s="128">
        <f>SUM(Z32:AC32)</f>
        <v>-31167.560356075253</v>
      </c>
      <c r="BH32" s="42">
        <f>SUM(AD32:AG32)</f>
        <v>-166075.03196759766</v>
      </c>
      <c r="BI32" s="42">
        <f>SUM(AH32:AK32)</f>
        <v>-234748</v>
      </c>
      <c r="BJ32" s="132">
        <f>SUM(AL32:AO32)</f>
        <v>-924767</v>
      </c>
      <c r="BK32" s="132">
        <f>SUM(AP32:AS32)</f>
        <v>3940487</v>
      </c>
      <c r="BL32" s="132">
        <f>SUM(AT32:AW32)</f>
        <v>2484092</v>
      </c>
      <c r="BM32" s="308"/>
    </row>
    <row r="33" spans="1:65" s="8" customFormat="1" ht="19.5" customHeight="1">
      <c r="A33" s="134" t="s">
        <v>79</v>
      </c>
      <c r="B33" s="135">
        <f t="shared" ref="B33:Z33" si="98">+B31+B32</f>
        <v>1698.7319500000012</v>
      </c>
      <c r="C33" s="135">
        <f t="shared" si="98"/>
        <v>9742.9873599999992</v>
      </c>
      <c r="D33" s="135">
        <f t="shared" si="98"/>
        <v>16345.518329999992</v>
      </c>
      <c r="E33" s="135">
        <f t="shared" si="98"/>
        <v>-157633.99883000003</v>
      </c>
      <c r="F33" s="135">
        <f t="shared" si="98"/>
        <v>-53539</v>
      </c>
      <c r="G33" s="135">
        <f t="shared" si="98"/>
        <v>-16235</v>
      </c>
      <c r="H33" s="135">
        <f t="shared" si="98"/>
        <v>22.002240225512651</v>
      </c>
      <c r="I33" s="135">
        <f t="shared" si="98"/>
        <v>176185.46464977445</v>
      </c>
      <c r="J33" s="135">
        <f t="shared" si="98"/>
        <v>-65387</v>
      </c>
      <c r="K33" s="135">
        <f t="shared" si="98"/>
        <v>-51022</v>
      </c>
      <c r="L33" s="135">
        <f t="shared" si="98"/>
        <v>71471</v>
      </c>
      <c r="M33" s="135">
        <f t="shared" si="98"/>
        <v>280516</v>
      </c>
      <c r="N33" s="135">
        <f t="shared" si="98"/>
        <v>4018.8318402427276</v>
      </c>
      <c r="O33" s="135">
        <f t="shared" si="98"/>
        <v>47106</v>
      </c>
      <c r="P33" s="135">
        <f t="shared" si="98"/>
        <v>16382</v>
      </c>
      <c r="Q33" s="135">
        <f t="shared" si="98"/>
        <v>-36879.477935197123</v>
      </c>
      <c r="R33" s="135">
        <f t="shared" si="98"/>
        <v>-28455</v>
      </c>
      <c r="S33" s="135">
        <f t="shared" si="98"/>
        <v>76355</v>
      </c>
      <c r="T33" s="135">
        <f t="shared" si="98"/>
        <v>72668</v>
      </c>
      <c r="U33" s="135">
        <f t="shared" si="98"/>
        <v>85728</v>
      </c>
      <c r="V33" s="135">
        <f t="shared" si="98"/>
        <v>-122903.93601322098</v>
      </c>
      <c r="W33" s="135">
        <f t="shared" si="98"/>
        <v>164762</v>
      </c>
      <c r="X33" s="135">
        <f t="shared" si="98"/>
        <v>-64140.529304264579</v>
      </c>
      <c r="Y33" s="135">
        <f t="shared" si="98"/>
        <v>864628.12103267433</v>
      </c>
      <c r="Z33" s="135">
        <f t="shared" si="98"/>
        <v>-61462.50285449723</v>
      </c>
      <c r="AA33" s="135">
        <f t="shared" ref="AA33:AB33" si="99">+AA31+AA32</f>
        <v>-99800.998389005836</v>
      </c>
      <c r="AB33" s="135">
        <f t="shared" si="99"/>
        <v>-110597.80492562165</v>
      </c>
      <c r="AC33" s="135">
        <f t="shared" ref="AC33" si="100">+AC31+AC32</f>
        <v>724773.22166627867</v>
      </c>
      <c r="AD33" s="135">
        <f t="shared" ref="AD33:AE33" si="101">+AD31+AD32</f>
        <v>-65792</v>
      </c>
      <c r="AE33" s="135">
        <f t="shared" si="101"/>
        <v>420902</v>
      </c>
      <c r="AF33" s="135">
        <f t="shared" ref="AF33:AG33" si="102">+AF31+AF32</f>
        <v>97104.556672516046</v>
      </c>
      <c r="AG33" s="135">
        <f t="shared" si="102"/>
        <v>880832.15978670993</v>
      </c>
      <c r="AH33" s="135">
        <f t="shared" ref="AH33" si="103">+AH31+AH32</f>
        <v>1068968</v>
      </c>
      <c r="AI33" s="135">
        <f>+AI31+AI32</f>
        <v>639080</v>
      </c>
      <c r="AJ33" s="135">
        <f>+AJ31+AJ32</f>
        <v>792314</v>
      </c>
      <c r="AK33" s="135">
        <f>+AK31+AK32</f>
        <v>926710</v>
      </c>
      <c r="AL33" s="135">
        <f>+AL31+AL32</f>
        <v>1162065</v>
      </c>
      <c r="AM33" s="135">
        <f t="shared" ref="AM33:AQ33" si="104">+AM31+AM32</f>
        <v>840969</v>
      </c>
      <c r="AN33" s="135">
        <f t="shared" si="104"/>
        <v>1466955</v>
      </c>
      <c r="AO33" s="135">
        <f t="shared" si="104"/>
        <v>1548047</v>
      </c>
      <c r="AP33" s="135">
        <f t="shared" si="104"/>
        <v>1045553</v>
      </c>
      <c r="AQ33" s="135">
        <f t="shared" si="104"/>
        <v>1420009</v>
      </c>
      <c r="AR33" s="135">
        <f t="shared" ref="AR33:AS33" si="105">+AR31+AR32</f>
        <v>887150</v>
      </c>
      <c r="AS33" s="135">
        <f t="shared" si="105"/>
        <v>6948894</v>
      </c>
      <c r="AT33" s="135">
        <f t="shared" ref="AT33:AU33" si="106">+AT31+AT32</f>
        <v>2072659</v>
      </c>
      <c r="AU33" s="135">
        <f t="shared" si="106"/>
        <v>680674</v>
      </c>
      <c r="AV33" s="135">
        <f t="shared" ref="AV33:AW33" si="107">+AV31+AV32</f>
        <v>348705</v>
      </c>
      <c r="AW33" s="135">
        <f t="shared" si="107"/>
        <v>-850559</v>
      </c>
      <c r="AX33" s="135">
        <f t="shared" ref="AX33:AY33" si="108">+AX31+AX32</f>
        <v>2410883</v>
      </c>
      <c r="AY33" s="135">
        <f t="shared" si="108"/>
        <v>1959864</v>
      </c>
      <c r="AZ33" s="308"/>
      <c r="BA33" s="135">
        <f t="shared" ref="BA33:BE33" si="109">+BA31+BA32</f>
        <v>-129846.76118999999</v>
      </c>
      <c r="BB33" s="135">
        <f t="shared" si="109"/>
        <v>106433.46688999998</v>
      </c>
      <c r="BC33" s="135">
        <f t="shared" si="109"/>
        <v>235578</v>
      </c>
      <c r="BD33" s="135">
        <f t="shared" si="109"/>
        <v>30627.353905045533</v>
      </c>
      <c r="BE33" s="135">
        <f t="shared" si="109"/>
        <v>206296</v>
      </c>
      <c r="BF33" s="135">
        <f>+BF31+BF32</f>
        <v>842345.65571518894</v>
      </c>
      <c r="BG33" s="135">
        <f>+BG31+BG32</f>
        <v>452911.91549715382</v>
      </c>
      <c r="BH33" s="135">
        <f>SUM(AD33:AG33)</f>
        <v>1333046.7164592259</v>
      </c>
      <c r="BI33" s="135">
        <f>SUM(AH33:AK33)</f>
        <v>3427072</v>
      </c>
      <c r="BJ33" s="135">
        <f>SUM(AL33:AO33)</f>
        <v>5018036</v>
      </c>
      <c r="BK33" s="135">
        <f>SUM(AP33:AS33)</f>
        <v>10301606</v>
      </c>
      <c r="BL33" s="135">
        <f>SUM(AT33:AW33)</f>
        <v>2251479</v>
      </c>
      <c r="BM33" s="308"/>
    </row>
    <row r="34" spans="1:65" s="6" customFormat="1" ht="15.6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Z34" s="310"/>
      <c r="BA34" s="5"/>
      <c r="BB34" s="7"/>
      <c r="BC34" s="5"/>
      <c r="BD34" s="5"/>
      <c r="BE34" s="5"/>
      <c r="BF34" s="98"/>
      <c r="BG34" s="98"/>
      <c r="BH34" s="98"/>
      <c r="BI34" s="41"/>
      <c r="BJ34" s="41"/>
      <c r="BK34" s="41"/>
      <c r="BL34" s="41"/>
      <c r="BM34" s="306"/>
    </row>
    <row r="35" spans="1:65" ht="15.6"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Z35" s="311"/>
      <c r="BA35" s="101"/>
      <c r="BB35" s="101"/>
      <c r="BC35" s="101"/>
      <c r="BD35" s="101"/>
      <c r="BE35" s="101"/>
      <c r="BF35" s="101"/>
      <c r="BG35" s="101"/>
      <c r="BH35" s="101"/>
      <c r="BI35" s="42"/>
      <c r="BJ35" s="42"/>
      <c r="BK35" s="42"/>
      <c r="BL35" s="42"/>
    </row>
    <row r="36" spans="1:65" ht="19.2">
      <c r="F36" s="76"/>
      <c r="G36" s="76"/>
      <c r="H36" s="76"/>
      <c r="I36" s="76"/>
      <c r="R36" s="97"/>
      <c r="S36" s="97"/>
      <c r="T36" s="97"/>
      <c r="U36" s="97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BI36" s="12"/>
      <c r="BJ36" s="12"/>
      <c r="BK36" s="12"/>
      <c r="BL36" s="12"/>
    </row>
    <row r="37" spans="1:65" ht="15.6">
      <c r="F37" s="74"/>
      <c r="G37" s="74"/>
      <c r="H37" s="74"/>
      <c r="I37" s="74"/>
      <c r="X37" s="70"/>
      <c r="Y37" s="70"/>
      <c r="Z37" s="70"/>
      <c r="BI37" s="12"/>
      <c r="BJ37" s="12"/>
      <c r="BK37" s="12"/>
      <c r="BL37" s="12"/>
    </row>
    <row r="38" spans="1:65" ht="15.6">
      <c r="X38" s="70"/>
      <c r="Y38" s="70"/>
      <c r="Z38" s="70"/>
      <c r="BI38" s="12"/>
      <c r="BJ38" s="12"/>
      <c r="BK38" s="12"/>
      <c r="BL38" s="12"/>
    </row>
    <row r="39" spans="1:65" ht="15.6">
      <c r="BI39" s="12"/>
      <c r="BJ39" s="12"/>
      <c r="BK39" s="12"/>
      <c r="BL39" s="12"/>
    </row>
    <row r="40" spans="1:65" ht="15.6">
      <c r="BI40" s="12"/>
      <c r="BJ40" s="12"/>
      <c r="BK40" s="12"/>
      <c r="BL40" s="12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AA9 A9 AA20 AB20:AF2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650-1DB4-4FEF-ACBC-94ADE1E3BBA8}">
  <sheetPr>
    <pageSetUpPr fitToPage="1"/>
  </sheetPr>
  <dimension ref="A1:CY92"/>
  <sheetViews>
    <sheetView showGridLines="0" zoomScale="56" zoomScaleNormal="84" workbookViewId="0">
      <pane xSplit="32" ySplit="7" topLeftCell="AW8" activePane="bottomRight" state="frozen"/>
      <selection pane="topRight" activeCell="AR7" sqref="AR7"/>
      <selection pane="bottomLeft" activeCell="AR7" sqref="AR7"/>
      <selection pane="bottomRight" activeCell="AY4" sqref="AY4"/>
    </sheetView>
  </sheetViews>
  <sheetFormatPr defaultColWidth="12.5546875" defaultRowHeight="15.6" outlineLevelCol="1"/>
  <cols>
    <col min="1" max="1" width="46.6640625" style="23" bestFit="1" customWidth="1"/>
    <col min="2" max="10" width="12.44140625" style="23" hidden="1" customWidth="1" outlineLevel="1"/>
    <col min="11" max="11" width="10.5546875" style="23" hidden="1" customWidth="1" outlineLevel="1"/>
    <col min="12" max="25" width="12.44140625" style="23" hidden="1" customWidth="1" outlineLevel="1"/>
    <col min="26" max="26" width="12.44140625" style="23" hidden="1" customWidth="1" outlineLevel="1" collapsed="1"/>
    <col min="27" max="30" width="12.44140625" style="23" hidden="1" customWidth="1" outlineLevel="1"/>
    <col min="31" max="32" width="14" style="23" hidden="1" customWidth="1" outlineLevel="1"/>
    <col min="33" max="33" width="14" style="23" hidden="1" customWidth="1" collapsed="1"/>
    <col min="34" max="36" width="14" style="23" hidden="1" customWidth="1"/>
    <col min="37" max="37" width="14" style="23" customWidth="1"/>
    <col min="38" max="46" width="13.5546875" customWidth="1"/>
    <col min="47" max="51" width="17" customWidth="1"/>
    <col min="52" max="52" width="13.33203125" bestFit="1" customWidth="1"/>
    <col min="53" max="53" width="68.6640625" style="23" bestFit="1" customWidth="1"/>
    <col min="54" max="54" width="14.6640625" style="23" hidden="1" customWidth="1" outlineLevel="1"/>
    <col min="55" max="59" width="13" style="23" hidden="1" customWidth="1" outlineLevel="1"/>
    <col min="60" max="60" width="13" style="24" hidden="1" customWidth="1" outlineLevel="1"/>
    <col min="61" max="77" width="13" style="23" hidden="1" customWidth="1" outlineLevel="1"/>
    <col min="78" max="78" width="13" style="23" hidden="1" customWidth="1" outlineLevel="1" collapsed="1"/>
    <col min="79" max="80" width="13" style="23" hidden="1" customWidth="1" outlineLevel="1"/>
    <col min="81" max="81" width="12.33203125" style="23" hidden="1" customWidth="1" outlineLevel="1"/>
    <col min="82" max="82" width="11.6640625" style="23" hidden="1" customWidth="1" outlineLevel="1"/>
    <col min="83" max="84" width="13.44140625" style="23" hidden="1" customWidth="1" outlineLevel="1"/>
    <col min="85" max="85" width="13.44140625" style="23" hidden="1" customWidth="1" collapsed="1"/>
    <col min="86" max="88" width="13.44140625" style="23" hidden="1" customWidth="1"/>
    <col min="89" max="100" width="16" style="23" customWidth="1"/>
    <col min="101" max="103" width="18.33203125" style="23" customWidth="1"/>
    <col min="104" max="112" width="12.5546875" style="23"/>
    <col min="113" max="113" width="2.6640625" style="23" customWidth="1"/>
    <col min="114" max="114" width="53.5546875" style="23" customWidth="1"/>
    <col min="115" max="115" width="12.5546875" style="23" customWidth="1"/>
    <col min="116" max="116" width="3.5546875" style="23" customWidth="1"/>
    <col min="117" max="117" width="12.5546875" style="23" customWidth="1"/>
    <col min="118" max="118" width="1.6640625" style="23" customWidth="1"/>
    <col min="119" max="119" width="12.5546875" style="23" customWidth="1"/>
    <col min="120" max="120" width="1.6640625" style="23" customWidth="1"/>
    <col min="121" max="121" width="12.5546875" style="23" customWidth="1"/>
    <col min="122" max="122" width="1.6640625" style="23" customWidth="1"/>
    <col min="123" max="123" width="12.5546875" style="23" customWidth="1"/>
    <col min="124" max="124" width="1.6640625" style="23" customWidth="1"/>
    <col min="125" max="125" width="19.5546875" style="23" customWidth="1"/>
    <col min="126" max="126" width="3.5546875" style="23" customWidth="1"/>
    <col min="127" max="127" width="12.5546875" style="23" customWidth="1"/>
    <col min="128" max="128" width="3.5546875" style="23" customWidth="1"/>
    <col min="129" max="129" width="12.5546875" style="23" customWidth="1"/>
    <col min="130" max="130" width="1.6640625" style="23" customWidth="1"/>
    <col min="131" max="131" width="12.5546875" style="23" customWidth="1"/>
    <col min="132" max="132" width="1.6640625" style="23" customWidth="1"/>
    <col min="133" max="133" width="12.5546875" style="23" customWidth="1"/>
    <col min="134" max="134" width="1.6640625" style="23" customWidth="1"/>
    <col min="135" max="135" width="12.5546875" style="23" customWidth="1"/>
    <col min="136" max="136" width="1.6640625" style="23" customWidth="1"/>
    <col min="137" max="137" width="19.5546875" style="23" customWidth="1"/>
    <col min="138" max="139" width="12.5546875" style="23"/>
    <col min="140" max="140" width="1.6640625" style="23" customWidth="1"/>
    <col min="141" max="141" width="12.5546875" style="23"/>
    <col min="142" max="142" width="1.6640625" style="23" customWidth="1"/>
    <col min="143" max="143" width="12.5546875" style="23"/>
    <col min="144" max="144" width="1.6640625" style="23" customWidth="1"/>
    <col min="145" max="147" width="12.5546875" style="23"/>
    <col min="148" max="148" width="1.6640625" style="23" customWidth="1"/>
    <col min="149" max="149" width="12.5546875" style="23"/>
    <col min="150" max="150" width="1.6640625" style="23" customWidth="1"/>
    <col min="151" max="151" width="12.5546875" style="23"/>
    <col min="152" max="152" width="1.6640625" style="23" customWidth="1"/>
    <col min="153" max="368" width="12.5546875" style="23"/>
    <col min="369" max="369" width="2.6640625" style="23" customWidth="1"/>
    <col min="370" max="370" width="53.5546875" style="23" customWidth="1"/>
    <col min="371" max="371" width="12.5546875" style="23" customWidth="1"/>
    <col min="372" max="372" width="3.5546875" style="23" customWidth="1"/>
    <col min="373" max="373" width="12.5546875" style="23" customWidth="1"/>
    <col min="374" max="374" width="1.6640625" style="23" customWidth="1"/>
    <col min="375" max="375" width="12.5546875" style="23" customWidth="1"/>
    <col min="376" max="376" width="1.6640625" style="23" customWidth="1"/>
    <col min="377" max="377" width="12.5546875" style="23" customWidth="1"/>
    <col min="378" max="378" width="1.6640625" style="23" customWidth="1"/>
    <col min="379" max="379" width="12.5546875" style="23" customWidth="1"/>
    <col min="380" max="380" width="1.6640625" style="23" customWidth="1"/>
    <col min="381" max="381" width="19.5546875" style="23" customWidth="1"/>
    <col min="382" max="382" width="3.5546875" style="23" customWidth="1"/>
    <col min="383" max="383" width="12.5546875" style="23" customWidth="1"/>
    <col min="384" max="384" width="3.5546875" style="23" customWidth="1"/>
    <col min="385" max="385" width="12.5546875" style="23" customWidth="1"/>
    <col min="386" max="386" width="1.6640625" style="23" customWidth="1"/>
    <col min="387" max="387" width="12.5546875" style="23" customWidth="1"/>
    <col min="388" max="388" width="1.6640625" style="23" customWidth="1"/>
    <col min="389" max="389" width="12.5546875" style="23" customWidth="1"/>
    <col min="390" max="390" width="1.6640625" style="23" customWidth="1"/>
    <col min="391" max="391" width="12.5546875" style="23" customWidth="1"/>
    <col min="392" max="392" width="1.6640625" style="23" customWidth="1"/>
    <col min="393" max="393" width="19.5546875" style="23" customWidth="1"/>
    <col min="394" max="395" width="12.5546875" style="23"/>
    <col min="396" max="396" width="1.6640625" style="23" customWidth="1"/>
    <col min="397" max="397" width="12.5546875" style="23"/>
    <col min="398" max="398" width="1.6640625" style="23" customWidth="1"/>
    <col min="399" max="399" width="12.5546875" style="23"/>
    <col min="400" max="400" width="1.6640625" style="23" customWidth="1"/>
    <col min="401" max="403" width="12.5546875" style="23"/>
    <col min="404" max="404" width="1.6640625" style="23" customWidth="1"/>
    <col min="405" max="405" width="12.5546875" style="23"/>
    <col min="406" max="406" width="1.6640625" style="23" customWidth="1"/>
    <col min="407" max="407" width="12.5546875" style="23"/>
    <col min="408" max="408" width="1.6640625" style="23" customWidth="1"/>
    <col min="409" max="624" width="12.5546875" style="23"/>
    <col min="625" max="625" width="2.6640625" style="23" customWidth="1"/>
    <col min="626" max="626" width="53.5546875" style="23" customWidth="1"/>
    <col min="627" max="627" width="12.5546875" style="23" customWidth="1"/>
    <col min="628" max="628" width="3.5546875" style="23" customWidth="1"/>
    <col min="629" max="629" width="12.5546875" style="23" customWidth="1"/>
    <col min="630" max="630" width="1.6640625" style="23" customWidth="1"/>
    <col min="631" max="631" width="12.5546875" style="23" customWidth="1"/>
    <col min="632" max="632" width="1.6640625" style="23" customWidth="1"/>
    <col min="633" max="633" width="12.5546875" style="23" customWidth="1"/>
    <col min="634" max="634" width="1.6640625" style="23" customWidth="1"/>
    <col min="635" max="635" width="12.5546875" style="23" customWidth="1"/>
    <col min="636" max="636" width="1.6640625" style="23" customWidth="1"/>
    <col min="637" max="637" width="19.5546875" style="23" customWidth="1"/>
    <col min="638" max="638" width="3.5546875" style="23" customWidth="1"/>
    <col min="639" max="639" width="12.5546875" style="23" customWidth="1"/>
    <col min="640" max="640" width="3.5546875" style="23" customWidth="1"/>
    <col min="641" max="641" width="12.5546875" style="23" customWidth="1"/>
    <col min="642" max="642" width="1.6640625" style="23" customWidth="1"/>
    <col min="643" max="643" width="12.5546875" style="23" customWidth="1"/>
    <col min="644" max="644" width="1.6640625" style="23" customWidth="1"/>
    <col min="645" max="645" width="12.5546875" style="23" customWidth="1"/>
    <col min="646" max="646" width="1.6640625" style="23" customWidth="1"/>
    <col min="647" max="647" width="12.5546875" style="23" customWidth="1"/>
    <col min="648" max="648" width="1.6640625" style="23" customWidth="1"/>
    <col min="649" max="649" width="19.5546875" style="23" customWidth="1"/>
    <col min="650" max="651" width="12.5546875" style="23"/>
    <col min="652" max="652" width="1.6640625" style="23" customWidth="1"/>
    <col min="653" max="653" width="12.5546875" style="23"/>
    <col min="654" max="654" width="1.6640625" style="23" customWidth="1"/>
    <col min="655" max="655" width="12.5546875" style="23"/>
    <col min="656" max="656" width="1.6640625" style="23" customWidth="1"/>
    <col min="657" max="659" width="12.5546875" style="23"/>
    <col min="660" max="660" width="1.6640625" style="23" customWidth="1"/>
    <col min="661" max="661" width="12.5546875" style="23"/>
    <col min="662" max="662" width="1.6640625" style="23" customWidth="1"/>
    <col min="663" max="663" width="12.5546875" style="23"/>
    <col min="664" max="664" width="1.6640625" style="23" customWidth="1"/>
    <col min="665" max="880" width="12.5546875" style="23"/>
    <col min="881" max="881" width="2.6640625" style="23" customWidth="1"/>
    <col min="882" max="882" width="53.5546875" style="23" customWidth="1"/>
    <col min="883" max="883" width="12.5546875" style="23" customWidth="1"/>
    <col min="884" max="884" width="3.5546875" style="23" customWidth="1"/>
    <col min="885" max="885" width="12.5546875" style="23" customWidth="1"/>
    <col min="886" max="886" width="1.6640625" style="23" customWidth="1"/>
    <col min="887" max="887" width="12.5546875" style="23" customWidth="1"/>
    <col min="888" max="888" width="1.6640625" style="23" customWidth="1"/>
    <col min="889" max="889" width="12.5546875" style="23" customWidth="1"/>
    <col min="890" max="890" width="1.6640625" style="23" customWidth="1"/>
    <col min="891" max="891" width="12.5546875" style="23" customWidth="1"/>
    <col min="892" max="892" width="1.6640625" style="23" customWidth="1"/>
    <col min="893" max="893" width="19.5546875" style="23" customWidth="1"/>
    <col min="894" max="894" width="3.5546875" style="23" customWidth="1"/>
    <col min="895" max="895" width="12.5546875" style="23" customWidth="1"/>
    <col min="896" max="896" width="3.5546875" style="23" customWidth="1"/>
    <col min="897" max="897" width="12.5546875" style="23" customWidth="1"/>
    <col min="898" max="898" width="1.6640625" style="23" customWidth="1"/>
    <col min="899" max="899" width="12.5546875" style="23" customWidth="1"/>
    <col min="900" max="900" width="1.6640625" style="23" customWidth="1"/>
    <col min="901" max="901" width="12.5546875" style="23" customWidth="1"/>
    <col min="902" max="902" width="1.6640625" style="23" customWidth="1"/>
    <col min="903" max="903" width="12.5546875" style="23" customWidth="1"/>
    <col min="904" max="904" width="1.6640625" style="23" customWidth="1"/>
    <col min="905" max="905" width="19.5546875" style="23" customWidth="1"/>
    <col min="906" max="907" width="12.5546875" style="23"/>
    <col min="908" max="908" width="1.6640625" style="23" customWidth="1"/>
    <col min="909" max="909" width="12.5546875" style="23"/>
    <col min="910" max="910" width="1.6640625" style="23" customWidth="1"/>
    <col min="911" max="911" width="12.5546875" style="23"/>
    <col min="912" max="912" width="1.6640625" style="23" customWidth="1"/>
    <col min="913" max="915" width="12.5546875" style="23"/>
    <col min="916" max="916" width="1.6640625" style="23" customWidth="1"/>
    <col min="917" max="917" width="12.5546875" style="23"/>
    <col min="918" max="918" width="1.6640625" style="23" customWidth="1"/>
    <col min="919" max="919" width="12.5546875" style="23"/>
    <col min="920" max="920" width="1.6640625" style="23" customWidth="1"/>
    <col min="921" max="1136" width="12.5546875" style="23"/>
    <col min="1137" max="1137" width="2.6640625" style="23" customWidth="1"/>
    <col min="1138" max="1138" width="53.5546875" style="23" customWidth="1"/>
    <col min="1139" max="1139" width="12.5546875" style="23" customWidth="1"/>
    <col min="1140" max="1140" width="3.5546875" style="23" customWidth="1"/>
    <col min="1141" max="1141" width="12.5546875" style="23" customWidth="1"/>
    <col min="1142" max="1142" width="1.6640625" style="23" customWidth="1"/>
    <col min="1143" max="1143" width="12.5546875" style="23" customWidth="1"/>
    <col min="1144" max="1144" width="1.6640625" style="23" customWidth="1"/>
    <col min="1145" max="1145" width="12.5546875" style="23" customWidth="1"/>
    <col min="1146" max="1146" width="1.6640625" style="23" customWidth="1"/>
    <col min="1147" max="1147" width="12.5546875" style="23" customWidth="1"/>
    <col min="1148" max="1148" width="1.6640625" style="23" customWidth="1"/>
    <col min="1149" max="1149" width="19.5546875" style="23" customWidth="1"/>
    <col min="1150" max="1150" width="3.5546875" style="23" customWidth="1"/>
    <col min="1151" max="1151" width="12.5546875" style="23" customWidth="1"/>
    <col min="1152" max="1152" width="3.5546875" style="23" customWidth="1"/>
    <col min="1153" max="1153" width="12.5546875" style="23" customWidth="1"/>
    <col min="1154" max="1154" width="1.6640625" style="23" customWidth="1"/>
    <col min="1155" max="1155" width="12.5546875" style="23" customWidth="1"/>
    <col min="1156" max="1156" width="1.6640625" style="23" customWidth="1"/>
    <col min="1157" max="1157" width="12.5546875" style="23" customWidth="1"/>
    <col min="1158" max="1158" width="1.6640625" style="23" customWidth="1"/>
    <col min="1159" max="1159" width="12.5546875" style="23" customWidth="1"/>
    <col min="1160" max="1160" width="1.6640625" style="23" customWidth="1"/>
    <col min="1161" max="1161" width="19.5546875" style="23" customWidth="1"/>
    <col min="1162" max="1163" width="12.5546875" style="23"/>
    <col min="1164" max="1164" width="1.6640625" style="23" customWidth="1"/>
    <col min="1165" max="1165" width="12.5546875" style="23"/>
    <col min="1166" max="1166" width="1.6640625" style="23" customWidth="1"/>
    <col min="1167" max="1167" width="12.5546875" style="23"/>
    <col min="1168" max="1168" width="1.6640625" style="23" customWidth="1"/>
    <col min="1169" max="1171" width="12.5546875" style="23"/>
    <col min="1172" max="1172" width="1.6640625" style="23" customWidth="1"/>
    <col min="1173" max="1173" width="12.5546875" style="23"/>
    <col min="1174" max="1174" width="1.6640625" style="23" customWidth="1"/>
    <col min="1175" max="1175" width="12.5546875" style="23"/>
    <col min="1176" max="1176" width="1.6640625" style="23" customWidth="1"/>
    <col min="1177" max="1392" width="12.5546875" style="23"/>
    <col min="1393" max="1393" width="2.6640625" style="23" customWidth="1"/>
    <col min="1394" max="1394" width="53.5546875" style="23" customWidth="1"/>
    <col min="1395" max="1395" width="12.5546875" style="23" customWidth="1"/>
    <col min="1396" max="1396" width="3.5546875" style="23" customWidth="1"/>
    <col min="1397" max="1397" width="12.5546875" style="23" customWidth="1"/>
    <col min="1398" max="1398" width="1.6640625" style="23" customWidth="1"/>
    <col min="1399" max="1399" width="12.5546875" style="23" customWidth="1"/>
    <col min="1400" max="1400" width="1.6640625" style="23" customWidth="1"/>
    <col min="1401" max="1401" width="12.5546875" style="23" customWidth="1"/>
    <col min="1402" max="1402" width="1.6640625" style="23" customWidth="1"/>
    <col min="1403" max="1403" width="12.5546875" style="23" customWidth="1"/>
    <col min="1404" max="1404" width="1.6640625" style="23" customWidth="1"/>
    <col min="1405" max="1405" width="19.5546875" style="23" customWidth="1"/>
    <col min="1406" max="1406" width="3.5546875" style="23" customWidth="1"/>
    <col min="1407" max="1407" width="12.5546875" style="23" customWidth="1"/>
    <col min="1408" max="1408" width="3.5546875" style="23" customWidth="1"/>
    <col min="1409" max="1409" width="12.5546875" style="23" customWidth="1"/>
    <col min="1410" max="1410" width="1.6640625" style="23" customWidth="1"/>
    <col min="1411" max="1411" width="12.5546875" style="23" customWidth="1"/>
    <col min="1412" max="1412" width="1.6640625" style="23" customWidth="1"/>
    <col min="1413" max="1413" width="12.5546875" style="23" customWidth="1"/>
    <col min="1414" max="1414" width="1.6640625" style="23" customWidth="1"/>
    <col min="1415" max="1415" width="12.5546875" style="23" customWidth="1"/>
    <col min="1416" max="1416" width="1.6640625" style="23" customWidth="1"/>
    <col min="1417" max="1417" width="19.5546875" style="23" customWidth="1"/>
    <col min="1418" max="1419" width="12.5546875" style="23"/>
    <col min="1420" max="1420" width="1.6640625" style="23" customWidth="1"/>
    <col min="1421" max="1421" width="12.5546875" style="23"/>
    <col min="1422" max="1422" width="1.6640625" style="23" customWidth="1"/>
    <col min="1423" max="1423" width="12.5546875" style="23"/>
    <col min="1424" max="1424" width="1.6640625" style="23" customWidth="1"/>
    <col min="1425" max="1427" width="12.5546875" style="23"/>
    <col min="1428" max="1428" width="1.6640625" style="23" customWidth="1"/>
    <col min="1429" max="1429" width="12.5546875" style="23"/>
    <col min="1430" max="1430" width="1.6640625" style="23" customWidth="1"/>
    <col min="1431" max="1431" width="12.5546875" style="23"/>
    <col min="1432" max="1432" width="1.6640625" style="23" customWidth="1"/>
    <col min="1433" max="1648" width="12.5546875" style="23"/>
    <col min="1649" max="1649" width="2.6640625" style="23" customWidth="1"/>
    <col min="1650" max="1650" width="53.5546875" style="23" customWidth="1"/>
    <col min="1651" max="1651" width="12.5546875" style="23" customWidth="1"/>
    <col min="1652" max="1652" width="3.5546875" style="23" customWidth="1"/>
    <col min="1653" max="1653" width="12.5546875" style="23" customWidth="1"/>
    <col min="1654" max="1654" width="1.6640625" style="23" customWidth="1"/>
    <col min="1655" max="1655" width="12.5546875" style="23" customWidth="1"/>
    <col min="1656" max="1656" width="1.6640625" style="23" customWidth="1"/>
    <col min="1657" max="1657" width="12.5546875" style="23" customWidth="1"/>
    <col min="1658" max="1658" width="1.6640625" style="23" customWidth="1"/>
    <col min="1659" max="1659" width="12.5546875" style="23" customWidth="1"/>
    <col min="1660" max="1660" width="1.6640625" style="23" customWidth="1"/>
    <col min="1661" max="1661" width="19.5546875" style="23" customWidth="1"/>
    <col min="1662" max="1662" width="3.5546875" style="23" customWidth="1"/>
    <col min="1663" max="1663" width="12.5546875" style="23" customWidth="1"/>
    <col min="1664" max="1664" width="3.5546875" style="23" customWidth="1"/>
    <col min="1665" max="1665" width="12.5546875" style="23" customWidth="1"/>
    <col min="1666" max="1666" width="1.6640625" style="23" customWidth="1"/>
    <col min="1667" max="1667" width="12.5546875" style="23" customWidth="1"/>
    <col min="1668" max="1668" width="1.6640625" style="23" customWidth="1"/>
    <col min="1669" max="1669" width="12.5546875" style="23" customWidth="1"/>
    <col min="1670" max="1670" width="1.6640625" style="23" customWidth="1"/>
    <col min="1671" max="1671" width="12.5546875" style="23" customWidth="1"/>
    <col min="1672" max="1672" width="1.6640625" style="23" customWidth="1"/>
    <col min="1673" max="1673" width="19.5546875" style="23" customWidth="1"/>
    <col min="1674" max="1675" width="12.5546875" style="23"/>
    <col min="1676" max="1676" width="1.6640625" style="23" customWidth="1"/>
    <col min="1677" max="1677" width="12.5546875" style="23"/>
    <col min="1678" max="1678" width="1.6640625" style="23" customWidth="1"/>
    <col min="1679" max="1679" width="12.5546875" style="23"/>
    <col min="1680" max="1680" width="1.6640625" style="23" customWidth="1"/>
    <col min="1681" max="1683" width="12.5546875" style="23"/>
    <col min="1684" max="1684" width="1.6640625" style="23" customWidth="1"/>
    <col min="1685" max="1685" width="12.5546875" style="23"/>
    <col min="1686" max="1686" width="1.6640625" style="23" customWidth="1"/>
    <col min="1687" max="1687" width="12.5546875" style="23"/>
    <col min="1688" max="1688" width="1.6640625" style="23" customWidth="1"/>
    <col min="1689" max="1904" width="12.5546875" style="23"/>
    <col min="1905" max="1905" width="2.6640625" style="23" customWidth="1"/>
    <col min="1906" max="1906" width="53.5546875" style="23" customWidth="1"/>
    <col min="1907" max="1907" width="12.5546875" style="23" customWidth="1"/>
    <col min="1908" max="1908" width="3.5546875" style="23" customWidth="1"/>
    <col min="1909" max="1909" width="12.5546875" style="23" customWidth="1"/>
    <col min="1910" max="1910" width="1.6640625" style="23" customWidth="1"/>
    <col min="1911" max="1911" width="12.5546875" style="23" customWidth="1"/>
    <col min="1912" max="1912" width="1.6640625" style="23" customWidth="1"/>
    <col min="1913" max="1913" width="12.5546875" style="23" customWidth="1"/>
    <col min="1914" max="1914" width="1.6640625" style="23" customWidth="1"/>
    <col min="1915" max="1915" width="12.5546875" style="23" customWidth="1"/>
    <col min="1916" max="1916" width="1.6640625" style="23" customWidth="1"/>
    <col min="1917" max="1917" width="19.5546875" style="23" customWidth="1"/>
    <col min="1918" max="1918" width="3.5546875" style="23" customWidth="1"/>
    <col min="1919" max="1919" width="12.5546875" style="23" customWidth="1"/>
    <col min="1920" max="1920" width="3.5546875" style="23" customWidth="1"/>
    <col min="1921" max="1921" width="12.5546875" style="23" customWidth="1"/>
    <col min="1922" max="1922" width="1.6640625" style="23" customWidth="1"/>
    <col min="1923" max="1923" width="12.5546875" style="23" customWidth="1"/>
    <col min="1924" max="1924" width="1.6640625" style="23" customWidth="1"/>
    <col min="1925" max="1925" width="12.5546875" style="23" customWidth="1"/>
    <col min="1926" max="1926" width="1.6640625" style="23" customWidth="1"/>
    <col min="1927" max="1927" width="12.5546875" style="23" customWidth="1"/>
    <col min="1928" max="1928" width="1.6640625" style="23" customWidth="1"/>
    <col min="1929" max="1929" width="19.5546875" style="23" customWidth="1"/>
    <col min="1930" max="1931" width="12.5546875" style="23"/>
    <col min="1932" max="1932" width="1.6640625" style="23" customWidth="1"/>
    <col min="1933" max="1933" width="12.5546875" style="23"/>
    <col min="1934" max="1934" width="1.6640625" style="23" customWidth="1"/>
    <col min="1935" max="1935" width="12.5546875" style="23"/>
    <col min="1936" max="1936" width="1.6640625" style="23" customWidth="1"/>
    <col min="1937" max="1939" width="12.5546875" style="23"/>
    <col min="1940" max="1940" width="1.6640625" style="23" customWidth="1"/>
    <col min="1941" max="1941" width="12.5546875" style="23"/>
    <col min="1942" max="1942" width="1.6640625" style="23" customWidth="1"/>
    <col min="1943" max="1943" width="12.5546875" style="23"/>
    <col min="1944" max="1944" width="1.6640625" style="23" customWidth="1"/>
    <col min="1945" max="2160" width="12.5546875" style="23"/>
    <col min="2161" max="2161" width="2.6640625" style="23" customWidth="1"/>
    <col min="2162" max="2162" width="53.5546875" style="23" customWidth="1"/>
    <col min="2163" max="2163" width="12.5546875" style="23" customWidth="1"/>
    <col min="2164" max="2164" width="3.5546875" style="23" customWidth="1"/>
    <col min="2165" max="2165" width="12.5546875" style="23" customWidth="1"/>
    <col min="2166" max="2166" width="1.6640625" style="23" customWidth="1"/>
    <col min="2167" max="2167" width="12.5546875" style="23" customWidth="1"/>
    <col min="2168" max="2168" width="1.6640625" style="23" customWidth="1"/>
    <col min="2169" max="2169" width="12.5546875" style="23" customWidth="1"/>
    <col min="2170" max="2170" width="1.6640625" style="23" customWidth="1"/>
    <col min="2171" max="2171" width="12.5546875" style="23" customWidth="1"/>
    <col min="2172" max="2172" width="1.6640625" style="23" customWidth="1"/>
    <col min="2173" max="2173" width="19.5546875" style="23" customWidth="1"/>
    <col min="2174" max="2174" width="3.5546875" style="23" customWidth="1"/>
    <col min="2175" max="2175" width="12.5546875" style="23" customWidth="1"/>
    <col min="2176" max="2176" width="3.5546875" style="23" customWidth="1"/>
    <col min="2177" max="2177" width="12.5546875" style="23" customWidth="1"/>
    <col min="2178" max="2178" width="1.6640625" style="23" customWidth="1"/>
    <col min="2179" max="2179" width="12.5546875" style="23" customWidth="1"/>
    <col min="2180" max="2180" width="1.6640625" style="23" customWidth="1"/>
    <col min="2181" max="2181" width="12.5546875" style="23" customWidth="1"/>
    <col min="2182" max="2182" width="1.6640625" style="23" customWidth="1"/>
    <col min="2183" max="2183" width="12.5546875" style="23" customWidth="1"/>
    <col min="2184" max="2184" width="1.6640625" style="23" customWidth="1"/>
    <col min="2185" max="2185" width="19.5546875" style="23" customWidth="1"/>
    <col min="2186" max="2187" width="12.5546875" style="23"/>
    <col min="2188" max="2188" width="1.6640625" style="23" customWidth="1"/>
    <col min="2189" max="2189" width="12.5546875" style="23"/>
    <col min="2190" max="2190" width="1.6640625" style="23" customWidth="1"/>
    <col min="2191" max="2191" width="12.5546875" style="23"/>
    <col min="2192" max="2192" width="1.6640625" style="23" customWidth="1"/>
    <col min="2193" max="2195" width="12.5546875" style="23"/>
    <col min="2196" max="2196" width="1.6640625" style="23" customWidth="1"/>
    <col min="2197" max="2197" width="12.5546875" style="23"/>
    <col min="2198" max="2198" width="1.6640625" style="23" customWidth="1"/>
    <col min="2199" max="2199" width="12.5546875" style="23"/>
    <col min="2200" max="2200" width="1.6640625" style="23" customWidth="1"/>
    <col min="2201" max="2416" width="12.5546875" style="23"/>
    <col min="2417" max="2417" width="2.6640625" style="23" customWidth="1"/>
    <col min="2418" max="2418" width="53.5546875" style="23" customWidth="1"/>
    <col min="2419" max="2419" width="12.5546875" style="23" customWidth="1"/>
    <col min="2420" max="2420" width="3.5546875" style="23" customWidth="1"/>
    <col min="2421" max="2421" width="12.5546875" style="23" customWidth="1"/>
    <col min="2422" max="2422" width="1.6640625" style="23" customWidth="1"/>
    <col min="2423" max="2423" width="12.5546875" style="23" customWidth="1"/>
    <col min="2424" max="2424" width="1.6640625" style="23" customWidth="1"/>
    <col min="2425" max="2425" width="12.5546875" style="23" customWidth="1"/>
    <col min="2426" max="2426" width="1.6640625" style="23" customWidth="1"/>
    <col min="2427" max="2427" width="12.5546875" style="23" customWidth="1"/>
    <col min="2428" max="2428" width="1.6640625" style="23" customWidth="1"/>
    <col min="2429" max="2429" width="19.5546875" style="23" customWidth="1"/>
    <col min="2430" max="2430" width="3.5546875" style="23" customWidth="1"/>
    <col min="2431" max="2431" width="12.5546875" style="23" customWidth="1"/>
    <col min="2432" max="2432" width="3.5546875" style="23" customWidth="1"/>
    <col min="2433" max="2433" width="12.5546875" style="23" customWidth="1"/>
    <col min="2434" max="2434" width="1.6640625" style="23" customWidth="1"/>
    <col min="2435" max="2435" width="12.5546875" style="23" customWidth="1"/>
    <col min="2436" max="2436" width="1.6640625" style="23" customWidth="1"/>
    <col min="2437" max="2437" width="12.5546875" style="23" customWidth="1"/>
    <col min="2438" max="2438" width="1.6640625" style="23" customWidth="1"/>
    <col min="2439" max="2439" width="12.5546875" style="23" customWidth="1"/>
    <col min="2440" max="2440" width="1.6640625" style="23" customWidth="1"/>
    <col min="2441" max="2441" width="19.5546875" style="23" customWidth="1"/>
    <col min="2442" max="2443" width="12.5546875" style="23"/>
    <col min="2444" max="2444" width="1.6640625" style="23" customWidth="1"/>
    <col min="2445" max="2445" width="12.5546875" style="23"/>
    <col min="2446" max="2446" width="1.6640625" style="23" customWidth="1"/>
    <col min="2447" max="2447" width="12.5546875" style="23"/>
    <col min="2448" max="2448" width="1.6640625" style="23" customWidth="1"/>
    <col min="2449" max="2451" width="12.5546875" style="23"/>
    <col min="2452" max="2452" width="1.6640625" style="23" customWidth="1"/>
    <col min="2453" max="2453" width="12.5546875" style="23"/>
    <col min="2454" max="2454" width="1.6640625" style="23" customWidth="1"/>
    <col min="2455" max="2455" width="12.5546875" style="23"/>
    <col min="2456" max="2456" width="1.6640625" style="23" customWidth="1"/>
    <col min="2457" max="2672" width="12.5546875" style="23"/>
    <col min="2673" max="2673" width="2.6640625" style="23" customWidth="1"/>
    <col min="2674" max="2674" width="53.5546875" style="23" customWidth="1"/>
    <col min="2675" max="2675" width="12.5546875" style="23" customWidth="1"/>
    <col min="2676" max="2676" width="3.5546875" style="23" customWidth="1"/>
    <col min="2677" max="2677" width="12.5546875" style="23" customWidth="1"/>
    <col min="2678" max="2678" width="1.6640625" style="23" customWidth="1"/>
    <col min="2679" max="2679" width="12.5546875" style="23" customWidth="1"/>
    <col min="2680" max="2680" width="1.6640625" style="23" customWidth="1"/>
    <col min="2681" max="2681" width="12.5546875" style="23" customWidth="1"/>
    <col min="2682" max="2682" width="1.6640625" style="23" customWidth="1"/>
    <col min="2683" max="2683" width="12.5546875" style="23" customWidth="1"/>
    <col min="2684" max="2684" width="1.6640625" style="23" customWidth="1"/>
    <col min="2685" max="2685" width="19.5546875" style="23" customWidth="1"/>
    <col min="2686" max="2686" width="3.5546875" style="23" customWidth="1"/>
    <col min="2687" max="2687" width="12.5546875" style="23" customWidth="1"/>
    <col min="2688" max="2688" width="3.5546875" style="23" customWidth="1"/>
    <col min="2689" max="2689" width="12.5546875" style="23" customWidth="1"/>
    <col min="2690" max="2690" width="1.6640625" style="23" customWidth="1"/>
    <col min="2691" max="2691" width="12.5546875" style="23" customWidth="1"/>
    <col min="2692" max="2692" width="1.6640625" style="23" customWidth="1"/>
    <col min="2693" max="2693" width="12.5546875" style="23" customWidth="1"/>
    <col min="2694" max="2694" width="1.6640625" style="23" customWidth="1"/>
    <col min="2695" max="2695" width="12.5546875" style="23" customWidth="1"/>
    <col min="2696" max="2696" width="1.6640625" style="23" customWidth="1"/>
    <col min="2697" max="2697" width="19.5546875" style="23" customWidth="1"/>
    <col min="2698" max="2699" width="12.5546875" style="23"/>
    <col min="2700" max="2700" width="1.6640625" style="23" customWidth="1"/>
    <col min="2701" max="2701" width="12.5546875" style="23"/>
    <col min="2702" max="2702" width="1.6640625" style="23" customWidth="1"/>
    <col min="2703" max="2703" width="12.5546875" style="23"/>
    <col min="2704" max="2704" width="1.6640625" style="23" customWidth="1"/>
    <col min="2705" max="2707" width="12.5546875" style="23"/>
    <col min="2708" max="2708" width="1.6640625" style="23" customWidth="1"/>
    <col min="2709" max="2709" width="12.5546875" style="23"/>
    <col min="2710" max="2710" width="1.6640625" style="23" customWidth="1"/>
    <col min="2711" max="2711" width="12.5546875" style="23"/>
    <col min="2712" max="2712" width="1.6640625" style="23" customWidth="1"/>
    <col min="2713" max="2928" width="12.5546875" style="23"/>
    <col min="2929" max="2929" width="2.6640625" style="23" customWidth="1"/>
    <col min="2930" max="2930" width="53.5546875" style="23" customWidth="1"/>
    <col min="2931" max="2931" width="12.5546875" style="23" customWidth="1"/>
    <col min="2932" max="2932" width="3.5546875" style="23" customWidth="1"/>
    <col min="2933" max="2933" width="12.5546875" style="23" customWidth="1"/>
    <col min="2934" max="2934" width="1.6640625" style="23" customWidth="1"/>
    <col min="2935" max="2935" width="12.5546875" style="23" customWidth="1"/>
    <col min="2936" max="2936" width="1.6640625" style="23" customWidth="1"/>
    <col min="2937" max="2937" width="12.5546875" style="23" customWidth="1"/>
    <col min="2938" max="2938" width="1.6640625" style="23" customWidth="1"/>
    <col min="2939" max="2939" width="12.5546875" style="23" customWidth="1"/>
    <col min="2940" max="2940" width="1.6640625" style="23" customWidth="1"/>
    <col min="2941" max="2941" width="19.5546875" style="23" customWidth="1"/>
    <col min="2942" max="2942" width="3.5546875" style="23" customWidth="1"/>
    <col min="2943" max="2943" width="12.5546875" style="23" customWidth="1"/>
    <col min="2944" max="2944" width="3.5546875" style="23" customWidth="1"/>
    <col min="2945" max="2945" width="12.5546875" style="23" customWidth="1"/>
    <col min="2946" max="2946" width="1.6640625" style="23" customWidth="1"/>
    <col min="2947" max="2947" width="12.5546875" style="23" customWidth="1"/>
    <col min="2948" max="2948" width="1.6640625" style="23" customWidth="1"/>
    <col min="2949" max="2949" width="12.5546875" style="23" customWidth="1"/>
    <col min="2950" max="2950" width="1.6640625" style="23" customWidth="1"/>
    <col min="2951" max="2951" width="12.5546875" style="23" customWidth="1"/>
    <col min="2952" max="2952" width="1.6640625" style="23" customWidth="1"/>
    <col min="2953" max="2953" width="19.5546875" style="23" customWidth="1"/>
    <col min="2954" max="2955" width="12.5546875" style="23"/>
    <col min="2956" max="2956" width="1.6640625" style="23" customWidth="1"/>
    <col min="2957" max="2957" width="12.5546875" style="23"/>
    <col min="2958" max="2958" width="1.6640625" style="23" customWidth="1"/>
    <col min="2959" max="2959" width="12.5546875" style="23"/>
    <col min="2960" max="2960" width="1.6640625" style="23" customWidth="1"/>
    <col min="2961" max="2963" width="12.5546875" style="23"/>
    <col min="2964" max="2964" width="1.6640625" style="23" customWidth="1"/>
    <col min="2965" max="2965" width="12.5546875" style="23"/>
    <col min="2966" max="2966" width="1.6640625" style="23" customWidth="1"/>
    <col min="2967" max="2967" width="12.5546875" style="23"/>
    <col min="2968" max="2968" width="1.6640625" style="23" customWidth="1"/>
    <col min="2969" max="3184" width="12.5546875" style="23"/>
    <col min="3185" max="3185" width="2.6640625" style="23" customWidth="1"/>
    <col min="3186" max="3186" width="53.5546875" style="23" customWidth="1"/>
    <col min="3187" max="3187" width="12.5546875" style="23" customWidth="1"/>
    <col min="3188" max="3188" width="3.5546875" style="23" customWidth="1"/>
    <col min="3189" max="3189" width="12.5546875" style="23" customWidth="1"/>
    <col min="3190" max="3190" width="1.6640625" style="23" customWidth="1"/>
    <col min="3191" max="3191" width="12.5546875" style="23" customWidth="1"/>
    <col min="3192" max="3192" width="1.6640625" style="23" customWidth="1"/>
    <col min="3193" max="3193" width="12.5546875" style="23" customWidth="1"/>
    <col min="3194" max="3194" width="1.6640625" style="23" customWidth="1"/>
    <col min="3195" max="3195" width="12.5546875" style="23" customWidth="1"/>
    <col min="3196" max="3196" width="1.6640625" style="23" customWidth="1"/>
    <col min="3197" max="3197" width="19.5546875" style="23" customWidth="1"/>
    <col min="3198" max="3198" width="3.5546875" style="23" customWidth="1"/>
    <col min="3199" max="3199" width="12.5546875" style="23" customWidth="1"/>
    <col min="3200" max="3200" width="3.5546875" style="23" customWidth="1"/>
    <col min="3201" max="3201" width="12.5546875" style="23" customWidth="1"/>
    <col min="3202" max="3202" width="1.6640625" style="23" customWidth="1"/>
    <col min="3203" max="3203" width="12.5546875" style="23" customWidth="1"/>
    <col min="3204" max="3204" width="1.6640625" style="23" customWidth="1"/>
    <col min="3205" max="3205" width="12.5546875" style="23" customWidth="1"/>
    <col min="3206" max="3206" width="1.6640625" style="23" customWidth="1"/>
    <col min="3207" max="3207" width="12.5546875" style="23" customWidth="1"/>
    <col min="3208" max="3208" width="1.6640625" style="23" customWidth="1"/>
    <col min="3209" max="3209" width="19.5546875" style="23" customWidth="1"/>
    <col min="3210" max="3211" width="12.5546875" style="23"/>
    <col min="3212" max="3212" width="1.6640625" style="23" customWidth="1"/>
    <col min="3213" max="3213" width="12.5546875" style="23"/>
    <col min="3214" max="3214" width="1.6640625" style="23" customWidth="1"/>
    <col min="3215" max="3215" width="12.5546875" style="23"/>
    <col min="3216" max="3216" width="1.6640625" style="23" customWidth="1"/>
    <col min="3217" max="3219" width="12.5546875" style="23"/>
    <col min="3220" max="3220" width="1.6640625" style="23" customWidth="1"/>
    <col min="3221" max="3221" width="12.5546875" style="23"/>
    <col min="3222" max="3222" width="1.6640625" style="23" customWidth="1"/>
    <col min="3223" max="3223" width="12.5546875" style="23"/>
    <col min="3224" max="3224" width="1.6640625" style="23" customWidth="1"/>
    <col min="3225" max="3440" width="12.5546875" style="23"/>
    <col min="3441" max="3441" width="2.6640625" style="23" customWidth="1"/>
    <col min="3442" max="3442" width="53.5546875" style="23" customWidth="1"/>
    <col min="3443" max="3443" width="12.5546875" style="23" customWidth="1"/>
    <col min="3444" max="3444" width="3.5546875" style="23" customWidth="1"/>
    <col min="3445" max="3445" width="12.5546875" style="23" customWidth="1"/>
    <col min="3446" max="3446" width="1.6640625" style="23" customWidth="1"/>
    <col min="3447" max="3447" width="12.5546875" style="23" customWidth="1"/>
    <col min="3448" max="3448" width="1.6640625" style="23" customWidth="1"/>
    <col min="3449" max="3449" width="12.5546875" style="23" customWidth="1"/>
    <col min="3450" max="3450" width="1.6640625" style="23" customWidth="1"/>
    <col min="3451" max="3451" width="12.5546875" style="23" customWidth="1"/>
    <col min="3452" max="3452" width="1.6640625" style="23" customWidth="1"/>
    <col min="3453" max="3453" width="19.5546875" style="23" customWidth="1"/>
    <col min="3454" max="3454" width="3.5546875" style="23" customWidth="1"/>
    <col min="3455" max="3455" width="12.5546875" style="23" customWidth="1"/>
    <col min="3456" max="3456" width="3.5546875" style="23" customWidth="1"/>
    <col min="3457" max="3457" width="12.5546875" style="23" customWidth="1"/>
    <col min="3458" max="3458" width="1.6640625" style="23" customWidth="1"/>
    <col min="3459" max="3459" width="12.5546875" style="23" customWidth="1"/>
    <col min="3460" max="3460" width="1.6640625" style="23" customWidth="1"/>
    <col min="3461" max="3461" width="12.5546875" style="23" customWidth="1"/>
    <col min="3462" max="3462" width="1.6640625" style="23" customWidth="1"/>
    <col min="3463" max="3463" width="12.5546875" style="23" customWidth="1"/>
    <col min="3464" max="3464" width="1.6640625" style="23" customWidth="1"/>
    <col min="3465" max="3465" width="19.5546875" style="23" customWidth="1"/>
    <col min="3466" max="3467" width="12.5546875" style="23"/>
    <col min="3468" max="3468" width="1.6640625" style="23" customWidth="1"/>
    <col min="3469" max="3469" width="12.5546875" style="23"/>
    <col min="3470" max="3470" width="1.6640625" style="23" customWidth="1"/>
    <col min="3471" max="3471" width="12.5546875" style="23"/>
    <col min="3472" max="3472" width="1.6640625" style="23" customWidth="1"/>
    <col min="3473" max="3475" width="12.5546875" style="23"/>
    <col min="3476" max="3476" width="1.6640625" style="23" customWidth="1"/>
    <col min="3477" max="3477" width="12.5546875" style="23"/>
    <col min="3478" max="3478" width="1.6640625" style="23" customWidth="1"/>
    <col min="3479" max="3479" width="12.5546875" style="23"/>
    <col min="3480" max="3480" width="1.6640625" style="23" customWidth="1"/>
    <col min="3481" max="3696" width="12.5546875" style="23"/>
    <col min="3697" max="3697" width="2.6640625" style="23" customWidth="1"/>
    <col min="3698" max="3698" width="53.5546875" style="23" customWidth="1"/>
    <col min="3699" max="3699" width="12.5546875" style="23" customWidth="1"/>
    <col min="3700" max="3700" width="3.5546875" style="23" customWidth="1"/>
    <col min="3701" max="3701" width="12.5546875" style="23" customWidth="1"/>
    <col min="3702" max="3702" width="1.6640625" style="23" customWidth="1"/>
    <col min="3703" max="3703" width="12.5546875" style="23" customWidth="1"/>
    <col min="3704" max="3704" width="1.6640625" style="23" customWidth="1"/>
    <col min="3705" max="3705" width="12.5546875" style="23" customWidth="1"/>
    <col min="3706" max="3706" width="1.6640625" style="23" customWidth="1"/>
    <col min="3707" max="3707" width="12.5546875" style="23" customWidth="1"/>
    <col min="3708" max="3708" width="1.6640625" style="23" customWidth="1"/>
    <col min="3709" max="3709" width="19.5546875" style="23" customWidth="1"/>
    <col min="3710" max="3710" width="3.5546875" style="23" customWidth="1"/>
    <col min="3711" max="3711" width="12.5546875" style="23" customWidth="1"/>
    <col min="3712" max="3712" width="3.5546875" style="23" customWidth="1"/>
    <col min="3713" max="3713" width="12.5546875" style="23" customWidth="1"/>
    <col min="3714" max="3714" width="1.6640625" style="23" customWidth="1"/>
    <col min="3715" max="3715" width="12.5546875" style="23" customWidth="1"/>
    <col min="3716" max="3716" width="1.6640625" style="23" customWidth="1"/>
    <col min="3717" max="3717" width="12.5546875" style="23" customWidth="1"/>
    <col min="3718" max="3718" width="1.6640625" style="23" customWidth="1"/>
    <col min="3719" max="3719" width="12.5546875" style="23" customWidth="1"/>
    <col min="3720" max="3720" width="1.6640625" style="23" customWidth="1"/>
    <col min="3721" max="3721" width="19.5546875" style="23" customWidth="1"/>
    <col min="3722" max="3723" width="12.5546875" style="23"/>
    <col min="3724" max="3724" width="1.6640625" style="23" customWidth="1"/>
    <col min="3725" max="3725" width="12.5546875" style="23"/>
    <col min="3726" max="3726" width="1.6640625" style="23" customWidth="1"/>
    <col min="3727" max="3727" width="12.5546875" style="23"/>
    <col min="3728" max="3728" width="1.6640625" style="23" customWidth="1"/>
    <col min="3729" max="3731" width="12.5546875" style="23"/>
    <col min="3732" max="3732" width="1.6640625" style="23" customWidth="1"/>
    <col min="3733" max="3733" width="12.5546875" style="23"/>
    <col min="3734" max="3734" width="1.6640625" style="23" customWidth="1"/>
    <col min="3735" max="3735" width="12.5546875" style="23"/>
    <col min="3736" max="3736" width="1.6640625" style="23" customWidth="1"/>
    <col min="3737" max="3952" width="12.5546875" style="23"/>
    <col min="3953" max="3953" width="2.6640625" style="23" customWidth="1"/>
    <col min="3954" max="3954" width="53.5546875" style="23" customWidth="1"/>
    <col min="3955" max="3955" width="12.5546875" style="23" customWidth="1"/>
    <col min="3956" max="3956" width="3.5546875" style="23" customWidth="1"/>
    <col min="3957" max="3957" width="12.5546875" style="23" customWidth="1"/>
    <col min="3958" max="3958" width="1.6640625" style="23" customWidth="1"/>
    <col min="3959" max="3959" width="12.5546875" style="23" customWidth="1"/>
    <col min="3960" max="3960" width="1.6640625" style="23" customWidth="1"/>
    <col min="3961" max="3961" width="12.5546875" style="23" customWidth="1"/>
    <col min="3962" max="3962" width="1.6640625" style="23" customWidth="1"/>
    <col min="3963" max="3963" width="12.5546875" style="23" customWidth="1"/>
    <col min="3964" max="3964" width="1.6640625" style="23" customWidth="1"/>
    <col min="3965" max="3965" width="19.5546875" style="23" customWidth="1"/>
    <col min="3966" max="3966" width="3.5546875" style="23" customWidth="1"/>
    <col min="3967" max="3967" width="12.5546875" style="23" customWidth="1"/>
    <col min="3968" max="3968" width="3.5546875" style="23" customWidth="1"/>
    <col min="3969" max="3969" width="12.5546875" style="23" customWidth="1"/>
    <col min="3970" max="3970" width="1.6640625" style="23" customWidth="1"/>
    <col min="3971" max="3971" width="12.5546875" style="23" customWidth="1"/>
    <col min="3972" max="3972" width="1.6640625" style="23" customWidth="1"/>
    <col min="3973" max="3973" width="12.5546875" style="23" customWidth="1"/>
    <col min="3974" max="3974" width="1.6640625" style="23" customWidth="1"/>
    <col min="3975" max="3975" width="12.5546875" style="23" customWidth="1"/>
    <col min="3976" max="3976" width="1.6640625" style="23" customWidth="1"/>
    <col min="3977" max="3977" width="19.5546875" style="23" customWidth="1"/>
    <col min="3978" max="3979" width="12.5546875" style="23"/>
    <col min="3980" max="3980" width="1.6640625" style="23" customWidth="1"/>
    <col min="3981" max="3981" width="12.5546875" style="23"/>
    <col min="3982" max="3982" width="1.6640625" style="23" customWidth="1"/>
    <col min="3983" max="3983" width="12.5546875" style="23"/>
    <col min="3984" max="3984" width="1.6640625" style="23" customWidth="1"/>
    <col min="3985" max="3987" width="12.5546875" style="23"/>
    <col min="3988" max="3988" width="1.6640625" style="23" customWidth="1"/>
    <col min="3989" max="3989" width="12.5546875" style="23"/>
    <col min="3990" max="3990" width="1.6640625" style="23" customWidth="1"/>
    <col min="3991" max="3991" width="12.5546875" style="23"/>
    <col min="3992" max="3992" width="1.6640625" style="23" customWidth="1"/>
    <col min="3993" max="4208" width="12.5546875" style="23"/>
    <col min="4209" max="4209" width="2.6640625" style="23" customWidth="1"/>
    <col min="4210" max="4210" width="53.5546875" style="23" customWidth="1"/>
    <col min="4211" max="4211" width="12.5546875" style="23" customWidth="1"/>
    <col min="4212" max="4212" width="3.5546875" style="23" customWidth="1"/>
    <col min="4213" max="4213" width="12.5546875" style="23" customWidth="1"/>
    <col min="4214" max="4214" width="1.6640625" style="23" customWidth="1"/>
    <col min="4215" max="4215" width="12.5546875" style="23" customWidth="1"/>
    <col min="4216" max="4216" width="1.6640625" style="23" customWidth="1"/>
    <col min="4217" max="4217" width="12.5546875" style="23" customWidth="1"/>
    <col min="4218" max="4218" width="1.6640625" style="23" customWidth="1"/>
    <col min="4219" max="4219" width="12.5546875" style="23" customWidth="1"/>
    <col min="4220" max="4220" width="1.6640625" style="23" customWidth="1"/>
    <col min="4221" max="4221" width="19.5546875" style="23" customWidth="1"/>
    <col min="4222" max="4222" width="3.5546875" style="23" customWidth="1"/>
    <col min="4223" max="4223" width="12.5546875" style="23" customWidth="1"/>
    <col min="4224" max="4224" width="3.5546875" style="23" customWidth="1"/>
    <col min="4225" max="4225" width="12.5546875" style="23" customWidth="1"/>
    <col min="4226" max="4226" width="1.6640625" style="23" customWidth="1"/>
    <col min="4227" max="4227" width="12.5546875" style="23" customWidth="1"/>
    <col min="4228" max="4228" width="1.6640625" style="23" customWidth="1"/>
    <col min="4229" max="4229" width="12.5546875" style="23" customWidth="1"/>
    <col min="4230" max="4230" width="1.6640625" style="23" customWidth="1"/>
    <col min="4231" max="4231" width="12.5546875" style="23" customWidth="1"/>
    <col min="4232" max="4232" width="1.6640625" style="23" customWidth="1"/>
    <col min="4233" max="4233" width="19.5546875" style="23" customWidth="1"/>
    <col min="4234" max="4235" width="12.5546875" style="23"/>
    <col min="4236" max="4236" width="1.6640625" style="23" customWidth="1"/>
    <col min="4237" max="4237" width="12.5546875" style="23"/>
    <col min="4238" max="4238" width="1.6640625" style="23" customWidth="1"/>
    <col min="4239" max="4239" width="12.5546875" style="23"/>
    <col min="4240" max="4240" width="1.6640625" style="23" customWidth="1"/>
    <col min="4241" max="4243" width="12.5546875" style="23"/>
    <col min="4244" max="4244" width="1.6640625" style="23" customWidth="1"/>
    <col min="4245" max="4245" width="12.5546875" style="23"/>
    <col min="4246" max="4246" width="1.6640625" style="23" customWidth="1"/>
    <col min="4247" max="4247" width="12.5546875" style="23"/>
    <col min="4248" max="4248" width="1.6640625" style="23" customWidth="1"/>
    <col min="4249" max="4464" width="12.5546875" style="23"/>
    <col min="4465" max="4465" width="2.6640625" style="23" customWidth="1"/>
    <col min="4466" max="4466" width="53.5546875" style="23" customWidth="1"/>
    <col min="4467" max="4467" width="12.5546875" style="23" customWidth="1"/>
    <col min="4468" max="4468" width="3.5546875" style="23" customWidth="1"/>
    <col min="4469" max="4469" width="12.5546875" style="23" customWidth="1"/>
    <col min="4470" max="4470" width="1.6640625" style="23" customWidth="1"/>
    <col min="4471" max="4471" width="12.5546875" style="23" customWidth="1"/>
    <col min="4472" max="4472" width="1.6640625" style="23" customWidth="1"/>
    <col min="4473" max="4473" width="12.5546875" style="23" customWidth="1"/>
    <col min="4474" max="4474" width="1.6640625" style="23" customWidth="1"/>
    <col min="4475" max="4475" width="12.5546875" style="23" customWidth="1"/>
    <col min="4476" max="4476" width="1.6640625" style="23" customWidth="1"/>
    <col min="4477" max="4477" width="19.5546875" style="23" customWidth="1"/>
    <col min="4478" max="4478" width="3.5546875" style="23" customWidth="1"/>
    <col min="4479" max="4479" width="12.5546875" style="23" customWidth="1"/>
    <col min="4480" max="4480" width="3.5546875" style="23" customWidth="1"/>
    <col min="4481" max="4481" width="12.5546875" style="23" customWidth="1"/>
    <col min="4482" max="4482" width="1.6640625" style="23" customWidth="1"/>
    <col min="4483" max="4483" width="12.5546875" style="23" customWidth="1"/>
    <col min="4484" max="4484" width="1.6640625" style="23" customWidth="1"/>
    <col min="4485" max="4485" width="12.5546875" style="23" customWidth="1"/>
    <col min="4486" max="4486" width="1.6640625" style="23" customWidth="1"/>
    <col min="4487" max="4487" width="12.5546875" style="23" customWidth="1"/>
    <col min="4488" max="4488" width="1.6640625" style="23" customWidth="1"/>
    <col min="4489" max="4489" width="19.5546875" style="23" customWidth="1"/>
    <col min="4490" max="4491" width="12.5546875" style="23"/>
    <col min="4492" max="4492" width="1.6640625" style="23" customWidth="1"/>
    <col min="4493" max="4493" width="12.5546875" style="23"/>
    <col min="4494" max="4494" width="1.6640625" style="23" customWidth="1"/>
    <col min="4495" max="4495" width="12.5546875" style="23"/>
    <col min="4496" max="4496" width="1.6640625" style="23" customWidth="1"/>
    <col min="4497" max="4499" width="12.5546875" style="23"/>
    <col min="4500" max="4500" width="1.6640625" style="23" customWidth="1"/>
    <col min="4501" max="4501" width="12.5546875" style="23"/>
    <col min="4502" max="4502" width="1.6640625" style="23" customWidth="1"/>
    <col min="4503" max="4503" width="12.5546875" style="23"/>
    <col min="4504" max="4504" width="1.6640625" style="23" customWidth="1"/>
    <col min="4505" max="4720" width="12.5546875" style="23"/>
    <col min="4721" max="4721" width="2.6640625" style="23" customWidth="1"/>
    <col min="4722" max="4722" width="53.5546875" style="23" customWidth="1"/>
    <col min="4723" max="4723" width="12.5546875" style="23" customWidth="1"/>
    <col min="4724" max="4724" width="3.5546875" style="23" customWidth="1"/>
    <col min="4725" max="4725" width="12.5546875" style="23" customWidth="1"/>
    <col min="4726" max="4726" width="1.6640625" style="23" customWidth="1"/>
    <col min="4727" max="4727" width="12.5546875" style="23" customWidth="1"/>
    <col min="4728" max="4728" width="1.6640625" style="23" customWidth="1"/>
    <col min="4729" max="4729" width="12.5546875" style="23" customWidth="1"/>
    <col min="4730" max="4730" width="1.6640625" style="23" customWidth="1"/>
    <col min="4731" max="4731" width="12.5546875" style="23" customWidth="1"/>
    <col min="4732" max="4732" width="1.6640625" style="23" customWidth="1"/>
    <col min="4733" max="4733" width="19.5546875" style="23" customWidth="1"/>
    <col min="4734" max="4734" width="3.5546875" style="23" customWidth="1"/>
    <col min="4735" max="4735" width="12.5546875" style="23" customWidth="1"/>
    <col min="4736" max="4736" width="3.5546875" style="23" customWidth="1"/>
    <col min="4737" max="4737" width="12.5546875" style="23" customWidth="1"/>
    <col min="4738" max="4738" width="1.6640625" style="23" customWidth="1"/>
    <col min="4739" max="4739" width="12.5546875" style="23" customWidth="1"/>
    <col min="4740" max="4740" width="1.6640625" style="23" customWidth="1"/>
    <col min="4741" max="4741" width="12.5546875" style="23" customWidth="1"/>
    <col min="4742" max="4742" width="1.6640625" style="23" customWidth="1"/>
    <col min="4743" max="4743" width="12.5546875" style="23" customWidth="1"/>
    <col min="4744" max="4744" width="1.6640625" style="23" customWidth="1"/>
    <col min="4745" max="4745" width="19.5546875" style="23" customWidth="1"/>
    <col min="4746" max="4747" width="12.5546875" style="23"/>
    <col min="4748" max="4748" width="1.6640625" style="23" customWidth="1"/>
    <col min="4749" max="4749" width="12.5546875" style="23"/>
    <col min="4750" max="4750" width="1.6640625" style="23" customWidth="1"/>
    <col min="4751" max="4751" width="12.5546875" style="23"/>
    <col min="4752" max="4752" width="1.6640625" style="23" customWidth="1"/>
    <col min="4753" max="4755" width="12.5546875" style="23"/>
    <col min="4756" max="4756" width="1.6640625" style="23" customWidth="1"/>
    <col min="4757" max="4757" width="12.5546875" style="23"/>
    <col min="4758" max="4758" width="1.6640625" style="23" customWidth="1"/>
    <col min="4759" max="4759" width="12.5546875" style="23"/>
    <col min="4760" max="4760" width="1.6640625" style="23" customWidth="1"/>
    <col min="4761" max="4976" width="12.5546875" style="23"/>
    <col min="4977" max="4977" width="2.6640625" style="23" customWidth="1"/>
    <col min="4978" max="4978" width="53.5546875" style="23" customWidth="1"/>
    <col min="4979" max="4979" width="12.5546875" style="23" customWidth="1"/>
    <col min="4980" max="4980" width="3.5546875" style="23" customWidth="1"/>
    <col min="4981" max="4981" width="12.5546875" style="23" customWidth="1"/>
    <col min="4982" max="4982" width="1.6640625" style="23" customWidth="1"/>
    <col min="4983" max="4983" width="12.5546875" style="23" customWidth="1"/>
    <col min="4984" max="4984" width="1.6640625" style="23" customWidth="1"/>
    <col min="4985" max="4985" width="12.5546875" style="23" customWidth="1"/>
    <col min="4986" max="4986" width="1.6640625" style="23" customWidth="1"/>
    <col min="4987" max="4987" width="12.5546875" style="23" customWidth="1"/>
    <col min="4988" max="4988" width="1.6640625" style="23" customWidth="1"/>
    <col min="4989" max="4989" width="19.5546875" style="23" customWidth="1"/>
    <col min="4990" max="4990" width="3.5546875" style="23" customWidth="1"/>
    <col min="4991" max="4991" width="12.5546875" style="23" customWidth="1"/>
    <col min="4992" max="4992" width="3.5546875" style="23" customWidth="1"/>
    <col min="4993" max="4993" width="12.5546875" style="23" customWidth="1"/>
    <col min="4994" max="4994" width="1.6640625" style="23" customWidth="1"/>
    <col min="4995" max="4995" width="12.5546875" style="23" customWidth="1"/>
    <col min="4996" max="4996" width="1.6640625" style="23" customWidth="1"/>
    <col min="4997" max="4997" width="12.5546875" style="23" customWidth="1"/>
    <col min="4998" max="4998" width="1.6640625" style="23" customWidth="1"/>
    <col min="4999" max="4999" width="12.5546875" style="23" customWidth="1"/>
    <col min="5000" max="5000" width="1.6640625" style="23" customWidth="1"/>
    <col min="5001" max="5001" width="19.5546875" style="23" customWidth="1"/>
    <col min="5002" max="5003" width="12.5546875" style="23"/>
    <col min="5004" max="5004" width="1.6640625" style="23" customWidth="1"/>
    <col min="5005" max="5005" width="12.5546875" style="23"/>
    <col min="5006" max="5006" width="1.6640625" style="23" customWidth="1"/>
    <col min="5007" max="5007" width="12.5546875" style="23"/>
    <col min="5008" max="5008" width="1.6640625" style="23" customWidth="1"/>
    <col min="5009" max="5011" width="12.5546875" style="23"/>
    <col min="5012" max="5012" width="1.6640625" style="23" customWidth="1"/>
    <col min="5013" max="5013" width="12.5546875" style="23"/>
    <col min="5014" max="5014" width="1.6640625" style="23" customWidth="1"/>
    <col min="5015" max="5015" width="12.5546875" style="23"/>
    <col min="5016" max="5016" width="1.6640625" style="23" customWidth="1"/>
    <col min="5017" max="5232" width="12.5546875" style="23"/>
    <col min="5233" max="5233" width="2.6640625" style="23" customWidth="1"/>
    <col min="5234" max="5234" width="53.5546875" style="23" customWidth="1"/>
    <col min="5235" max="5235" width="12.5546875" style="23" customWidth="1"/>
    <col min="5236" max="5236" width="3.5546875" style="23" customWidth="1"/>
    <col min="5237" max="5237" width="12.5546875" style="23" customWidth="1"/>
    <col min="5238" max="5238" width="1.6640625" style="23" customWidth="1"/>
    <col min="5239" max="5239" width="12.5546875" style="23" customWidth="1"/>
    <col min="5240" max="5240" width="1.6640625" style="23" customWidth="1"/>
    <col min="5241" max="5241" width="12.5546875" style="23" customWidth="1"/>
    <col min="5242" max="5242" width="1.6640625" style="23" customWidth="1"/>
    <col min="5243" max="5243" width="12.5546875" style="23" customWidth="1"/>
    <col min="5244" max="5244" width="1.6640625" style="23" customWidth="1"/>
    <col min="5245" max="5245" width="19.5546875" style="23" customWidth="1"/>
    <col min="5246" max="5246" width="3.5546875" style="23" customWidth="1"/>
    <col min="5247" max="5247" width="12.5546875" style="23" customWidth="1"/>
    <col min="5248" max="5248" width="3.5546875" style="23" customWidth="1"/>
    <col min="5249" max="5249" width="12.5546875" style="23" customWidth="1"/>
    <col min="5250" max="5250" width="1.6640625" style="23" customWidth="1"/>
    <col min="5251" max="5251" width="12.5546875" style="23" customWidth="1"/>
    <col min="5252" max="5252" width="1.6640625" style="23" customWidth="1"/>
    <col min="5253" max="5253" width="12.5546875" style="23" customWidth="1"/>
    <col min="5254" max="5254" width="1.6640625" style="23" customWidth="1"/>
    <col min="5255" max="5255" width="12.5546875" style="23" customWidth="1"/>
    <col min="5256" max="5256" width="1.6640625" style="23" customWidth="1"/>
    <col min="5257" max="5257" width="19.5546875" style="23" customWidth="1"/>
    <col min="5258" max="5259" width="12.5546875" style="23"/>
    <col min="5260" max="5260" width="1.6640625" style="23" customWidth="1"/>
    <col min="5261" max="5261" width="12.5546875" style="23"/>
    <col min="5262" max="5262" width="1.6640625" style="23" customWidth="1"/>
    <col min="5263" max="5263" width="12.5546875" style="23"/>
    <col min="5264" max="5264" width="1.6640625" style="23" customWidth="1"/>
    <col min="5265" max="5267" width="12.5546875" style="23"/>
    <col min="5268" max="5268" width="1.6640625" style="23" customWidth="1"/>
    <col min="5269" max="5269" width="12.5546875" style="23"/>
    <col min="5270" max="5270" width="1.6640625" style="23" customWidth="1"/>
    <col min="5271" max="5271" width="12.5546875" style="23"/>
    <col min="5272" max="5272" width="1.6640625" style="23" customWidth="1"/>
    <col min="5273" max="5488" width="12.5546875" style="23"/>
    <col min="5489" max="5489" width="2.6640625" style="23" customWidth="1"/>
    <col min="5490" max="5490" width="53.5546875" style="23" customWidth="1"/>
    <col min="5491" max="5491" width="12.5546875" style="23" customWidth="1"/>
    <col min="5492" max="5492" width="3.5546875" style="23" customWidth="1"/>
    <col min="5493" max="5493" width="12.5546875" style="23" customWidth="1"/>
    <col min="5494" max="5494" width="1.6640625" style="23" customWidth="1"/>
    <col min="5495" max="5495" width="12.5546875" style="23" customWidth="1"/>
    <col min="5496" max="5496" width="1.6640625" style="23" customWidth="1"/>
    <col min="5497" max="5497" width="12.5546875" style="23" customWidth="1"/>
    <col min="5498" max="5498" width="1.6640625" style="23" customWidth="1"/>
    <col min="5499" max="5499" width="12.5546875" style="23" customWidth="1"/>
    <col min="5500" max="5500" width="1.6640625" style="23" customWidth="1"/>
    <col min="5501" max="5501" width="19.5546875" style="23" customWidth="1"/>
    <col min="5502" max="5502" width="3.5546875" style="23" customWidth="1"/>
    <col min="5503" max="5503" width="12.5546875" style="23" customWidth="1"/>
    <col min="5504" max="5504" width="3.5546875" style="23" customWidth="1"/>
    <col min="5505" max="5505" width="12.5546875" style="23" customWidth="1"/>
    <col min="5506" max="5506" width="1.6640625" style="23" customWidth="1"/>
    <col min="5507" max="5507" width="12.5546875" style="23" customWidth="1"/>
    <col min="5508" max="5508" width="1.6640625" style="23" customWidth="1"/>
    <col min="5509" max="5509" width="12.5546875" style="23" customWidth="1"/>
    <col min="5510" max="5510" width="1.6640625" style="23" customWidth="1"/>
    <col min="5511" max="5511" width="12.5546875" style="23" customWidth="1"/>
    <col min="5512" max="5512" width="1.6640625" style="23" customWidth="1"/>
    <col min="5513" max="5513" width="19.5546875" style="23" customWidth="1"/>
    <col min="5514" max="5515" width="12.5546875" style="23"/>
    <col min="5516" max="5516" width="1.6640625" style="23" customWidth="1"/>
    <col min="5517" max="5517" width="12.5546875" style="23"/>
    <col min="5518" max="5518" width="1.6640625" style="23" customWidth="1"/>
    <col min="5519" max="5519" width="12.5546875" style="23"/>
    <col min="5520" max="5520" width="1.6640625" style="23" customWidth="1"/>
    <col min="5521" max="5523" width="12.5546875" style="23"/>
    <col min="5524" max="5524" width="1.6640625" style="23" customWidth="1"/>
    <col min="5525" max="5525" width="12.5546875" style="23"/>
    <col min="5526" max="5526" width="1.6640625" style="23" customWidth="1"/>
    <col min="5527" max="5527" width="12.5546875" style="23"/>
    <col min="5528" max="5528" width="1.6640625" style="23" customWidth="1"/>
    <col min="5529" max="5744" width="12.5546875" style="23"/>
    <col min="5745" max="5745" width="2.6640625" style="23" customWidth="1"/>
    <col min="5746" max="5746" width="53.5546875" style="23" customWidth="1"/>
    <col min="5747" max="5747" width="12.5546875" style="23" customWidth="1"/>
    <col min="5748" max="5748" width="3.5546875" style="23" customWidth="1"/>
    <col min="5749" max="5749" width="12.5546875" style="23" customWidth="1"/>
    <col min="5750" max="5750" width="1.6640625" style="23" customWidth="1"/>
    <col min="5751" max="5751" width="12.5546875" style="23" customWidth="1"/>
    <col min="5752" max="5752" width="1.6640625" style="23" customWidth="1"/>
    <col min="5753" max="5753" width="12.5546875" style="23" customWidth="1"/>
    <col min="5754" max="5754" width="1.6640625" style="23" customWidth="1"/>
    <col min="5755" max="5755" width="12.5546875" style="23" customWidth="1"/>
    <col min="5756" max="5756" width="1.6640625" style="23" customWidth="1"/>
    <col min="5757" max="5757" width="19.5546875" style="23" customWidth="1"/>
    <col min="5758" max="5758" width="3.5546875" style="23" customWidth="1"/>
    <col min="5759" max="5759" width="12.5546875" style="23" customWidth="1"/>
    <col min="5760" max="5760" width="3.5546875" style="23" customWidth="1"/>
    <col min="5761" max="5761" width="12.5546875" style="23" customWidth="1"/>
    <col min="5762" max="5762" width="1.6640625" style="23" customWidth="1"/>
    <col min="5763" max="5763" width="12.5546875" style="23" customWidth="1"/>
    <col min="5764" max="5764" width="1.6640625" style="23" customWidth="1"/>
    <col min="5765" max="5765" width="12.5546875" style="23" customWidth="1"/>
    <col min="5766" max="5766" width="1.6640625" style="23" customWidth="1"/>
    <col min="5767" max="5767" width="12.5546875" style="23" customWidth="1"/>
    <col min="5768" max="5768" width="1.6640625" style="23" customWidth="1"/>
    <col min="5769" max="5769" width="19.5546875" style="23" customWidth="1"/>
    <col min="5770" max="5771" width="12.5546875" style="23"/>
    <col min="5772" max="5772" width="1.6640625" style="23" customWidth="1"/>
    <col min="5773" max="5773" width="12.5546875" style="23"/>
    <col min="5774" max="5774" width="1.6640625" style="23" customWidth="1"/>
    <col min="5775" max="5775" width="12.5546875" style="23"/>
    <col min="5776" max="5776" width="1.6640625" style="23" customWidth="1"/>
    <col min="5777" max="5779" width="12.5546875" style="23"/>
    <col min="5780" max="5780" width="1.6640625" style="23" customWidth="1"/>
    <col min="5781" max="5781" width="12.5546875" style="23"/>
    <col min="5782" max="5782" width="1.6640625" style="23" customWidth="1"/>
    <col min="5783" max="5783" width="12.5546875" style="23"/>
    <col min="5784" max="5784" width="1.6640625" style="23" customWidth="1"/>
    <col min="5785" max="6000" width="12.5546875" style="23"/>
    <col min="6001" max="6001" width="2.6640625" style="23" customWidth="1"/>
    <col min="6002" max="6002" width="53.5546875" style="23" customWidth="1"/>
    <col min="6003" max="6003" width="12.5546875" style="23" customWidth="1"/>
    <col min="6004" max="6004" width="3.5546875" style="23" customWidth="1"/>
    <col min="6005" max="6005" width="12.5546875" style="23" customWidth="1"/>
    <col min="6006" max="6006" width="1.6640625" style="23" customWidth="1"/>
    <col min="6007" max="6007" width="12.5546875" style="23" customWidth="1"/>
    <col min="6008" max="6008" width="1.6640625" style="23" customWidth="1"/>
    <col min="6009" max="6009" width="12.5546875" style="23" customWidth="1"/>
    <col min="6010" max="6010" width="1.6640625" style="23" customWidth="1"/>
    <col min="6011" max="6011" width="12.5546875" style="23" customWidth="1"/>
    <col min="6012" max="6012" width="1.6640625" style="23" customWidth="1"/>
    <col min="6013" max="6013" width="19.5546875" style="23" customWidth="1"/>
    <col min="6014" max="6014" width="3.5546875" style="23" customWidth="1"/>
    <col min="6015" max="6015" width="12.5546875" style="23" customWidth="1"/>
    <col min="6016" max="6016" width="3.5546875" style="23" customWidth="1"/>
    <col min="6017" max="6017" width="12.5546875" style="23" customWidth="1"/>
    <col min="6018" max="6018" width="1.6640625" style="23" customWidth="1"/>
    <col min="6019" max="6019" width="12.5546875" style="23" customWidth="1"/>
    <col min="6020" max="6020" width="1.6640625" style="23" customWidth="1"/>
    <col min="6021" max="6021" width="12.5546875" style="23" customWidth="1"/>
    <col min="6022" max="6022" width="1.6640625" style="23" customWidth="1"/>
    <col min="6023" max="6023" width="12.5546875" style="23" customWidth="1"/>
    <col min="6024" max="6024" width="1.6640625" style="23" customWidth="1"/>
    <col min="6025" max="6025" width="19.5546875" style="23" customWidth="1"/>
    <col min="6026" max="6027" width="12.5546875" style="23"/>
    <col min="6028" max="6028" width="1.6640625" style="23" customWidth="1"/>
    <col min="6029" max="6029" width="12.5546875" style="23"/>
    <col min="6030" max="6030" width="1.6640625" style="23" customWidth="1"/>
    <col min="6031" max="6031" width="12.5546875" style="23"/>
    <col min="6032" max="6032" width="1.6640625" style="23" customWidth="1"/>
    <col min="6033" max="6035" width="12.5546875" style="23"/>
    <col min="6036" max="6036" width="1.6640625" style="23" customWidth="1"/>
    <col min="6037" max="6037" width="12.5546875" style="23"/>
    <col min="6038" max="6038" width="1.6640625" style="23" customWidth="1"/>
    <col min="6039" max="6039" width="12.5546875" style="23"/>
    <col min="6040" max="6040" width="1.6640625" style="23" customWidth="1"/>
    <col min="6041" max="6256" width="12.5546875" style="23"/>
    <col min="6257" max="6257" width="2.6640625" style="23" customWidth="1"/>
    <col min="6258" max="6258" width="53.5546875" style="23" customWidth="1"/>
    <col min="6259" max="6259" width="12.5546875" style="23" customWidth="1"/>
    <col min="6260" max="6260" width="3.5546875" style="23" customWidth="1"/>
    <col min="6261" max="6261" width="12.5546875" style="23" customWidth="1"/>
    <col min="6262" max="6262" width="1.6640625" style="23" customWidth="1"/>
    <col min="6263" max="6263" width="12.5546875" style="23" customWidth="1"/>
    <col min="6264" max="6264" width="1.6640625" style="23" customWidth="1"/>
    <col min="6265" max="6265" width="12.5546875" style="23" customWidth="1"/>
    <col min="6266" max="6266" width="1.6640625" style="23" customWidth="1"/>
    <col min="6267" max="6267" width="12.5546875" style="23" customWidth="1"/>
    <col min="6268" max="6268" width="1.6640625" style="23" customWidth="1"/>
    <col min="6269" max="6269" width="19.5546875" style="23" customWidth="1"/>
    <col min="6270" max="6270" width="3.5546875" style="23" customWidth="1"/>
    <col min="6271" max="6271" width="12.5546875" style="23" customWidth="1"/>
    <col min="6272" max="6272" width="3.5546875" style="23" customWidth="1"/>
    <col min="6273" max="6273" width="12.5546875" style="23" customWidth="1"/>
    <col min="6274" max="6274" width="1.6640625" style="23" customWidth="1"/>
    <col min="6275" max="6275" width="12.5546875" style="23" customWidth="1"/>
    <col min="6276" max="6276" width="1.6640625" style="23" customWidth="1"/>
    <col min="6277" max="6277" width="12.5546875" style="23" customWidth="1"/>
    <col min="6278" max="6278" width="1.6640625" style="23" customWidth="1"/>
    <col min="6279" max="6279" width="12.5546875" style="23" customWidth="1"/>
    <col min="6280" max="6280" width="1.6640625" style="23" customWidth="1"/>
    <col min="6281" max="6281" width="19.5546875" style="23" customWidth="1"/>
    <col min="6282" max="6283" width="12.5546875" style="23"/>
    <col min="6284" max="6284" width="1.6640625" style="23" customWidth="1"/>
    <col min="6285" max="6285" width="12.5546875" style="23"/>
    <col min="6286" max="6286" width="1.6640625" style="23" customWidth="1"/>
    <col min="6287" max="6287" width="12.5546875" style="23"/>
    <col min="6288" max="6288" width="1.6640625" style="23" customWidth="1"/>
    <col min="6289" max="6291" width="12.5546875" style="23"/>
    <col min="6292" max="6292" width="1.6640625" style="23" customWidth="1"/>
    <col min="6293" max="6293" width="12.5546875" style="23"/>
    <col min="6294" max="6294" width="1.6640625" style="23" customWidth="1"/>
    <col min="6295" max="6295" width="12.5546875" style="23"/>
    <col min="6296" max="6296" width="1.6640625" style="23" customWidth="1"/>
    <col min="6297" max="6512" width="12.5546875" style="23"/>
    <col min="6513" max="6513" width="2.6640625" style="23" customWidth="1"/>
    <col min="6514" max="6514" width="53.5546875" style="23" customWidth="1"/>
    <col min="6515" max="6515" width="12.5546875" style="23" customWidth="1"/>
    <col min="6516" max="6516" width="3.5546875" style="23" customWidth="1"/>
    <col min="6517" max="6517" width="12.5546875" style="23" customWidth="1"/>
    <col min="6518" max="6518" width="1.6640625" style="23" customWidth="1"/>
    <col min="6519" max="6519" width="12.5546875" style="23" customWidth="1"/>
    <col min="6520" max="6520" width="1.6640625" style="23" customWidth="1"/>
    <col min="6521" max="6521" width="12.5546875" style="23" customWidth="1"/>
    <col min="6522" max="6522" width="1.6640625" style="23" customWidth="1"/>
    <col min="6523" max="6523" width="12.5546875" style="23" customWidth="1"/>
    <col min="6524" max="6524" width="1.6640625" style="23" customWidth="1"/>
    <col min="6525" max="6525" width="19.5546875" style="23" customWidth="1"/>
    <col min="6526" max="6526" width="3.5546875" style="23" customWidth="1"/>
    <col min="6527" max="6527" width="12.5546875" style="23" customWidth="1"/>
    <col min="6528" max="6528" width="3.5546875" style="23" customWidth="1"/>
    <col min="6529" max="6529" width="12.5546875" style="23" customWidth="1"/>
    <col min="6530" max="6530" width="1.6640625" style="23" customWidth="1"/>
    <col min="6531" max="6531" width="12.5546875" style="23" customWidth="1"/>
    <col min="6532" max="6532" width="1.6640625" style="23" customWidth="1"/>
    <col min="6533" max="6533" width="12.5546875" style="23" customWidth="1"/>
    <col min="6534" max="6534" width="1.6640625" style="23" customWidth="1"/>
    <col min="6535" max="6535" width="12.5546875" style="23" customWidth="1"/>
    <col min="6536" max="6536" width="1.6640625" style="23" customWidth="1"/>
    <col min="6537" max="6537" width="19.5546875" style="23" customWidth="1"/>
    <col min="6538" max="6539" width="12.5546875" style="23"/>
    <col min="6540" max="6540" width="1.6640625" style="23" customWidth="1"/>
    <col min="6541" max="6541" width="12.5546875" style="23"/>
    <col min="6542" max="6542" width="1.6640625" style="23" customWidth="1"/>
    <col min="6543" max="6543" width="12.5546875" style="23"/>
    <col min="6544" max="6544" width="1.6640625" style="23" customWidth="1"/>
    <col min="6545" max="6547" width="12.5546875" style="23"/>
    <col min="6548" max="6548" width="1.6640625" style="23" customWidth="1"/>
    <col min="6549" max="6549" width="12.5546875" style="23"/>
    <col min="6550" max="6550" width="1.6640625" style="23" customWidth="1"/>
    <col min="6551" max="6551" width="12.5546875" style="23"/>
    <col min="6552" max="6552" width="1.6640625" style="23" customWidth="1"/>
    <col min="6553" max="6768" width="12.5546875" style="23"/>
    <col min="6769" max="6769" width="2.6640625" style="23" customWidth="1"/>
    <col min="6770" max="6770" width="53.5546875" style="23" customWidth="1"/>
    <col min="6771" max="6771" width="12.5546875" style="23" customWidth="1"/>
    <col min="6772" max="6772" width="3.5546875" style="23" customWidth="1"/>
    <col min="6773" max="6773" width="12.5546875" style="23" customWidth="1"/>
    <col min="6774" max="6774" width="1.6640625" style="23" customWidth="1"/>
    <col min="6775" max="6775" width="12.5546875" style="23" customWidth="1"/>
    <col min="6776" max="6776" width="1.6640625" style="23" customWidth="1"/>
    <col min="6777" max="6777" width="12.5546875" style="23" customWidth="1"/>
    <col min="6778" max="6778" width="1.6640625" style="23" customWidth="1"/>
    <col min="6779" max="6779" width="12.5546875" style="23" customWidth="1"/>
    <col min="6780" max="6780" width="1.6640625" style="23" customWidth="1"/>
    <col min="6781" max="6781" width="19.5546875" style="23" customWidth="1"/>
    <col min="6782" max="6782" width="3.5546875" style="23" customWidth="1"/>
    <col min="6783" max="6783" width="12.5546875" style="23" customWidth="1"/>
    <col min="6784" max="6784" width="3.5546875" style="23" customWidth="1"/>
    <col min="6785" max="6785" width="12.5546875" style="23" customWidth="1"/>
    <col min="6786" max="6786" width="1.6640625" style="23" customWidth="1"/>
    <col min="6787" max="6787" width="12.5546875" style="23" customWidth="1"/>
    <col min="6788" max="6788" width="1.6640625" style="23" customWidth="1"/>
    <col min="6789" max="6789" width="12.5546875" style="23" customWidth="1"/>
    <col min="6790" max="6790" width="1.6640625" style="23" customWidth="1"/>
    <col min="6791" max="6791" width="12.5546875" style="23" customWidth="1"/>
    <col min="6792" max="6792" width="1.6640625" style="23" customWidth="1"/>
    <col min="6793" max="6793" width="19.5546875" style="23" customWidth="1"/>
    <col min="6794" max="6795" width="12.5546875" style="23"/>
    <col min="6796" max="6796" width="1.6640625" style="23" customWidth="1"/>
    <col min="6797" max="6797" width="12.5546875" style="23"/>
    <col min="6798" max="6798" width="1.6640625" style="23" customWidth="1"/>
    <col min="6799" max="6799" width="12.5546875" style="23"/>
    <col min="6800" max="6800" width="1.6640625" style="23" customWidth="1"/>
    <col min="6801" max="6803" width="12.5546875" style="23"/>
    <col min="6804" max="6804" width="1.6640625" style="23" customWidth="1"/>
    <col min="6805" max="6805" width="12.5546875" style="23"/>
    <col min="6806" max="6806" width="1.6640625" style="23" customWidth="1"/>
    <col min="6807" max="6807" width="12.5546875" style="23"/>
    <col min="6808" max="6808" width="1.6640625" style="23" customWidth="1"/>
    <col min="6809" max="7024" width="12.5546875" style="23"/>
    <col min="7025" max="7025" width="2.6640625" style="23" customWidth="1"/>
    <col min="7026" max="7026" width="53.5546875" style="23" customWidth="1"/>
    <col min="7027" max="7027" width="12.5546875" style="23" customWidth="1"/>
    <col min="7028" max="7028" width="3.5546875" style="23" customWidth="1"/>
    <col min="7029" max="7029" width="12.5546875" style="23" customWidth="1"/>
    <col min="7030" max="7030" width="1.6640625" style="23" customWidth="1"/>
    <col min="7031" max="7031" width="12.5546875" style="23" customWidth="1"/>
    <col min="7032" max="7032" width="1.6640625" style="23" customWidth="1"/>
    <col min="7033" max="7033" width="12.5546875" style="23" customWidth="1"/>
    <col min="7034" max="7034" width="1.6640625" style="23" customWidth="1"/>
    <col min="7035" max="7035" width="12.5546875" style="23" customWidth="1"/>
    <col min="7036" max="7036" width="1.6640625" style="23" customWidth="1"/>
    <col min="7037" max="7037" width="19.5546875" style="23" customWidth="1"/>
    <col min="7038" max="7038" width="3.5546875" style="23" customWidth="1"/>
    <col min="7039" max="7039" width="12.5546875" style="23" customWidth="1"/>
    <col min="7040" max="7040" width="3.5546875" style="23" customWidth="1"/>
    <col min="7041" max="7041" width="12.5546875" style="23" customWidth="1"/>
    <col min="7042" max="7042" width="1.6640625" style="23" customWidth="1"/>
    <col min="7043" max="7043" width="12.5546875" style="23" customWidth="1"/>
    <col min="7044" max="7044" width="1.6640625" style="23" customWidth="1"/>
    <col min="7045" max="7045" width="12.5546875" style="23" customWidth="1"/>
    <col min="7046" max="7046" width="1.6640625" style="23" customWidth="1"/>
    <col min="7047" max="7047" width="12.5546875" style="23" customWidth="1"/>
    <col min="7048" max="7048" width="1.6640625" style="23" customWidth="1"/>
    <col min="7049" max="7049" width="19.5546875" style="23" customWidth="1"/>
    <col min="7050" max="7051" width="12.5546875" style="23"/>
    <col min="7052" max="7052" width="1.6640625" style="23" customWidth="1"/>
    <col min="7053" max="7053" width="12.5546875" style="23"/>
    <col min="7054" max="7054" width="1.6640625" style="23" customWidth="1"/>
    <col min="7055" max="7055" width="12.5546875" style="23"/>
    <col min="7056" max="7056" width="1.6640625" style="23" customWidth="1"/>
    <col min="7057" max="7059" width="12.5546875" style="23"/>
    <col min="7060" max="7060" width="1.6640625" style="23" customWidth="1"/>
    <col min="7061" max="7061" width="12.5546875" style="23"/>
    <col min="7062" max="7062" width="1.6640625" style="23" customWidth="1"/>
    <col min="7063" max="7063" width="12.5546875" style="23"/>
    <col min="7064" max="7064" width="1.6640625" style="23" customWidth="1"/>
    <col min="7065" max="7280" width="12.5546875" style="23"/>
    <col min="7281" max="7281" width="2.6640625" style="23" customWidth="1"/>
    <col min="7282" max="7282" width="53.5546875" style="23" customWidth="1"/>
    <col min="7283" max="7283" width="12.5546875" style="23" customWidth="1"/>
    <col min="7284" max="7284" width="3.5546875" style="23" customWidth="1"/>
    <col min="7285" max="7285" width="12.5546875" style="23" customWidth="1"/>
    <col min="7286" max="7286" width="1.6640625" style="23" customWidth="1"/>
    <col min="7287" max="7287" width="12.5546875" style="23" customWidth="1"/>
    <col min="7288" max="7288" width="1.6640625" style="23" customWidth="1"/>
    <col min="7289" max="7289" width="12.5546875" style="23" customWidth="1"/>
    <col min="7290" max="7290" width="1.6640625" style="23" customWidth="1"/>
    <col min="7291" max="7291" width="12.5546875" style="23" customWidth="1"/>
    <col min="7292" max="7292" width="1.6640625" style="23" customWidth="1"/>
    <col min="7293" max="7293" width="19.5546875" style="23" customWidth="1"/>
    <col min="7294" max="7294" width="3.5546875" style="23" customWidth="1"/>
    <col min="7295" max="7295" width="12.5546875" style="23" customWidth="1"/>
    <col min="7296" max="7296" width="3.5546875" style="23" customWidth="1"/>
    <col min="7297" max="7297" width="12.5546875" style="23" customWidth="1"/>
    <col min="7298" max="7298" width="1.6640625" style="23" customWidth="1"/>
    <col min="7299" max="7299" width="12.5546875" style="23" customWidth="1"/>
    <col min="7300" max="7300" width="1.6640625" style="23" customWidth="1"/>
    <col min="7301" max="7301" width="12.5546875" style="23" customWidth="1"/>
    <col min="7302" max="7302" width="1.6640625" style="23" customWidth="1"/>
    <col min="7303" max="7303" width="12.5546875" style="23" customWidth="1"/>
    <col min="7304" max="7304" width="1.6640625" style="23" customWidth="1"/>
    <col min="7305" max="7305" width="19.5546875" style="23" customWidth="1"/>
    <col min="7306" max="7307" width="12.5546875" style="23"/>
    <col min="7308" max="7308" width="1.6640625" style="23" customWidth="1"/>
    <col min="7309" max="7309" width="12.5546875" style="23"/>
    <col min="7310" max="7310" width="1.6640625" style="23" customWidth="1"/>
    <col min="7311" max="7311" width="12.5546875" style="23"/>
    <col min="7312" max="7312" width="1.6640625" style="23" customWidth="1"/>
    <col min="7313" max="7315" width="12.5546875" style="23"/>
    <col min="7316" max="7316" width="1.6640625" style="23" customWidth="1"/>
    <col min="7317" max="7317" width="12.5546875" style="23"/>
    <col min="7318" max="7318" width="1.6640625" style="23" customWidth="1"/>
    <col min="7319" max="7319" width="12.5546875" style="23"/>
    <col min="7320" max="7320" width="1.6640625" style="23" customWidth="1"/>
    <col min="7321" max="7536" width="12.5546875" style="23"/>
    <col min="7537" max="7537" width="2.6640625" style="23" customWidth="1"/>
    <col min="7538" max="7538" width="53.5546875" style="23" customWidth="1"/>
    <col min="7539" max="7539" width="12.5546875" style="23" customWidth="1"/>
    <col min="7540" max="7540" width="3.5546875" style="23" customWidth="1"/>
    <col min="7541" max="7541" width="12.5546875" style="23" customWidth="1"/>
    <col min="7542" max="7542" width="1.6640625" style="23" customWidth="1"/>
    <col min="7543" max="7543" width="12.5546875" style="23" customWidth="1"/>
    <col min="7544" max="7544" width="1.6640625" style="23" customWidth="1"/>
    <col min="7545" max="7545" width="12.5546875" style="23" customWidth="1"/>
    <col min="7546" max="7546" width="1.6640625" style="23" customWidth="1"/>
    <col min="7547" max="7547" width="12.5546875" style="23" customWidth="1"/>
    <col min="7548" max="7548" width="1.6640625" style="23" customWidth="1"/>
    <col min="7549" max="7549" width="19.5546875" style="23" customWidth="1"/>
    <col min="7550" max="7550" width="3.5546875" style="23" customWidth="1"/>
    <col min="7551" max="7551" width="12.5546875" style="23" customWidth="1"/>
    <col min="7552" max="7552" width="3.5546875" style="23" customWidth="1"/>
    <col min="7553" max="7553" width="12.5546875" style="23" customWidth="1"/>
    <col min="7554" max="7554" width="1.6640625" style="23" customWidth="1"/>
    <col min="7555" max="7555" width="12.5546875" style="23" customWidth="1"/>
    <col min="7556" max="7556" width="1.6640625" style="23" customWidth="1"/>
    <col min="7557" max="7557" width="12.5546875" style="23" customWidth="1"/>
    <col min="7558" max="7558" width="1.6640625" style="23" customWidth="1"/>
    <col min="7559" max="7559" width="12.5546875" style="23" customWidth="1"/>
    <col min="7560" max="7560" width="1.6640625" style="23" customWidth="1"/>
    <col min="7561" max="7561" width="19.5546875" style="23" customWidth="1"/>
    <col min="7562" max="7563" width="12.5546875" style="23"/>
    <col min="7564" max="7564" width="1.6640625" style="23" customWidth="1"/>
    <col min="7565" max="7565" width="12.5546875" style="23"/>
    <col min="7566" max="7566" width="1.6640625" style="23" customWidth="1"/>
    <col min="7567" max="7567" width="12.5546875" style="23"/>
    <col min="7568" max="7568" width="1.6640625" style="23" customWidth="1"/>
    <col min="7569" max="7571" width="12.5546875" style="23"/>
    <col min="7572" max="7572" width="1.6640625" style="23" customWidth="1"/>
    <col min="7573" max="7573" width="12.5546875" style="23"/>
    <col min="7574" max="7574" width="1.6640625" style="23" customWidth="1"/>
    <col min="7575" max="7575" width="12.5546875" style="23"/>
    <col min="7576" max="7576" width="1.6640625" style="23" customWidth="1"/>
    <col min="7577" max="7792" width="12.5546875" style="23"/>
    <col min="7793" max="7793" width="2.6640625" style="23" customWidth="1"/>
    <col min="7794" max="7794" width="53.5546875" style="23" customWidth="1"/>
    <col min="7795" max="7795" width="12.5546875" style="23" customWidth="1"/>
    <col min="7796" max="7796" width="3.5546875" style="23" customWidth="1"/>
    <col min="7797" max="7797" width="12.5546875" style="23" customWidth="1"/>
    <col min="7798" max="7798" width="1.6640625" style="23" customWidth="1"/>
    <col min="7799" max="7799" width="12.5546875" style="23" customWidth="1"/>
    <col min="7800" max="7800" width="1.6640625" style="23" customWidth="1"/>
    <col min="7801" max="7801" width="12.5546875" style="23" customWidth="1"/>
    <col min="7802" max="7802" width="1.6640625" style="23" customWidth="1"/>
    <col min="7803" max="7803" width="12.5546875" style="23" customWidth="1"/>
    <col min="7804" max="7804" width="1.6640625" style="23" customWidth="1"/>
    <col min="7805" max="7805" width="19.5546875" style="23" customWidth="1"/>
    <col min="7806" max="7806" width="3.5546875" style="23" customWidth="1"/>
    <col min="7807" max="7807" width="12.5546875" style="23" customWidth="1"/>
    <col min="7808" max="7808" width="3.5546875" style="23" customWidth="1"/>
    <col min="7809" max="7809" width="12.5546875" style="23" customWidth="1"/>
    <col min="7810" max="7810" width="1.6640625" style="23" customWidth="1"/>
    <col min="7811" max="7811" width="12.5546875" style="23" customWidth="1"/>
    <col min="7812" max="7812" width="1.6640625" style="23" customWidth="1"/>
    <col min="7813" max="7813" width="12.5546875" style="23" customWidth="1"/>
    <col min="7814" max="7814" width="1.6640625" style="23" customWidth="1"/>
    <col min="7815" max="7815" width="12.5546875" style="23" customWidth="1"/>
    <col min="7816" max="7816" width="1.6640625" style="23" customWidth="1"/>
    <col min="7817" max="7817" width="19.5546875" style="23" customWidth="1"/>
    <col min="7818" max="7819" width="12.5546875" style="23"/>
    <col min="7820" max="7820" width="1.6640625" style="23" customWidth="1"/>
    <col min="7821" max="7821" width="12.5546875" style="23"/>
    <col min="7822" max="7822" width="1.6640625" style="23" customWidth="1"/>
    <col min="7823" max="7823" width="12.5546875" style="23"/>
    <col min="7824" max="7824" width="1.6640625" style="23" customWidth="1"/>
    <col min="7825" max="7827" width="12.5546875" style="23"/>
    <col min="7828" max="7828" width="1.6640625" style="23" customWidth="1"/>
    <col min="7829" max="7829" width="12.5546875" style="23"/>
    <col min="7830" max="7830" width="1.6640625" style="23" customWidth="1"/>
    <col min="7831" max="7831" width="12.5546875" style="23"/>
    <col min="7832" max="7832" width="1.6640625" style="23" customWidth="1"/>
    <col min="7833" max="8048" width="12.5546875" style="23"/>
    <col min="8049" max="8049" width="2.6640625" style="23" customWidth="1"/>
    <col min="8050" max="8050" width="53.5546875" style="23" customWidth="1"/>
    <col min="8051" max="8051" width="12.5546875" style="23" customWidth="1"/>
    <col min="8052" max="8052" width="3.5546875" style="23" customWidth="1"/>
    <col min="8053" max="8053" width="12.5546875" style="23" customWidth="1"/>
    <col min="8054" max="8054" width="1.6640625" style="23" customWidth="1"/>
    <col min="8055" max="8055" width="12.5546875" style="23" customWidth="1"/>
    <col min="8056" max="8056" width="1.6640625" style="23" customWidth="1"/>
    <col min="8057" max="8057" width="12.5546875" style="23" customWidth="1"/>
    <col min="8058" max="8058" width="1.6640625" style="23" customWidth="1"/>
    <col min="8059" max="8059" width="12.5546875" style="23" customWidth="1"/>
    <col min="8060" max="8060" width="1.6640625" style="23" customWidth="1"/>
    <col min="8061" max="8061" width="19.5546875" style="23" customWidth="1"/>
    <col min="8062" max="8062" width="3.5546875" style="23" customWidth="1"/>
    <col min="8063" max="8063" width="12.5546875" style="23" customWidth="1"/>
    <col min="8064" max="8064" width="3.5546875" style="23" customWidth="1"/>
    <col min="8065" max="8065" width="12.5546875" style="23" customWidth="1"/>
    <col min="8066" max="8066" width="1.6640625" style="23" customWidth="1"/>
    <col min="8067" max="8067" width="12.5546875" style="23" customWidth="1"/>
    <col min="8068" max="8068" width="1.6640625" style="23" customWidth="1"/>
    <col min="8069" max="8069" width="12.5546875" style="23" customWidth="1"/>
    <col min="8070" max="8070" width="1.6640625" style="23" customWidth="1"/>
    <col min="8071" max="8071" width="12.5546875" style="23" customWidth="1"/>
    <col min="8072" max="8072" width="1.6640625" style="23" customWidth="1"/>
    <col min="8073" max="8073" width="19.5546875" style="23" customWidth="1"/>
    <col min="8074" max="8075" width="12.5546875" style="23"/>
    <col min="8076" max="8076" width="1.6640625" style="23" customWidth="1"/>
    <col min="8077" max="8077" width="12.5546875" style="23"/>
    <col min="8078" max="8078" width="1.6640625" style="23" customWidth="1"/>
    <col min="8079" max="8079" width="12.5546875" style="23"/>
    <col min="8080" max="8080" width="1.6640625" style="23" customWidth="1"/>
    <col min="8081" max="8083" width="12.5546875" style="23"/>
    <col min="8084" max="8084" width="1.6640625" style="23" customWidth="1"/>
    <col min="8085" max="8085" width="12.5546875" style="23"/>
    <col min="8086" max="8086" width="1.6640625" style="23" customWidth="1"/>
    <col min="8087" max="8087" width="12.5546875" style="23"/>
    <col min="8088" max="8088" width="1.6640625" style="23" customWidth="1"/>
    <col min="8089" max="8304" width="12.5546875" style="23"/>
    <col min="8305" max="8305" width="2.6640625" style="23" customWidth="1"/>
    <col min="8306" max="8306" width="53.5546875" style="23" customWidth="1"/>
    <col min="8307" max="8307" width="12.5546875" style="23" customWidth="1"/>
    <col min="8308" max="8308" width="3.5546875" style="23" customWidth="1"/>
    <col min="8309" max="8309" width="12.5546875" style="23" customWidth="1"/>
    <col min="8310" max="8310" width="1.6640625" style="23" customWidth="1"/>
    <col min="8311" max="8311" width="12.5546875" style="23" customWidth="1"/>
    <col min="8312" max="8312" width="1.6640625" style="23" customWidth="1"/>
    <col min="8313" max="8313" width="12.5546875" style="23" customWidth="1"/>
    <col min="8314" max="8314" width="1.6640625" style="23" customWidth="1"/>
    <col min="8315" max="8315" width="12.5546875" style="23" customWidth="1"/>
    <col min="8316" max="8316" width="1.6640625" style="23" customWidth="1"/>
    <col min="8317" max="8317" width="19.5546875" style="23" customWidth="1"/>
    <col min="8318" max="8318" width="3.5546875" style="23" customWidth="1"/>
    <col min="8319" max="8319" width="12.5546875" style="23" customWidth="1"/>
    <col min="8320" max="8320" width="3.5546875" style="23" customWidth="1"/>
    <col min="8321" max="8321" width="12.5546875" style="23" customWidth="1"/>
    <col min="8322" max="8322" width="1.6640625" style="23" customWidth="1"/>
    <col min="8323" max="8323" width="12.5546875" style="23" customWidth="1"/>
    <col min="8324" max="8324" width="1.6640625" style="23" customWidth="1"/>
    <col min="8325" max="8325" width="12.5546875" style="23" customWidth="1"/>
    <col min="8326" max="8326" width="1.6640625" style="23" customWidth="1"/>
    <col min="8327" max="8327" width="12.5546875" style="23" customWidth="1"/>
    <col min="8328" max="8328" width="1.6640625" style="23" customWidth="1"/>
    <col min="8329" max="8329" width="19.5546875" style="23" customWidth="1"/>
    <col min="8330" max="8331" width="12.5546875" style="23"/>
    <col min="8332" max="8332" width="1.6640625" style="23" customWidth="1"/>
    <col min="8333" max="8333" width="12.5546875" style="23"/>
    <col min="8334" max="8334" width="1.6640625" style="23" customWidth="1"/>
    <col min="8335" max="8335" width="12.5546875" style="23"/>
    <col min="8336" max="8336" width="1.6640625" style="23" customWidth="1"/>
    <col min="8337" max="8339" width="12.5546875" style="23"/>
    <col min="8340" max="8340" width="1.6640625" style="23" customWidth="1"/>
    <col min="8341" max="8341" width="12.5546875" style="23"/>
    <col min="8342" max="8342" width="1.6640625" style="23" customWidth="1"/>
    <col min="8343" max="8343" width="12.5546875" style="23"/>
    <col min="8344" max="8344" width="1.6640625" style="23" customWidth="1"/>
    <col min="8345" max="8560" width="12.5546875" style="23"/>
    <col min="8561" max="8561" width="2.6640625" style="23" customWidth="1"/>
    <col min="8562" max="8562" width="53.5546875" style="23" customWidth="1"/>
    <col min="8563" max="8563" width="12.5546875" style="23" customWidth="1"/>
    <col min="8564" max="8564" width="3.5546875" style="23" customWidth="1"/>
    <col min="8565" max="8565" width="12.5546875" style="23" customWidth="1"/>
    <col min="8566" max="8566" width="1.6640625" style="23" customWidth="1"/>
    <col min="8567" max="8567" width="12.5546875" style="23" customWidth="1"/>
    <col min="8568" max="8568" width="1.6640625" style="23" customWidth="1"/>
    <col min="8569" max="8569" width="12.5546875" style="23" customWidth="1"/>
    <col min="8570" max="8570" width="1.6640625" style="23" customWidth="1"/>
    <col min="8571" max="8571" width="12.5546875" style="23" customWidth="1"/>
    <col min="8572" max="8572" width="1.6640625" style="23" customWidth="1"/>
    <col min="8573" max="8573" width="19.5546875" style="23" customWidth="1"/>
    <col min="8574" max="8574" width="3.5546875" style="23" customWidth="1"/>
    <col min="8575" max="8575" width="12.5546875" style="23" customWidth="1"/>
    <col min="8576" max="8576" width="3.5546875" style="23" customWidth="1"/>
    <col min="8577" max="8577" width="12.5546875" style="23" customWidth="1"/>
    <col min="8578" max="8578" width="1.6640625" style="23" customWidth="1"/>
    <col min="8579" max="8579" width="12.5546875" style="23" customWidth="1"/>
    <col min="8580" max="8580" width="1.6640625" style="23" customWidth="1"/>
    <col min="8581" max="8581" width="12.5546875" style="23" customWidth="1"/>
    <col min="8582" max="8582" width="1.6640625" style="23" customWidth="1"/>
    <col min="8583" max="8583" width="12.5546875" style="23" customWidth="1"/>
    <col min="8584" max="8584" width="1.6640625" style="23" customWidth="1"/>
    <col min="8585" max="8585" width="19.5546875" style="23" customWidth="1"/>
    <col min="8586" max="8587" width="12.5546875" style="23"/>
    <col min="8588" max="8588" width="1.6640625" style="23" customWidth="1"/>
    <col min="8589" max="8589" width="12.5546875" style="23"/>
    <col min="8590" max="8590" width="1.6640625" style="23" customWidth="1"/>
    <col min="8591" max="8591" width="12.5546875" style="23"/>
    <col min="8592" max="8592" width="1.6640625" style="23" customWidth="1"/>
    <col min="8593" max="8595" width="12.5546875" style="23"/>
    <col min="8596" max="8596" width="1.6640625" style="23" customWidth="1"/>
    <col min="8597" max="8597" width="12.5546875" style="23"/>
    <col min="8598" max="8598" width="1.6640625" style="23" customWidth="1"/>
    <col min="8599" max="8599" width="12.5546875" style="23"/>
    <col min="8600" max="8600" width="1.6640625" style="23" customWidth="1"/>
    <col min="8601" max="8816" width="12.5546875" style="23"/>
    <col min="8817" max="8817" width="2.6640625" style="23" customWidth="1"/>
    <col min="8818" max="8818" width="53.5546875" style="23" customWidth="1"/>
    <col min="8819" max="8819" width="12.5546875" style="23" customWidth="1"/>
    <col min="8820" max="8820" width="3.5546875" style="23" customWidth="1"/>
    <col min="8821" max="8821" width="12.5546875" style="23" customWidth="1"/>
    <col min="8822" max="8822" width="1.6640625" style="23" customWidth="1"/>
    <col min="8823" max="8823" width="12.5546875" style="23" customWidth="1"/>
    <col min="8824" max="8824" width="1.6640625" style="23" customWidth="1"/>
    <col min="8825" max="8825" width="12.5546875" style="23" customWidth="1"/>
    <col min="8826" max="8826" width="1.6640625" style="23" customWidth="1"/>
    <col min="8827" max="8827" width="12.5546875" style="23" customWidth="1"/>
    <col min="8828" max="8828" width="1.6640625" style="23" customWidth="1"/>
    <col min="8829" max="8829" width="19.5546875" style="23" customWidth="1"/>
    <col min="8830" max="8830" width="3.5546875" style="23" customWidth="1"/>
    <col min="8831" max="8831" width="12.5546875" style="23" customWidth="1"/>
    <col min="8832" max="8832" width="3.5546875" style="23" customWidth="1"/>
    <col min="8833" max="8833" width="12.5546875" style="23" customWidth="1"/>
    <col min="8834" max="8834" width="1.6640625" style="23" customWidth="1"/>
    <col min="8835" max="8835" width="12.5546875" style="23" customWidth="1"/>
    <col min="8836" max="8836" width="1.6640625" style="23" customWidth="1"/>
    <col min="8837" max="8837" width="12.5546875" style="23" customWidth="1"/>
    <col min="8838" max="8838" width="1.6640625" style="23" customWidth="1"/>
    <col min="8839" max="8839" width="12.5546875" style="23" customWidth="1"/>
    <col min="8840" max="8840" width="1.6640625" style="23" customWidth="1"/>
    <col min="8841" max="8841" width="19.5546875" style="23" customWidth="1"/>
    <col min="8842" max="8843" width="12.5546875" style="23"/>
    <col min="8844" max="8844" width="1.6640625" style="23" customWidth="1"/>
    <col min="8845" max="8845" width="12.5546875" style="23"/>
    <col min="8846" max="8846" width="1.6640625" style="23" customWidth="1"/>
    <col min="8847" max="8847" width="12.5546875" style="23"/>
    <col min="8848" max="8848" width="1.6640625" style="23" customWidth="1"/>
    <col min="8849" max="8851" width="12.5546875" style="23"/>
    <col min="8852" max="8852" width="1.6640625" style="23" customWidth="1"/>
    <col min="8853" max="8853" width="12.5546875" style="23"/>
    <col min="8854" max="8854" width="1.6640625" style="23" customWidth="1"/>
    <col min="8855" max="8855" width="12.5546875" style="23"/>
    <col min="8856" max="8856" width="1.6640625" style="23" customWidth="1"/>
    <col min="8857" max="9072" width="12.5546875" style="23"/>
    <col min="9073" max="9073" width="2.6640625" style="23" customWidth="1"/>
    <col min="9074" max="9074" width="53.5546875" style="23" customWidth="1"/>
    <col min="9075" max="9075" width="12.5546875" style="23" customWidth="1"/>
    <col min="9076" max="9076" width="3.5546875" style="23" customWidth="1"/>
    <col min="9077" max="9077" width="12.5546875" style="23" customWidth="1"/>
    <col min="9078" max="9078" width="1.6640625" style="23" customWidth="1"/>
    <col min="9079" max="9079" width="12.5546875" style="23" customWidth="1"/>
    <col min="9080" max="9080" width="1.6640625" style="23" customWidth="1"/>
    <col min="9081" max="9081" width="12.5546875" style="23" customWidth="1"/>
    <col min="9082" max="9082" width="1.6640625" style="23" customWidth="1"/>
    <col min="9083" max="9083" width="12.5546875" style="23" customWidth="1"/>
    <col min="9084" max="9084" width="1.6640625" style="23" customWidth="1"/>
    <col min="9085" max="9085" width="19.5546875" style="23" customWidth="1"/>
    <col min="9086" max="9086" width="3.5546875" style="23" customWidth="1"/>
    <col min="9087" max="9087" width="12.5546875" style="23" customWidth="1"/>
    <col min="9088" max="9088" width="3.5546875" style="23" customWidth="1"/>
    <col min="9089" max="9089" width="12.5546875" style="23" customWidth="1"/>
    <col min="9090" max="9090" width="1.6640625" style="23" customWidth="1"/>
    <col min="9091" max="9091" width="12.5546875" style="23" customWidth="1"/>
    <col min="9092" max="9092" width="1.6640625" style="23" customWidth="1"/>
    <col min="9093" max="9093" width="12.5546875" style="23" customWidth="1"/>
    <col min="9094" max="9094" width="1.6640625" style="23" customWidth="1"/>
    <col min="9095" max="9095" width="12.5546875" style="23" customWidth="1"/>
    <col min="9096" max="9096" width="1.6640625" style="23" customWidth="1"/>
    <col min="9097" max="9097" width="19.5546875" style="23" customWidth="1"/>
    <col min="9098" max="9099" width="12.5546875" style="23"/>
    <col min="9100" max="9100" width="1.6640625" style="23" customWidth="1"/>
    <col min="9101" max="9101" width="12.5546875" style="23"/>
    <col min="9102" max="9102" width="1.6640625" style="23" customWidth="1"/>
    <col min="9103" max="9103" width="12.5546875" style="23"/>
    <col min="9104" max="9104" width="1.6640625" style="23" customWidth="1"/>
    <col min="9105" max="9107" width="12.5546875" style="23"/>
    <col min="9108" max="9108" width="1.6640625" style="23" customWidth="1"/>
    <col min="9109" max="9109" width="12.5546875" style="23"/>
    <col min="9110" max="9110" width="1.6640625" style="23" customWidth="1"/>
    <col min="9111" max="9111" width="12.5546875" style="23"/>
    <col min="9112" max="9112" width="1.6640625" style="23" customWidth="1"/>
    <col min="9113" max="9328" width="12.5546875" style="23"/>
    <col min="9329" max="9329" width="2.6640625" style="23" customWidth="1"/>
    <col min="9330" max="9330" width="53.5546875" style="23" customWidth="1"/>
    <col min="9331" max="9331" width="12.5546875" style="23" customWidth="1"/>
    <col min="9332" max="9332" width="3.5546875" style="23" customWidth="1"/>
    <col min="9333" max="9333" width="12.5546875" style="23" customWidth="1"/>
    <col min="9334" max="9334" width="1.6640625" style="23" customWidth="1"/>
    <col min="9335" max="9335" width="12.5546875" style="23" customWidth="1"/>
    <col min="9336" max="9336" width="1.6640625" style="23" customWidth="1"/>
    <col min="9337" max="9337" width="12.5546875" style="23" customWidth="1"/>
    <col min="9338" max="9338" width="1.6640625" style="23" customWidth="1"/>
    <col min="9339" max="9339" width="12.5546875" style="23" customWidth="1"/>
    <col min="9340" max="9340" width="1.6640625" style="23" customWidth="1"/>
    <col min="9341" max="9341" width="19.5546875" style="23" customWidth="1"/>
    <col min="9342" max="9342" width="3.5546875" style="23" customWidth="1"/>
    <col min="9343" max="9343" width="12.5546875" style="23" customWidth="1"/>
    <col min="9344" max="9344" width="3.5546875" style="23" customWidth="1"/>
    <col min="9345" max="9345" width="12.5546875" style="23" customWidth="1"/>
    <col min="9346" max="9346" width="1.6640625" style="23" customWidth="1"/>
    <col min="9347" max="9347" width="12.5546875" style="23" customWidth="1"/>
    <col min="9348" max="9348" width="1.6640625" style="23" customWidth="1"/>
    <col min="9349" max="9349" width="12.5546875" style="23" customWidth="1"/>
    <col min="9350" max="9350" width="1.6640625" style="23" customWidth="1"/>
    <col min="9351" max="9351" width="12.5546875" style="23" customWidth="1"/>
    <col min="9352" max="9352" width="1.6640625" style="23" customWidth="1"/>
    <col min="9353" max="9353" width="19.5546875" style="23" customWidth="1"/>
    <col min="9354" max="9355" width="12.5546875" style="23"/>
    <col min="9356" max="9356" width="1.6640625" style="23" customWidth="1"/>
    <col min="9357" max="9357" width="12.5546875" style="23"/>
    <col min="9358" max="9358" width="1.6640625" style="23" customWidth="1"/>
    <col min="9359" max="9359" width="12.5546875" style="23"/>
    <col min="9360" max="9360" width="1.6640625" style="23" customWidth="1"/>
    <col min="9361" max="9363" width="12.5546875" style="23"/>
    <col min="9364" max="9364" width="1.6640625" style="23" customWidth="1"/>
    <col min="9365" max="9365" width="12.5546875" style="23"/>
    <col min="9366" max="9366" width="1.6640625" style="23" customWidth="1"/>
    <col min="9367" max="9367" width="12.5546875" style="23"/>
    <col min="9368" max="9368" width="1.6640625" style="23" customWidth="1"/>
    <col min="9369" max="9584" width="12.5546875" style="23"/>
    <col min="9585" max="9585" width="2.6640625" style="23" customWidth="1"/>
    <col min="9586" max="9586" width="53.5546875" style="23" customWidth="1"/>
    <col min="9587" max="9587" width="12.5546875" style="23" customWidth="1"/>
    <col min="9588" max="9588" width="3.5546875" style="23" customWidth="1"/>
    <col min="9589" max="9589" width="12.5546875" style="23" customWidth="1"/>
    <col min="9590" max="9590" width="1.6640625" style="23" customWidth="1"/>
    <col min="9591" max="9591" width="12.5546875" style="23" customWidth="1"/>
    <col min="9592" max="9592" width="1.6640625" style="23" customWidth="1"/>
    <col min="9593" max="9593" width="12.5546875" style="23" customWidth="1"/>
    <col min="9594" max="9594" width="1.6640625" style="23" customWidth="1"/>
    <col min="9595" max="9595" width="12.5546875" style="23" customWidth="1"/>
    <col min="9596" max="9596" width="1.6640625" style="23" customWidth="1"/>
    <col min="9597" max="9597" width="19.5546875" style="23" customWidth="1"/>
    <col min="9598" max="9598" width="3.5546875" style="23" customWidth="1"/>
    <col min="9599" max="9599" width="12.5546875" style="23" customWidth="1"/>
    <col min="9600" max="9600" width="3.5546875" style="23" customWidth="1"/>
    <col min="9601" max="9601" width="12.5546875" style="23" customWidth="1"/>
    <col min="9602" max="9602" width="1.6640625" style="23" customWidth="1"/>
    <col min="9603" max="9603" width="12.5546875" style="23" customWidth="1"/>
    <col min="9604" max="9604" width="1.6640625" style="23" customWidth="1"/>
    <col min="9605" max="9605" width="12.5546875" style="23" customWidth="1"/>
    <col min="9606" max="9606" width="1.6640625" style="23" customWidth="1"/>
    <col min="9607" max="9607" width="12.5546875" style="23" customWidth="1"/>
    <col min="9608" max="9608" width="1.6640625" style="23" customWidth="1"/>
    <col min="9609" max="9609" width="19.5546875" style="23" customWidth="1"/>
    <col min="9610" max="9611" width="12.5546875" style="23"/>
    <col min="9612" max="9612" width="1.6640625" style="23" customWidth="1"/>
    <col min="9613" max="9613" width="12.5546875" style="23"/>
    <col min="9614" max="9614" width="1.6640625" style="23" customWidth="1"/>
    <col min="9615" max="9615" width="12.5546875" style="23"/>
    <col min="9616" max="9616" width="1.6640625" style="23" customWidth="1"/>
    <col min="9617" max="9619" width="12.5546875" style="23"/>
    <col min="9620" max="9620" width="1.6640625" style="23" customWidth="1"/>
    <col min="9621" max="9621" width="12.5546875" style="23"/>
    <col min="9622" max="9622" width="1.6640625" style="23" customWidth="1"/>
    <col min="9623" max="9623" width="12.5546875" style="23"/>
    <col min="9624" max="9624" width="1.6640625" style="23" customWidth="1"/>
    <col min="9625" max="9840" width="12.5546875" style="23"/>
    <col min="9841" max="9841" width="2.6640625" style="23" customWidth="1"/>
    <col min="9842" max="9842" width="53.5546875" style="23" customWidth="1"/>
    <col min="9843" max="9843" width="12.5546875" style="23" customWidth="1"/>
    <col min="9844" max="9844" width="3.5546875" style="23" customWidth="1"/>
    <col min="9845" max="9845" width="12.5546875" style="23" customWidth="1"/>
    <col min="9846" max="9846" width="1.6640625" style="23" customWidth="1"/>
    <col min="9847" max="9847" width="12.5546875" style="23" customWidth="1"/>
    <col min="9848" max="9848" width="1.6640625" style="23" customWidth="1"/>
    <col min="9849" max="9849" width="12.5546875" style="23" customWidth="1"/>
    <col min="9850" max="9850" width="1.6640625" style="23" customWidth="1"/>
    <col min="9851" max="9851" width="12.5546875" style="23" customWidth="1"/>
    <col min="9852" max="9852" width="1.6640625" style="23" customWidth="1"/>
    <col min="9853" max="9853" width="19.5546875" style="23" customWidth="1"/>
    <col min="9854" max="9854" width="3.5546875" style="23" customWidth="1"/>
    <col min="9855" max="9855" width="12.5546875" style="23" customWidth="1"/>
    <col min="9856" max="9856" width="3.5546875" style="23" customWidth="1"/>
    <col min="9857" max="9857" width="12.5546875" style="23" customWidth="1"/>
    <col min="9858" max="9858" width="1.6640625" style="23" customWidth="1"/>
    <col min="9859" max="9859" width="12.5546875" style="23" customWidth="1"/>
    <col min="9860" max="9860" width="1.6640625" style="23" customWidth="1"/>
    <col min="9861" max="9861" width="12.5546875" style="23" customWidth="1"/>
    <col min="9862" max="9862" width="1.6640625" style="23" customWidth="1"/>
    <col min="9863" max="9863" width="12.5546875" style="23" customWidth="1"/>
    <col min="9864" max="9864" width="1.6640625" style="23" customWidth="1"/>
    <col min="9865" max="9865" width="19.5546875" style="23" customWidth="1"/>
    <col min="9866" max="9867" width="12.5546875" style="23"/>
    <col min="9868" max="9868" width="1.6640625" style="23" customWidth="1"/>
    <col min="9869" max="9869" width="12.5546875" style="23"/>
    <col min="9870" max="9870" width="1.6640625" style="23" customWidth="1"/>
    <col min="9871" max="9871" width="12.5546875" style="23"/>
    <col min="9872" max="9872" width="1.6640625" style="23" customWidth="1"/>
    <col min="9873" max="9875" width="12.5546875" style="23"/>
    <col min="9876" max="9876" width="1.6640625" style="23" customWidth="1"/>
    <col min="9877" max="9877" width="12.5546875" style="23"/>
    <col min="9878" max="9878" width="1.6640625" style="23" customWidth="1"/>
    <col min="9879" max="9879" width="12.5546875" style="23"/>
    <col min="9880" max="9880" width="1.6640625" style="23" customWidth="1"/>
    <col min="9881" max="10096" width="12.5546875" style="23"/>
    <col min="10097" max="10097" width="2.6640625" style="23" customWidth="1"/>
    <col min="10098" max="10098" width="53.5546875" style="23" customWidth="1"/>
    <col min="10099" max="10099" width="12.5546875" style="23" customWidth="1"/>
    <col min="10100" max="10100" width="3.5546875" style="23" customWidth="1"/>
    <col min="10101" max="10101" width="12.5546875" style="23" customWidth="1"/>
    <col min="10102" max="10102" width="1.6640625" style="23" customWidth="1"/>
    <col min="10103" max="10103" width="12.5546875" style="23" customWidth="1"/>
    <col min="10104" max="10104" width="1.6640625" style="23" customWidth="1"/>
    <col min="10105" max="10105" width="12.5546875" style="23" customWidth="1"/>
    <col min="10106" max="10106" width="1.6640625" style="23" customWidth="1"/>
    <col min="10107" max="10107" width="12.5546875" style="23" customWidth="1"/>
    <col min="10108" max="10108" width="1.6640625" style="23" customWidth="1"/>
    <col min="10109" max="10109" width="19.5546875" style="23" customWidth="1"/>
    <col min="10110" max="10110" width="3.5546875" style="23" customWidth="1"/>
    <col min="10111" max="10111" width="12.5546875" style="23" customWidth="1"/>
    <col min="10112" max="10112" width="3.5546875" style="23" customWidth="1"/>
    <col min="10113" max="10113" width="12.5546875" style="23" customWidth="1"/>
    <col min="10114" max="10114" width="1.6640625" style="23" customWidth="1"/>
    <col min="10115" max="10115" width="12.5546875" style="23" customWidth="1"/>
    <col min="10116" max="10116" width="1.6640625" style="23" customWidth="1"/>
    <col min="10117" max="10117" width="12.5546875" style="23" customWidth="1"/>
    <col min="10118" max="10118" width="1.6640625" style="23" customWidth="1"/>
    <col min="10119" max="10119" width="12.5546875" style="23" customWidth="1"/>
    <col min="10120" max="10120" width="1.6640625" style="23" customWidth="1"/>
    <col min="10121" max="10121" width="19.5546875" style="23" customWidth="1"/>
    <col min="10122" max="10123" width="12.5546875" style="23"/>
    <col min="10124" max="10124" width="1.6640625" style="23" customWidth="1"/>
    <col min="10125" max="10125" width="12.5546875" style="23"/>
    <col min="10126" max="10126" width="1.6640625" style="23" customWidth="1"/>
    <col min="10127" max="10127" width="12.5546875" style="23"/>
    <col min="10128" max="10128" width="1.6640625" style="23" customWidth="1"/>
    <col min="10129" max="10131" width="12.5546875" style="23"/>
    <col min="10132" max="10132" width="1.6640625" style="23" customWidth="1"/>
    <col min="10133" max="10133" width="12.5546875" style="23"/>
    <col min="10134" max="10134" width="1.6640625" style="23" customWidth="1"/>
    <col min="10135" max="10135" width="12.5546875" style="23"/>
    <col min="10136" max="10136" width="1.6640625" style="23" customWidth="1"/>
    <col min="10137" max="10352" width="12.5546875" style="23"/>
    <col min="10353" max="10353" width="2.6640625" style="23" customWidth="1"/>
    <col min="10354" max="10354" width="53.5546875" style="23" customWidth="1"/>
    <col min="10355" max="10355" width="12.5546875" style="23" customWidth="1"/>
    <col min="10356" max="10356" width="3.5546875" style="23" customWidth="1"/>
    <col min="10357" max="10357" width="12.5546875" style="23" customWidth="1"/>
    <col min="10358" max="10358" width="1.6640625" style="23" customWidth="1"/>
    <col min="10359" max="10359" width="12.5546875" style="23" customWidth="1"/>
    <col min="10360" max="10360" width="1.6640625" style="23" customWidth="1"/>
    <col min="10361" max="10361" width="12.5546875" style="23" customWidth="1"/>
    <col min="10362" max="10362" width="1.6640625" style="23" customWidth="1"/>
    <col min="10363" max="10363" width="12.5546875" style="23" customWidth="1"/>
    <col min="10364" max="10364" width="1.6640625" style="23" customWidth="1"/>
    <col min="10365" max="10365" width="19.5546875" style="23" customWidth="1"/>
    <col min="10366" max="10366" width="3.5546875" style="23" customWidth="1"/>
    <col min="10367" max="10367" width="12.5546875" style="23" customWidth="1"/>
    <col min="10368" max="10368" width="3.5546875" style="23" customWidth="1"/>
    <col min="10369" max="10369" width="12.5546875" style="23" customWidth="1"/>
    <col min="10370" max="10370" width="1.6640625" style="23" customWidth="1"/>
    <col min="10371" max="10371" width="12.5546875" style="23" customWidth="1"/>
    <col min="10372" max="10372" width="1.6640625" style="23" customWidth="1"/>
    <col min="10373" max="10373" width="12.5546875" style="23" customWidth="1"/>
    <col min="10374" max="10374" width="1.6640625" style="23" customWidth="1"/>
    <col min="10375" max="10375" width="12.5546875" style="23" customWidth="1"/>
    <col min="10376" max="10376" width="1.6640625" style="23" customWidth="1"/>
    <col min="10377" max="10377" width="19.5546875" style="23" customWidth="1"/>
    <col min="10378" max="10379" width="12.5546875" style="23"/>
    <col min="10380" max="10380" width="1.6640625" style="23" customWidth="1"/>
    <col min="10381" max="10381" width="12.5546875" style="23"/>
    <col min="10382" max="10382" width="1.6640625" style="23" customWidth="1"/>
    <col min="10383" max="10383" width="12.5546875" style="23"/>
    <col min="10384" max="10384" width="1.6640625" style="23" customWidth="1"/>
    <col min="10385" max="10387" width="12.5546875" style="23"/>
    <col min="10388" max="10388" width="1.6640625" style="23" customWidth="1"/>
    <col min="10389" max="10389" width="12.5546875" style="23"/>
    <col min="10390" max="10390" width="1.6640625" style="23" customWidth="1"/>
    <col min="10391" max="10391" width="12.5546875" style="23"/>
    <col min="10392" max="10392" width="1.6640625" style="23" customWidth="1"/>
    <col min="10393" max="10608" width="12.5546875" style="23"/>
    <col min="10609" max="10609" width="2.6640625" style="23" customWidth="1"/>
    <col min="10610" max="10610" width="53.5546875" style="23" customWidth="1"/>
    <col min="10611" max="10611" width="12.5546875" style="23" customWidth="1"/>
    <col min="10612" max="10612" width="3.5546875" style="23" customWidth="1"/>
    <col min="10613" max="10613" width="12.5546875" style="23" customWidth="1"/>
    <col min="10614" max="10614" width="1.6640625" style="23" customWidth="1"/>
    <col min="10615" max="10615" width="12.5546875" style="23" customWidth="1"/>
    <col min="10616" max="10616" width="1.6640625" style="23" customWidth="1"/>
    <col min="10617" max="10617" width="12.5546875" style="23" customWidth="1"/>
    <col min="10618" max="10618" width="1.6640625" style="23" customWidth="1"/>
    <col min="10619" max="10619" width="12.5546875" style="23" customWidth="1"/>
    <col min="10620" max="10620" width="1.6640625" style="23" customWidth="1"/>
    <col min="10621" max="10621" width="19.5546875" style="23" customWidth="1"/>
    <col min="10622" max="10622" width="3.5546875" style="23" customWidth="1"/>
    <col min="10623" max="10623" width="12.5546875" style="23" customWidth="1"/>
    <col min="10624" max="10624" width="3.5546875" style="23" customWidth="1"/>
    <col min="10625" max="10625" width="12.5546875" style="23" customWidth="1"/>
    <col min="10626" max="10626" width="1.6640625" style="23" customWidth="1"/>
    <col min="10627" max="10627" width="12.5546875" style="23" customWidth="1"/>
    <col min="10628" max="10628" width="1.6640625" style="23" customWidth="1"/>
    <col min="10629" max="10629" width="12.5546875" style="23" customWidth="1"/>
    <col min="10630" max="10630" width="1.6640625" style="23" customWidth="1"/>
    <col min="10631" max="10631" width="12.5546875" style="23" customWidth="1"/>
    <col min="10632" max="10632" width="1.6640625" style="23" customWidth="1"/>
    <col min="10633" max="10633" width="19.5546875" style="23" customWidth="1"/>
    <col min="10634" max="10635" width="12.5546875" style="23"/>
    <col min="10636" max="10636" width="1.6640625" style="23" customWidth="1"/>
    <col min="10637" max="10637" width="12.5546875" style="23"/>
    <col min="10638" max="10638" width="1.6640625" style="23" customWidth="1"/>
    <col min="10639" max="10639" width="12.5546875" style="23"/>
    <col min="10640" max="10640" width="1.6640625" style="23" customWidth="1"/>
    <col min="10641" max="10643" width="12.5546875" style="23"/>
    <col min="10644" max="10644" width="1.6640625" style="23" customWidth="1"/>
    <col min="10645" max="10645" width="12.5546875" style="23"/>
    <col min="10646" max="10646" width="1.6640625" style="23" customWidth="1"/>
    <col min="10647" max="10647" width="12.5546875" style="23"/>
    <col min="10648" max="10648" width="1.6640625" style="23" customWidth="1"/>
    <col min="10649" max="10864" width="12.5546875" style="23"/>
    <col min="10865" max="10865" width="2.6640625" style="23" customWidth="1"/>
    <col min="10866" max="10866" width="53.5546875" style="23" customWidth="1"/>
    <col min="10867" max="10867" width="12.5546875" style="23" customWidth="1"/>
    <col min="10868" max="10868" width="3.5546875" style="23" customWidth="1"/>
    <col min="10869" max="10869" width="12.5546875" style="23" customWidth="1"/>
    <col min="10870" max="10870" width="1.6640625" style="23" customWidth="1"/>
    <col min="10871" max="10871" width="12.5546875" style="23" customWidth="1"/>
    <col min="10872" max="10872" width="1.6640625" style="23" customWidth="1"/>
    <col min="10873" max="10873" width="12.5546875" style="23" customWidth="1"/>
    <col min="10874" max="10874" width="1.6640625" style="23" customWidth="1"/>
    <col min="10875" max="10875" width="12.5546875" style="23" customWidth="1"/>
    <col min="10876" max="10876" width="1.6640625" style="23" customWidth="1"/>
    <col min="10877" max="10877" width="19.5546875" style="23" customWidth="1"/>
    <col min="10878" max="10878" width="3.5546875" style="23" customWidth="1"/>
    <col min="10879" max="10879" width="12.5546875" style="23" customWidth="1"/>
    <col min="10880" max="10880" width="3.5546875" style="23" customWidth="1"/>
    <col min="10881" max="10881" width="12.5546875" style="23" customWidth="1"/>
    <col min="10882" max="10882" width="1.6640625" style="23" customWidth="1"/>
    <col min="10883" max="10883" width="12.5546875" style="23" customWidth="1"/>
    <col min="10884" max="10884" width="1.6640625" style="23" customWidth="1"/>
    <col min="10885" max="10885" width="12.5546875" style="23" customWidth="1"/>
    <col min="10886" max="10886" width="1.6640625" style="23" customWidth="1"/>
    <col min="10887" max="10887" width="12.5546875" style="23" customWidth="1"/>
    <col min="10888" max="10888" width="1.6640625" style="23" customWidth="1"/>
    <col min="10889" max="10889" width="19.5546875" style="23" customWidth="1"/>
    <col min="10890" max="10891" width="12.5546875" style="23"/>
    <col min="10892" max="10892" width="1.6640625" style="23" customWidth="1"/>
    <col min="10893" max="10893" width="12.5546875" style="23"/>
    <col min="10894" max="10894" width="1.6640625" style="23" customWidth="1"/>
    <col min="10895" max="10895" width="12.5546875" style="23"/>
    <col min="10896" max="10896" width="1.6640625" style="23" customWidth="1"/>
    <col min="10897" max="10899" width="12.5546875" style="23"/>
    <col min="10900" max="10900" width="1.6640625" style="23" customWidth="1"/>
    <col min="10901" max="10901" width="12.5546875" style="23"/>
    <col min="10902" max="10902" width="1.6640625" style="23" customWidth="1"/>
    <col min="10903" max="10903" width="12.5546875" style="23"/>
    <col min="10904" max="10904" width="1.6640625" style="23" customWidth="1"/>
    <col min="10905" max="11120" width="12.5546875" style="23"/>
    <col min="11121" max="11121" width="2.6640625" style="23" customWidth="1"/>
    <col min="11122" max="11122" width="53.5546875" style="23" customWidth="1"/>
    <col min="11123" max="11123" width="12.5546875" style="23" customWidth="1"/>
    <col min="11124" max="11124" width="3.5546875" style="23" customWidth="1"/>
    <col min="11125" max="11125" width="12.5546875" style="23" customWidth="1"/>
    <col min="11126" max="11126" width="1.6640625" style="23" customWidth="1"/>
    <col min="11127" max="11127" width="12.5546875" style="23" customWidth="1"/>
    <col min="11128" max="11128" width="1.6640625" style="23" customWidth="1"/>
    <col min="11129" max="11129" width="12.5546875" style="23" customWidth="1"/>
    <col min="11130" max="11130" width="1.6640625" style="23" customWidth="1"/>
    <col min="11131" max="11131" width="12.5546875" style="23" customWidth="1"/>
    <col min="11132" max="11132" width="1.6640625" style="23" customWidth="1"/>
    <col min="11133" max="11133" width="19.5546875" style="23" customWidth="1"/>
    <col min="11134" max="11134" width="3.5546875" style="23" customWidth="1"/>
    <col min="11135" max="11135" width="12.5546875" style="23" customWidth="1"/>
    <col min="11136" max="11136" width="3.5546875" style="23" customWidth="1"/>
    <col min="11137" max="11137" width="12.5546875" style="23" customWidth="1"/>
    <col min="11138" max="11138" width="1.6640625" style="23" customWidth="1"/>
    <col min="11139" max="11139" width="12.5546875" style="23" customWidth="1"/>
    <col min="11140" max="11140" width="1.6640625" style="23" customWidth="1"/>
    <col min="11141" max="11141" width="12.5546875" style="23" customWidth="1"/>
    <col min="11142" max="11142" width="1.6640625" style="23" customWidth="1"/>
    <col min="11143" max="11143" width="12.5546875" style="23" customWidth="1"/>
    <col min="11144" max="11144" width="1.6640625" style="23" customWidth="1"/>
    <col min="11145" max="11145" width="19.5546875" style="23" customWidth="1"/>
    <col min="11146" max="11147" width="12.5546875" style="23"/>
    <col min="11148" max="11148" width="1.6640625" style="23" customWidth="1"/>
    <col min="11149" max="11149" width="12.5546875" style="23"/>
    <col min="11150" max="11150" width="1.6640625" style="23" customWidth="1"/>
    <col min="11151" max="11151" width="12.5546875" style="23"/>
    <col min="11152" max="11152" width="1.6640625" style="23" customWidth="1"/>
    <col min="11153" max="11155" width="12.5546875" style="23"/>
    <col min="11156" max="11156" width="1.6640625" style="23" customWidth="1"/>
    <col min="11157" max="11157" width="12.5546875" style="23"/>
    <col min="11158" max="11158" width="1.6640625" style="23" customWidth="1"/>
    <col min="11159" max="11159" width="12.5546875" style="23"/>
    <col min="11160" max="11160" width="1.6640625" style="23" customWidth="1"/>
    <col min="11161" max="11376" width="12.5546875" style="23"/>
    <col min="11377" max="11377" width="2.6640625" style="23" customWidth="1"/>
    <col min="11378" max="11378" width="53.5546875" style="23" customWidth="1"/>
    <col min="11379" max="11379" width="12.5546875" style="23" customWidth="1"/>
    <col min="11380" max="11380" width="3.5546875" style="23" customWidth="1"/>
    <col min="11381" max="11381" width="12.5546875" style="23" customWidth="1"/>
    <col min="11382" max="11382" width="1.6640625" style="23" customWidth="1"/>
    <col min="11383" max="11383" width="12.5546875" style="23" customWidth="1"/>
    <col min="11384" max="11384" width="1.6640625" style="23" customWidth="1"/>
    <col min="11385" max="11385" width="12.5546875" style="23" customWidth="1"/>
    <col min="11386" max="11386" width="1.6640625" style="23" customWidth="1"/>
    <col min="11387" max="11387" width="12.5546875" style="23" customWidth="1"/>
    <col min="11388" max="11388" width="1.6640625" style="23" customWidth="1"/>
    <col min="11389" max="11389" width="19.5546875" style="23" customWidth="1"/>
    <col min="11390" max="11390" width="3.5546875" style="23" customWidth="1"/>
    <col min="11391" max="11391" width="12.5546875" style="23" customWidth="1"/>
    <col min="11392" max="11392" width="3.5546875" style="23" customWidth="1"/>
    <col min="11393" max="11393" width="12.5546875" style="23" customWidth="1"/>
    <col min="11394" max="11394" width="1.6640625" style="23" customWidth="1"/>
    <col min="11395" max="11395" width="12.5546875" style="23" customWidth="1"/>
    <col min="11396" max="11396" width="1.6640625" style="23" customWidth="1"/>
    <col min="11397" max="11397" width="12.5546875" style="23" customWidth="1"/>
    <col min="11398" max="11398" width="1.6640625" style="23" customWidth="1"/>
    <col min="11399" max="11399" width="12.5546875" style="23" customWidth="1"/>
    <col min="11400" max="11400" width="1.6640625" style="23" customWidth="1"/>
    <col min="11401" max="11401" width="19.5546875" style="23" customWidth="1"/>
    <col min="11402" max="11403" width="12.5546875" style="23"/>
    <col min="11404" max="11404" width="1.6640625" style="23" customWidth="1"/>
    <col min="11405" max="11405" width="12.5546875" style="23"/>
    <col min="11406" max="11406" width="1.6640625" style="23" customWidth="1"/>
    <col min="11407" max="11407" width="12.5546875" style="23"/>
    <col min="11408" max="11408" width="1.6640625" style="23" customWidth="1"/>
    <col min="11409" max="11411" width="12.5546875" style="23"/>
    <col min="11412" max="11412" width="1.6640625" style="23" customWidth="1"/>
    <col min="11413" max="11413" width="12.5546875" style="23"/>
    <col min="11414" max="11414" width="1.6640625" style="23" customWidth="1"/>
    <col min="11415" max="11415" width="12.5546875" style="23"/>
    <col min="11416" max="11416" width="1.6640625" style="23" customWidth="1"/>
    <col min="11417" max="11632" width="12.5546875" style="23"/>
    <col min="11633" max="11633" width="2.6640625" style="23" customWidth="1"/>
    <col min="11634" max="11634" width="53.5546875" style="23" customWidth="1"/>
    <col min="11635" max="11635" width="12.5546875" style="23" customWidth="1"/>
    <col min="11636" max="11636" width="3.5546875" style="23" customWidth="1"/>
    <col min="11637" max="11637" width="12.5546875" style="23" customWidth="1"/>
    <col min="11638" max="11638" width="1.6640625" style="23" customWidth="1"/>
    <col min="11639" max="11639" width="12.5546875" style="23" customWidth="1"/>
    <col min="11640" max="11640" width="1.6640625" style="23" customWidth="1"/>
    <col min="11641" max="11641" width="12.5546875" style="23" customWidth="1"/>
    <col min="11642" max="11642" width="1.6640625" style="23" customWidth="1"/>
    <col min="11643" max="11643" width="12.5546875" style="23" customWidth="1"/>
    <col min="11644" max="11644" width="1.6640625" style="23" customWidth="1"/>
    <col min="11645" max="11645" width="19.5546875" style="23" customWidth="1"/>
    <col min="11646" max="11646" width="3.5546875" style="23" customWidth="1"/>
    <col min="11647" max="11647" width="12.5546875" style="23" customWidth="1"/>
    <col min="11648" max="11648" width="3.5546875" style="23" customWidth="1"/>
    <col min="11649" max="11649" width="12.5546875" style="23" customWidth="1"/>
    <col min="11650" max="11650" width="1.6640625" style="23" customWidth="1"/>
    <col min="11651" max="11651" width="12.5546875" style="23" customWidth="1"/>
    <col min="11652" max="11652" width="1.6640625" style="23" customWidth="1"/>
    <col min="11653" max="11653" width="12.5546875" style="23" customWidth="1"/>
    <col min="11654" max="11654" width="1.6640625" style="23" customWidth="1"/>
    <col min="11655" max="11655" width="12.5546875" style="23" customWidth="1"/>
    <col min="11656" max="11656" width="1.6640625" style="23" customWidth="1"/>
    <col min="11657" max="11657" width="19.5546875" style="23" customWidth="1"/>
    <col min="11658" max="11659" width="12.5546875" style="23"/>
    <col min="11660" max="11660" width="1.6640625" style="23" customWidth="1"/>
    <col min="11661" max="11661" width="12.5546875" style="23"/>
    <col min="11662" max="11662" width="1.6640625" style="23" customWidth="1"/>
    <col min="11663" max="11663" width="12.5546875" style="23"/>
    <col min="11664" max="11664" width="1.6640625" style="23" customWidth="1"/>
    <col min="11665" max="11667" width="12.5546875" style="23"/>
    <col min="11668" max="11668" width="1.6640625" style="23" customWidth="1"/>
    <col min="11669" max="11669" width="12.5546875" style="23"/>
    <col min="11670" max="11670" width="1.6640625" style="23" customWidth="1"/>
    <col min="11671" max="11671" width="12.5546875" style="23"/>
    <col min="11672" max="11672" width="1.6640625" style="23" customWidth="1"/>
    <col min="11673" max="11888" width="12.5546875" style="23"/>
    <col min="11889" max="11889" width="2.6640625" style="23" customWidth="1"/>
    <col min="11890" max="11890" width="53.5546875" style="23" customWidth="1"/>
    <col min="11891" max="11891" width="12.5546875" style="23" customWidth="1"/>
    <col min="11892" max="11892" width="3.5546875" style="23" customWidth="1"/>
    <col min="11893" max="11893" width="12.5546875" style="23" customWidth="1"/>
    <col min="11894" max="11894" width="1.6640625" style="23" customWidth="1"/>
    <col min="11895" max="11895" width="12.5546875" style="23" customWidth="1"/>
    <col min="11896" max="11896" width="1.6640625" style="23" customWidth="1"/>
    <col min="11897" max="11897" width="12.5546875" style="23" customWidth="1"/>
    <col min="11898" max="11898" width="1.6640625" style="23" customWidth="1"/>
    <col min="11899" max="11899" width="12.5546875" style="23" customWidth="1"/>
    <col min="11900" max="11900" width="1.6640625" style="23" customWidth="1"/>
    <col min="11901" max="11901" width="19.5546875" style="23" customWidth="1"/>
    <col min="11902" max="11902" width="3.5546875" style="23" customWidth="1"/>
    <col min="11903" max="11903" width="12.5546875" style="23" customWidth="1"/>
    <col min="11904" max="11904" width="3.5546875" style="23" customWidth="1"/>
    <col min="11905" max="11905" width="12.5546875" style="23" customWidth="1"/>
    <col min="11906" max="11906" width="1.6640625" style="23" customWidth="1"/>
    <col min="11907" max="11907" width="12.5546875" style="23" customWidth="1"/>
    <col min="11908" max="11908" width="1.6640625" style="23" customWidth="1"/>
    <col min="11909" max="11909" width="12.5546875" style="23" customWidth="1"/>
    <col min="11910" max="11910" width="1.6640625" style="23" customWidth="1"/>
    <col min="11911" max="11911" width="12.5546875" style="23" customWidth="1"/>
    <col min="11912" max="11912" width="1.6640625" style="23" customWidth="1"/>
    <col min="11913" max="11913" width="19.5546875" style="23" customWidth="1"/>
    <col min="11914" max="11915" width="12.5546875" style="23"/>
    <col min="11916" max="11916" width="1.6640625" style="23" customWidth="1"/>
    <col min="11917" max="11917" width="12.5546875" style="23"/>
    <col min="11918" max="11918" width="1.6640625" style="23" customWidth="1"/>
    <col min="11919" max="11919" width="12.5546875" style="23"/>
    <col min="11920" max="11920" width="1.6640625" style="23" customWidth="1"/>
    <col min="11921" max="11923" width="12.5546875" style="23"/>
    <col min="11924" max="11924" width="1.6640625" style="23" customWidth="1"/>
    <col min="11925" max="11925" width="12.5546875" style="23"/>
    <col min="11926" max="11926" width="1.6640625" style="23" customWidth="1"/>
    <col min="11927" max="11927" width="12.5546875" style="23"/>
    <col min="11928" max="11928" width="1.6640625" style="23" customWidth="1"/>
    <col min="11929" max="12144" width="12.5546875" style="23"/>
    <col min="12145" max="12145" width="2.6640625" style="23" customWidth="1"/>
    <col min="12146" max="12146" width="53.5546875" style="23" customWidth="1"/>
    <col min="12147" max="12147" width="12.5546875" style="23" customWidth="1"/>
    <col min="12148" max="12148" width="3.5546875" style="23" customWidth="1"/>
    <col min="12149" max="12149" width="12.5546875" style="23" customWidth="1"/>
    <col min="12150" max="12150" width="1.6640625" style="23" customWidth="1"/>
    <col min="12151" max="12151" width="12.5546875" style="23" customWidth="1"/>
    <col min="12152" max="12152" width="1.6640625" style="23" customWidth="1"/>
    <col min="12153" max="12153" width="12.5546875" style="23" customWidth="1"/>
    <col min="12154" max="12154" width="1.6640625" style="23" customWidth="1"/>
    <col min="12155" max="12155" width="12.5546875" style="23" customWidth="1"/>
    <col min="12156" max="12156" width="1.6640625" style="23" customWidth="1"/>
    <col min="12157" max="12157" width="19.5546875" style="23" customWidth="1"/>
    <col min="12158" max="12158" width="3.5546875" style="23" customWidth="1"/>
    <col min="12159" max="12159" width="12.5546875" style="23" customWidth="1"/>
    <col min="12160" max="12160" width="3.5546875" style="23" customWidth="1"/>
    <col min="12161" max="12161" width="12.5546875" style="23" customWidth="1"/>
    <col min="12162" max="12162" width="1.6640625" style="23" customWidth="1"/>
    <col min="12163" max="12163" width="12.5546875" style="23" customWidth="1"/>
    <col min="12164" max="12164" width="1.6640625" style="23" customWidth="1"/>
    <col min="12165" max="12165" width="12.5546875" style="23" customWidth="1"/>
    <col min="12166" max="12166" width="1.6640625" style="23" customWidth="1"/>
    <col min="12167" max="12167" width="12.5546875" style="23" customWidth="1"/>
    <col min="12168" max="12168" width="1.6640625" style="23" customWidth="1"/>
    <col min="12169" max="12169" width="19.5546875" style="23" customWidth="1"/>
    <col min="12170" max="12171" width="12.5546875" style="23"/>
    <col min="12172" max="12172" width="1.6640625" style="23" customWidth="1"/>
    <col min="12173" max="12173" width="12.5546875" style="23"/>
    <col min="12174" max="12174" width="1.6640625" style="23" customWidth="1"/>
    <col min="12175" max="12175" width="12.5546875" style="23"/>
    <col min="12176" max="12176" width="1.6640625" style="23" customWidth="1"/>
    <col min="12177" max="12179" width="12.5546875" style="23"/>
    <col min="12180" max="12180" width="1.6640625" style="23" customWidth="1"/>
    <col min="12181" max="12181" width="12.5546875" style="23"/>
    <col min="12182" max="12182" width="1.6640625" style="23" customWidth="1"/>
    <col min="12183" max="12183" width="12.5546875" style="23"/>
    <col min="12184" max="12184" width="1.6640625" style="23" customWidth="1"/>
    <col min="12185" max="12400" width="12.5546875" style="23"/>
    <col min="12401" max="12401" width="2.6640625" style="23" customWidth="1"/>
    <col min="12402" max="12402" width="53.5546875" style="23" customWidth="1"/>
    <col min="12403" max="12403" width="12.5546875" style="23" customWidth="1"/>
    <col min="12404" max="12404" width="3.5546875" style="23" customWidth="1"/>
    <col min="12405" max="12405" width="12.5546875" style="23" customWidth="1"/>
    <col min="12406" max="12406" width="1.6640625" style="23" customWidth="1"/>
    <col min="12407" max="12407" width="12.5546875" style="23" customWidth="1"/>
    <col min="12408" max="12408" width="1.6640625" style="23" customWidth="1"/>
    <col min="12409" max="12409" width="12.5546875" style="23" customWidth="1"/>
    <col min="12410" max="12410" width="1.6640625" style="23" customWidth="1"/>
    <col min="12411" max="12411" width="12.5546875" style="23" customWidth="1"/>
    <col min="12412" max="12412" width="1.6640625" style="23" customWidth="1"/>
    <col min="12413" max="12413" width="19.5546875" style="23" customWidth="1"/>
    <col min="12414" max="12414" width="3.5546875" style="23" customWidth="1"/>
    <col min="12415" max="12415" width="12.5546875" style="23" customWidth="1"/>
    <col min="12416" max="12416" width="3.5546875" style="23" customWidth="1"/>
    <col min="12417" max="12417" width="12.5546875" style="23" customWidth="1"/>
    <col min="12418" max="12418" width="1.6640625" style="23" customWidth="1"/>
    <col min="12419" max="12419" width="12.5546875" style="23" customWidth="1"/>
    <col min="12420" max="12420" width="1.6640625" style="23" customWidth="1"/>
    <col min="12421" max="12421" width="12.5546875" style="23" customWidth="1"/>
    <col min="12422" max="12422" width="1.6640625" style="23" customWidth="1"/>
    <col min="12423" max="12423" width="12.5546875" style="23" customWidth="1"/>
    <col min="12424" max="12424" width="1.6640625" style="23" customWidth="1"/>
    <col min="12425" max="12425" width="19.5546875" style="23" customWidth="1"/>
    <col min="12426" max="12427" width="12.5546875" style="23"/>
    <col min="12428" max="12428" width="1.6640625" style="23" customWidth="1"/>
    <col min="12429" max="12429" width="12.5546875" style="23"/>
    <col min="12430" max="12430" width="1.6640625" style="23" customWidth="1"/>
    <col min="12431" max="12431" width="12.5546875" style="23"/>
    <col min="12432" max="12432" width="1.6640625" style="23" customWidth="1"/>
    <col min="12433" max="12435" width="12.5546875" style="23"/>
    <col min="12436" max="12436" width="1.6640625" style="23" customWidth="1"/>
    <col min="12437" max="12437" width="12.5546875" style="23"/>
    <col min="12438" max="12438" width="1.6640625" style="23" customWidth="1"/>
    <col min="12439" max="12439" width="12.5546875" style="23"/>
    <col min="12440" max="12440" width="1.6640625" style="23" customWidth="1"/>
    <col min="12441" max="12656" width="12.5546875" style="23"/>
    <col min="12657" max="12657" width="2.6640625" style="23" customWidth="1"/>
    <col min="12658" max="12658" width="53.5546875" style="23" customWidth="1"/>
    <col min="12659" max="12659" width="12.5546875" style="23" customWidth="1"/>
    <col min="12660" max="12660" width="3.5546875" style="23" customWidth="1"/>
    <col min="12661" max="12661" width="12.5546875" style="23" customWidth="1"/>
    <col min="12662" max="12662" width="1.6640625" style="23" customWidth="1"/>
    <col min="12663" max="12663" width="12.5546875" style="23" customWidth="1"/>
    <col min="12664" max="12664" width="1.6640625" style="23" customWidth="1"/>
    <col min="12665" max="12665" width="12.5546875" style="23" customWidth="1"/>
    <col min="12666" max="12666" width="1.6640625" style="23" customWidth="1"/>
    <col min="12667" max="12667" width="12.5546875" style="23" customWidth="1"/>
    <col min="12668" max="12668" width="1.6640625" style="23" customWidth="1"/>
    <col min="12669" max="12669" width="19.5546875" style="23" customWidth="1"/>
    <col min="12670" max="12670" width="3.5546875" style="23" customWidth="1"/>
    <col min="12671" max="12671" width="12.5546875" style="23" customWidth="1"/>
    <col min="12672" max="12672" width="3.5546875" style="23" customWidth="1"/>
    <col min="12673" max="12673" width="12.5546875" style="23" customWidth="1"/>
    <col min="12674" max="12674" width="1.6640625" style="23" customWidth="1"/>
    <col min="12675" max="12675" width="12.5546875" style="23" customWidth="1"/>
    <col min="12676" max="12676" width="1.6640625" style="23" customWidth="1"/>
    <col min="12677" max="12677" width="12.5546875" style="23" customWidth="1"/>
    <col min="12678" max="12678" width="1.6640625" style="23" customWidth="1"/>
    <col min="12679" max="12679" width="12.5546875" style="23" customWidth="1"/>
    <col min="12680" max="12680" width="1.6640625" style="23" customWidth="1"/>
    <col min="12681" max="12681" width="19.5546875" style="23" customWidth="1"/>
    <col min="12682" max="12683" width="12.5546875" style="23"/>
    <col min="12684" max="12684" width="1.6640625" style="23" customWidth="1"/>
    <col min="12685" max="12685" width="12.5546875" style="23"/>
    <col min="12686" max="12686" width="1.6640625" style="23" customWidth="1"/>
    <col min="12687" max="12687" width="12.5546875" style="23"/>
    <col min="12688" max="12688" width="1.6640625" style="23" customWidth="1"/>
    <col min="12689" max="12691" width="12.5546875" style="23"/>
    <col min="12692" max="12692" width="1.6640625" style="23" customWidth="1"/>
    <col min="12693" max="12693" width="12.5546875" style="23"/>
    <col min="12694" max="12694" width="1.6640625" style="23" customWidth="1"/>
    <col min="12695" max="12695" width="12.5546875" style="23"/>
    <col min="12696" max="12696" width="1.6640625" style="23" customWidth="1"/>
    <col min="12697" max="12912" width="12.5546875" style="23"/>
    <col min="12913" max="12913" width="2.6640625" style="23" customWidth="1"/>
    <col min="12914" max="12914" width="53.5546875" style="23" customWidth="1"/>
    <col min="12915" max="12915" width="12.5546875" style="23" customWidth="1"/>
    <col min="12916" max="12916" width="3.5546875" style="23" customWidth="1"/>
    <col min="12917" max="12917" width="12.5546875" style="23" customWidth="1"/>
    <col min="12918" max="12918" width="1.6640625" style="23" customWidth="1"/>
    <col min="12919" max="12919" width="12.5546875" style="23" customWidth="1"/>
    <col min="12920" max="12920" width="1.6640625" style="23" customWidth="1"/>
    <col min="12921" max="12921" width="12.5546875" style="23" customWidth="1"/>
    <col min="12922" max="12922" width="1.6640625" style="23" customWidth="1"/>
    <col min="12923" max="12923" width="12.5546875" style="23" customWidth="1"/>
    <col min="12924" max="12924" width="1.6640625" style="23" customWidth="1"/>
    <col min="12925" max="12925" width="19.5546875" style="23" customWidth="1"/>
    <col min="12926" max="12926" width="3.5546875" style="23" customWidth="1"/>
    <col min="12927" max="12927" width="12.5546875" style="23" customWidth="1"/>
    <col min="12928" max="12928" width="3.5546875" style="23" customWidth="1"/>
    <col min="12929" max="12929" width="12.5546875" style="23" customWidth="1"/>
    <col min="12930" max="12930" width="1.6640625" style="23" customWidth="1"/>
    <col min="12931" max="12931" width="12.5546875" style="23" customWidth="1"/>
    <col min="12932" max="12932" width="1.6640625" style="23" customWidth="1"/>
    <col min="12933" max="12933" width="12.5546875" style="23" customWidth="1"/>
    <col min="12934" max="12934" width="1.6640625" style="23" customWidth="1"/>
    <col min="12935" max="12935" width="12.5546875" style="23" customWidth="1"/>
    <col min="12936" max="12936" width="1.6640625" style="23" customWidth="1"/>
    <col min="12937" max="12937" width="19.5546875" style="23" customWidth="1"/>
    <col min="12938" max="12939" width="12.5546875" style="23"/>
    <col min="12940" max="12940" width="1.6640625" style="23" customWidth="1"/>
    <col min="12941" max="12941" width="12.5546875" style="23"/>
    <col min="12942" max="12942" width="1.6640625" style="23" customWidth="1"/>
    <col min="12943" max="12943" width="12.5546875" style="23"/>
    <col min="12944" max="12944" width="1.6640625" style="23" customWidth="1"/>
    <col min="12945" max="12947" width="12.5546875" style="23"/>
    <col min="12948" max="12948" width="1.6640625" style="23" customWidth="1"/>
    <col min="12949" max="12949" width="12.5546875" style="23"/>
    <col min="12950" max="12950" width="1.6640625" style="23" customWidth="1"/>
    <col min="12951" max="12951" width="12.5546875" style="23"/>
    <col min="12952" max="12952" width="1.6640625" style="23" customWidth="1"/>
    <col min="12953" max="13168" width="12.5546875" style="23"/>
    <col min="13169" max="13169" width="2.6640625" style="23" customWidth="1"/>
    <col min="13170" max="13170" width="53.5546875" style="23" customWidth="1"/>
    <col min="13171" max="13171" width="12.5546875" style="23" customWidth="1"/>
    <col min="13172" max="13172" width="3.5546875" style="23" customWidth="1"/>
    <col min="13173" max="13173" width="12.5546875" style="23" customWidth="1"/>
    <col min="13174" max="13174" width="1.6640625" style="23" customWidth="1"/>
    <col min="13175" max="13175" width="12.5546875" style="23" customWidth="1"/>
    <col min="13176" max="13176" width="1.6640625" style="23" customWidth="1"/>
    <col min="13177" max="13177" width="12.5546875" style="23" customWidth="1"/>
    <col min="13178" max="13178" width="1.6640625" style="23" customWidth="1"/>
    <col min="13179" max="13179" width="12.5546875" style="23" customWidth="1"/>
    <col min="13180" max="13180" width="1.6640625" style="23" customWidth="1"/>
    <col min="13181" max="13181" width="19.5546875" style="23" customWidth="1"/>
    <col min="13182" max="13182" width="3.5546875" style="23" customWidth="1"/>
    <col min="13183" max="13183" width="12.5546875" style="23" customWidth="1"/>
    <col min="13184" max="13184" width="3.5546875" style="23" customWidth="1"/>
    <col min="13185" max="13185" width="12.5546875" style="23" customWidth="1"/>
    <col min="13186" max="13186" width="1.6640625" style="23" customWidth="1"/>
    <col min="13187" max="13187" width="12.5546875" style="23" customWidth="1"/>
    <col min="13188" max="13188" width="1.6640625" style="23" customWidth="1"/>
    <col min="13189" max="13189" width="12.5546875" style="23" customWidth="1"/>
    <col min="13190" max="13190" width="1.6640625" style="23" customWidth="1"/>
    <col min="13191" max="13191" width="12.5546875" style="23" customWidth="1"/>
    <col min="13192" max="13192" width="1.6640625" style="23" customWidth="1"/>
    <col min="13193" max="13193" width="19.5546875" style="23" customWidth="1"/>
    <col min="13194" max="13195" width="12.5546875" style="23"/>
    <col min="13196" max="13196" width="1.6640625" style="23" customWidth="1"/>
    <col min="13197" max="13197" width="12.5546875" style="23"/>
    <col min="13198" max="13198" width="1.6640625" style="23" customWidth="1"/>
    <col min="13199" max="13199" width="12.5546875" style="23"/>
    <col min="13200" max="13200" width="1.6640625" style="23" customWidth="1"/>
    <col min="13201" max="13203" width="12.5546875" style="23"/>
    <col min="13204" max="13204" width="1.6640625" style="23" customWidth="1"/>
    <col min="13205" max="13205" width="12.5546875" style="23"/>
    <col min="13206" max="13206" width="1.6640625" style="23" customWidth="1"/>
    <col min="13207" max="13207" width="12.5546875" style="23"/>
    <col min="13208" max="13208" width="1.6640625" style="23" customWidth="1"/>
    <col min="13209" max="13424" width="12.5546875" style="23"/>
    <col min="13425" max="13425" width="2.6640625" style="23" customWidth="1"/>
    <col min="13426" max="13426" width="53.5546875" style="23" customWidth="1"/>
    <col min="13427" max="13427" width="12.5546875" style="23" customWidth="1"/>
    <col min="13428" max="13428" width="3.5546875" style="23" customWidth="1"/>
    <col min="13429" max="13429" width="12.5546875" style="23" customWidth="1"/>
    <col min="13430" max="13430" width="1.6640625" style="23" customWidth="1"/>
    <col min="13431" max="13431" width="12.5546875" style="23" customWidth="1"/>
    <col min="13432" max="13432" width="1.6640625" style="23" customWidth="1"/>
    <col min="13433" max="13433" width="12.5546875" style="23" customWidth="1"/>
    <col min="13434" max="13434" width="1.6640625" style="23" customWidth="1"/>
    <col min="13435" max="13435" width="12.5546875" style="23" customWidth="1"/>
    <col min="13436" max="13436" width="1.6640625" style="23" customWidth="1"/>
    <col min="13437" max="13437" width="19.5546875" style="23" customWidth="1"/>
    <col min="13438" max="13438" width="3.5546875" style="23" customWidth="1"/>
    <col min="13439" max="13439" width="12.5546875" style="23" customWidth="1"/>
    <col min="13440" max="13440" width="3.5546875" style="23" customWidth="1"/>
    <col min="13441" max="13441" width="12.5546875" style="23" customWidth="1"/>
    <col min="13442" max="13442" width="1.6640625" style="23" customWidth="1"/>
    <col min="13443" max="13443" width="12.5546875" style="23" customWidth="1"/>
    <col min="13444" max="13444" width="1.6640625" style="23" customWidth="1"/>
    <col min="13445" max="13445" width="12.5546875" style="23" customWidth="1"/>
    <col min="13446" max="13446" width="1.6640625" style="23" customWidth="1"/>
    <col min="13447" max="13447" width="12.5546875" style="23" customWidth="1"/>
    <col min="13448" max="13448" width="1.6640625" style="23" customWidth="1"/>
    <col min="13449" max="13449" width="19.5546875" style="23" customWidth="1"/>
    <col min="13450" max="13451" width="12.5546875" style="23"/>
    <col min="13452" max="13452" width="1.6640625" style="23" customWidth="1"/>
    <col min="13453" max="13453" width="12.5546875" style="23"/>
    <col min="13454" max="13454" width="1.6640625" style="23" customWidth="1"/>
    <col min="13455" max="13455" width="12.5546875" style="23"/>
    <col min="13456" max="13456" width="1.6640625" style="23" customWidth="1"/>
    <col min="13457" max="13459" width="12.5546875" style="23"/>
    <col min="13460" max="13460" width="1.6640625" style="23" customWidth="1"/>
    <col min="13461" max="13461" width="12.5546875" style="23"/>
    <col min="13462" max="13462" width="1.6640625" style="23" customWidth="1"/>
    <col min="13463" max="13463" width="12.5546875" style="23"/>
    <col min="13464" max="13464" width="1.6640625" style="23" customWidth="1"/>
    <col min="13465" max="13680" width="12.5546875" style="23"/>
    <col min="13681" max="13681" width="2.6640625" style="23" customWidth="1"/>
    <col min="13682" max="13682" width="53.5546875" style="23" customWidth="1"/>
    <col min="13683" max="13683" width="12.5546875" style="23" customWidth="1"/>
    <col min="13684" max="13684" width="3.5546875" style="23" customWidth="1"/>
    <col min="13685" max="13685" width="12.5546875" style="23" customWidth="1"/>
    <col min="13686" max="13686" width="1.6640625" style="23" customWidth="1"/>
    <col min="13687" max="13687" width="12.5546875" style="23" customWidth="1"/>
    <col min="13688" max="13688" width="1.6640625" style="23" customWidth="1"/>
    <col min="13689" max="13689" width="12.5546875" style="23" customWidth="1"/>
    <col min="13690" max="13690" width="1.6640625" style="23" customWidth="1"/>
    <col min="13691" max="13691" width="12.5546875" style="23" customWidth="1"/>
    <col min="13692" max="13692" width="1.6640625" style="23" customWidth="1"/>
    <col min="13693" max="13693" width="19.5546875" style="23" customWidth="1"/>
    <col min="13694" max="13694" width="3.5546875" style="23" customWidth="1"/>
    <col min="13695" max="13695" width="12.5546875" style="23" customWidth="1"/>
    <col min="13696" max="13696" width="3.5546875" style="23" customWidth="1"/>
    <col min="13697" max="13697" width="12.5546875" style="23" customWidth="1"/>
    <col min="13698" max="13698" width="1.6640625" style="23" customWidth="1"/>
    <col min="13699" max="13699" width="12.5546875" style="23" customWidth="1"/>
    <col min="13700" max="13700" width="1.6640625" style="23" customWidth="1"/>
    <col min="13701" max="13701" width="12.5546875" style="23" customWidth="1"/>
    <col min="13702" max="13702" width="1.6640625" style="23" customWidth="1"/>
    <col min="13703" max="13703" width="12.5546875" style="23" customWidth="1"/>
    <col min="13704" max="13704" width="1.6640625" style="23" customWidth="1"/>
    <col min="13705" max="13705" width="19.5546875" style="23" customWidth="1"/>
    <col min="13706" max="13707" width="12.5546875" style="23"/>
    <col min="13708" max="13708" width="1.6640625" style="23" customWidth="1"/>
    <col min="13709" max="13709" width="12.5546875" style="23"/>
    <col min="13710" max="13710" width="1.6640625" style="23" customWidth="1"/>
    <col min="13711" max="13711" width="12.5546875" style="23"/>
    <col min="13712" max="13712" width="1.6640625" style="23" customWidth="1"/>
    <col min="13713" max="13715" width="12.5546875" style="23"/>
    <col min="13716" max="13716" width="1.6640625" style="23" customWidth="1"/>
    <col min="13717" max="13717" width="12.5546875" style="23"/>
    <col min="13718" max="13718" width="1.6640625" style="23" customWidth="1"/>
    <col min="13719" max="13719" width="12.5546875" style="23"/>
    <col min="13720" max="13720" width="1.6640625" style="23" customWidth="1"/>
    <col min="13721" max="13936" width="12.5546875" style="23"/>
    <col min="13937" max="13937" width="2.6640625" style="23" customWidth="1"/>
    <col min="13938" max="13938" width="53.5546875" style="23" customWidth="1"/>
    <col min="13939" max="13939" width="12.5546875" style="23" customWidth="1"/>
    <col min="13940" max="13940" width="3.5546875" style="23" customWidth="1"/>
    <col min="13941" max="13941" width="12.5546875" style="23" customWidth="1"/>
    <col min="13942" max="13942" width="1.6640625" style="23" customWidth="1"/>
    <col min="13943" max="13943" width="12.5546875" style="23" customWidth="1"/>
    <col min="13944" max="13944" width="1.6640625" style="23" customWidth="1"/>
    <col min="13945" max="13945" width="12.5546875" style="23" customWidth="1"/>
    <col min="13946" max="13946" width="1.6640625" style="23" customWidth="1"/>
    <col min="13947" max="13947" width="12.5546875" style="23" customWidth="1"/>
    <col min="13948" max="13948" width="1.6640625" style="23" customWidth="1"/>
    <col min="13949" max="13949" width="19.5546875" style="23" customWidth="1"/>
    <col min="13950" max="13950" width="3.5546875" style="23" customWidth="1"/>
    <col min="13951" max="13951" width="12.5546875" style="23" customWidth="1"/>
    <col min="13952" max="13952" width="3.5546875" style="23" customWidth="1"/>
    <col min="13953" max="13953" width="12.5546875" style="23" customWidth="1"/>
    <col min="13954" max="13954" width="1.6640625" style="23" customWidth="1"/>
    <col min="13955" max="13955" width="12.5546875" style="23" customWidth="1"/>
    <col min="13956" max="13956" width="1.6640625" style="23" customWidth="1"/>
    <col min="13957" max="13957" width="12.5546875" style="23" customWidth="1"/>
    <col min="13958" max="13958" width="1.6640625" style="23" customWidth="1"/>
    <col min="13959" max="13959" width="12.5546875" style="23" customWidth="1"/>
    <col min="13960" max="13960" width="1.6640625" style="23" customWidth="1"/>
    <col min="13961" max="13961" width="19.5546875" style="23" customWidth="1"/>
    <col min="13962" max="13963" width="12.5546875" style="23"/>
    <col min="13964" max="13964" width="1.6640625" style="23" customWidth="1"/>
    <col min="13965" max="13965" width="12.5546875" style="23"/>
    <col min="13966" max="13966" width="1.6640625" style="23" customWidth="1"/>
    <col min="13967" max="13967" width="12.5546875" style="23"/>
    <col min="13968" max="13968" width="1.6640625" style="23" customWidth="1"/>
    <col min="13969" max="13971" width="12.5546875" style="23"/>
    <col min="13972" max="13972" width="1.6640625" style="23" customWidth="1"/>
    <col min="13973" max="13973" width="12.5546875" style="23"/>
    <col min="13974" max="13974" width="1.6640625" style="23" customWidth="1"/>
    <col min="13975" max="13975" width="12.5546875" style="23"/>
    <col min="13976" max="13976" width="1.6640625" style="23" customWidth="1"/>
    <col min="13977" max="14192" width="12.5546875" style="23"/>
    <col min="14193" max="14193" width="2.6640625" style="23" customWidth="1"/>
    <col min="14194" max="14194" width="53.5546875" style="23" customWidth="1"/>
    <col min="14195" max="14195" width="12.5546875" style="23" customWidth="1"/>
    <col min="14196" max="14196" width="3.5546875" style="23" customWidth="1"/>
    <col min="14197" max="14197" width="12.5546875" style="23" customWidth="1"/>
    <col min="14198" max="14198" width="1.6640625" style="23" customWidth="1"/>
    <col min="14199" max="14199" width="12.5546875" style="23" customWidth="1"/>
    <col min="14200" max="14200" width="1.6640625" style="23" customWidth="1"/>
    <col min="14201" max="14201" width="12.5546875" style="23" customWidth="1"/>
    <col min="14202" max="14202" width="1.6640625" style="23" customWidth="1"/>
    <col min="14203" max="14203" width="12.5546875" style="23" customWidth="1"/>
    <col min="14204" max="14204" width="1.6640625" style="23" customWidth="1"/>
    <col min="14205" max="14205" width="19.5546875" style="23" customWidth="1"/>
    <col min="14206" max="14206" width="3.5546875" style="23" customWidth="1"/>
    <col min="14207" max="14207" width="12.5546875" style="23" customWidth="1"/>
    <col min="14208" max="14208" width="3.5546875" style="23" customWidth="1"/>
    <col min="14209" max="14209" width="12.5546875" style="23" customWidth="1"/>
    <col min="14210" max="14210" width="1.6640625" style="23" customWidth="1"/>
    <col min="14211" max="14211" width="12.5546875" style="23" customWidth="1"/>
    <col min="14212" max="14212" width="1.6640625" style="23" customWidth="1"/>
    <col min="14213" max="14213" width="12.5546875" style="23" customWidth="1"/>
    <col min="14214" max="14214" width="1.6640625" style="23" customWidth="1"/>
    <col min="14215" max="14215" width="12.5546875" style="23" customWidth="1"/>
    <col min="14216" max="14216" width="1.6640625" style="23" customWidth="1"/>
    <col min="14217" max="14217" width="19.5546875" style="23" customWidth="1"/>
    <col min="14218" max="14219" width="12.5546875" style="23"/>
    <col min="14220" max="14220" width="1.6640625" style="23" customWidth="1"/>
    <col min="14221" max="14221" width="12.5546875" style="23"/>
    <col min="14222" max="14222" width="1.6640625" style="23" customWidth="1"/>
    <col min="14223" max="14223" width="12.5546875" style="23"/>
    <col min="14224" max="14224" width="1.6640625" style="23" customWidth="1"/>
    <col min="14225" max="14227" width="12.5546875" style="23"/>
    <col min="14228" max="14228" width="1.6640625" style="23" customWidth="1"/>
    <col min="14229" max="14229" width="12.5546875" style="23"/>
    <col min="14230" max="14230" width="1.6640625" style="23" customWidth="1"/>
    <col min="14231" max="14231" width="12.5546875" style="23"/>
    <col min="14232" max="14232" width="1.6640625" style="23" customWidth="1"/>
    <col min="14233" max="14448" width="12.5546875" style="23"/>
    <col min="14449" max="14449" width="2.6640625" style="23" customWidth="1"/>
    <col min="14450" max="14450" width="53.5546875" style="23" customWidth="1"/>
    <col min="14451" max="14451" width="12.5546875" style="23" customWidth="1"/>
    <col min="14452" max="14452" width="3.5546875" style="23" customWidth="1"/>
    <col min="14453" max="14453" width="12.5546875" style="23" customWidth="1"/>
    <col min="14454" max="14454" width="1.6640625" style="23" customWidth="1"/>
    <col min="14455" max="14455" width="12.5546875" style="23" customWidth="1"/>
    <col min="14456" max="14456" width="1.6640625" style="23" customWidth="1"/>
    <col min="14457" max="14457" width="12.5546875" style="23" customWidth="1"/>
    <col min="14458" max="14458" width="1.6640625" style="23" customWidth="1"/>
    <col min="14459" max="14459" width="12.5546875" style="23" customWidth="1"/>
    <col min="14460" max="14460" width="1.6640625" style="23" customWidth="1"/>
    <col min="14461" max="14461" width="19.5546875" style="23" customWidth="1"/>
    <col min="14462" max="14462" width="3.5546875" style="23" customWidth="1"/>
    <col min="14463" max="14463" width="12.5546875" style="23" customWidth="1"/>
    <col min="14464" max="14464" width="3.5546875" style="23" customWidth="1"/>
    <col min="14465" max="14465" width="12.5546875" style="23" customWidth="1"/>
    <col min="14466" max="14466" width="1.6640625" style="23" customWidth="1"/>
    <col min="14467" max="14467" width="12.5546875" style="23" customWidth="1"/>
    <col min="14468" max="14468" width="1.6640625" style="23" customWidth="1"/>
    <col min="14469" max="14469" width="12.5546875" style="23" customWidth="1"/>
    <col min="14470" max="14470" width="1.6640625" style="23" customWidth="1"/>
    <col min="14471" max="14471" width="12.5546875" style="23" customWidth="1"/>
    <col min="14472" max="14472" width="1.6640625" style="23" customWidth="1"/>
    <col min="14473" max="14473" width="19.5546875" style="23" customWidth="1"/>
    <col min="14474" max="14475" width="12.5546875" style="23"/>
    <col min="14476" max="14476" width="1.6640625" style="23" customWidth="1"/>
    <col min="14477" max="14477" width="12.5546875" style="23"/>
    <col min="14478" max="14478" width="1.6640625" style="23" customWidth="1"/>
    <col min="14479" max="14479" width="12.5546875" style="23"/>
    <col min="14480" max="14480" width="1.6640625" style="23" customWidth="1"/>
    <col min="14481" max="14483" width="12.5546875" style="23"/>
    <col min="14484" max="14484" width="1.6640625" style="23" customWidth="1"/>
    <col min="14485" max="14485" width="12.5546875" style="23"/>
    <col min="14486" max="14486" width="1.6640625" style="23" customWidth="1"/>
    <col min="14487" max="14487" width="12.5546875" style="23"/>
    <col min="14488" max="14488" width="1.6640625" style="23" customWidth="1"/>
    <col min="14489" max="14704" width="12.5546875" style="23"/>
    <col min="14705" max="14705" width="2.6640625" style="23" customWidth="1"/>
    <col min="14706" max="14706" width="53.5546875" style="23" customWidth="1"/>
    <col min="14707" max="14707" width="12.5546875" style="23" customWidth="1"/>
    <col min="14708" max="14708" width="3.5546875" style="23" customWidth="1"/>
    <col min="14709" max="14709" width="12.5546875" style="23" customWidth="1"/>
    <col min="14710" max="14710" width="1.6640625" style="23" customWidth="1"/>
    <col min="14711" max="14711" width="12.5546875" style="23" customWidth="1"/>
    <col min="14712" max="14712" width="1.6640625" style="23" customWidth="1"/>
    <col min="14713" max="14713" width="12.5546875" style="23" customWidth="1"/>
    <col min="14714" max="14714" width="1.6640625" style="23" customWidth="1"/>
    <col min="14715" max="14715" width="12.5546875" style="23" customWidth="1"/>
    <col min="14716" max="14716" width="1.6640625" style="23" customWidth="1"/>
    <col min="14717" max="14717" width="19.5546875" style="23" customWidth="1"/>
    <col min="14718" max="14718" width="3.5546875" style="23" customWidth="1"/>
    <col min="14719" max="14719" width="12.5546875" style="23" customWidth="1"/>
    <col min="14720" max="14720" width="3.5546875" style="23" customWidth="1"/>
    <col min="14721" max="14721" width="12.5546875" style="23" customWidth="1"/>
    <col min="14722" max="14722" width="1.6640625" style="23" customWidth="1"/>
    <col min="14723" max="14723" width="12.5546875" style="23" customWidth="1"/>
    <col min="14724" max="14724" width="1.6640625" style="23" customWidth="1"/>
    <col min="14725" max="14725" width="12.5546875" style="23" customWidth="1"/>
    <col min="14726" max="14726" width="1.6640625" style="23" customWidth="1"/>
    <col min="14727" max="14727" width="12.5546875" style="23" customWidth="1"/>
    <col min="14728" max="14728" width="1.6640625" style="23" customWidth="1"/>
    <col min="14729" max="14729" width="19.5546875" style="23" customWidth="1"/>
    <col min="14730" max="14731" width="12.5546875" style="23"/>
    <col min="14732" max="14732" width="1.6640625" style="23" customWidth="1"/>
    <col min="14733" max="14733" width="12.5546875" style="23"/>
    <col min="14734" max="14734" width="1.6640625" style="23" customWidth="1"/>
    <col min="14735" max="14735" width="12.5546875" style="23"/>
    <col min="14736" max="14736" width="1.6640625" style="23" customWidth="1"/>
    <col min="14737" max="14739" width="12.5546875" style="23"/>
    <col min="14740" max="14740" width="1.6640625" style="23" customWidth="1"/>
    <col min="14741" max="14741" width="12.5546875" style="23"/>
    <col min="14742" max="14742" width="1.6640625" style="23" customWidth="1"/>
    <col min="14743" max="14743" width="12.5546875" style="23"/>
    <col min="14744" max="14744" width="1.6640625" style="23" customWidth="1"/>
    <col min="14745" max="14960" width="12.5546875" style="23"/>
    <col min="14961" max="14961" width="2.6640625" style="23" customWidth="1"/>
    <col min="14962" max="14962" width="53.5546875" style="23" customWidth="1"/>
    <col min="14963" max="14963" width="12.5546875" style="23" customWidth="1"/>
    <col min="14964" max="14964" width="3.5546875" style="23" customWidth="1"/>
    <col min="14965" max="14965" width="12.5546875" style="23" customWidth="1"/>
    <col min="14966" max="14966" width="1.6640625" style="23" customWidth="1"/>
    <col min="14967" max="14967" width="12.5546875" style="23" customWidth="1"/>
    <col min="14968" max="14968" width="1.6640625" style="23" customWidth="1"/>
    <col min="14969" max="14969" width="12.5546875" style="23" customWidth="1"/>
    <col min="14970" max="14970" width="1.6640625" style="23" customWidth="1"/>
    <col min="14971" max="14971" width="12.5546875" style="23" customWidth="1"/>
    <col min="14972" max="14972" width="1.6640625" style="23" customWidth="1"/>
    <col min="14973" max="14973" width="19.5546875" style="23" customWidth="1"/>
    <col min="14974" max="14974" width="3.5546875" style="23" customWidth="1"/>
    <col min="14975" max="14975" width="12.5546875" style="23" customWidth="1"/>
    <col min="14976" max="14976" width="3.5546875" style="23" customWidth="1"/>
    <col min="14977" max="14977" width="12.5546875" style="23" customWidth="1"/>
    <col min="14978" max="14978" width="1.6640625" style="23" customWidth="1"/>
    <col min="14979" max="14979" width="12.5546875" style="23" customWidth="1"/>
    <col min="14980" max="14980" width="1.6640625" style="23" customWidth="1"/>
    <col min="14981" max="14981" width="12.5546875" style="23" customWidth="1"/>
    <col min="14982" max="14982" width="1.6640625" style="23" customWidth="1"/>
    <col min="14983" max="14983" width="12.5546875" style="23" customWidth="1"/>
    <col min="14984" max="14984" width="1.6640625" style="23" customWidth="1"/>
    <col min="14985" max="14985" width="19.5546875" style="23" customWidth="1"/>
    <col min="14986" max="14987" width="12.5546875" style="23"/>
    <col min="14988" max="14988" width="1.6640625" style="23" customWidth="1"/>
    <col min="14989" max="14989" width="12.5546875" style="23"/>
    <col min="14990" max="14990" width="1.6640625" style="23" customWidth="1"/>
    <col min="14991" max="14991" width="12.5546875" style="23"/>
    <col min="14992" max="14992" width="1.6640625" style="23" customWidth="1"/>
    <col min="14993" max="14995" width="12.5546875" style="23"/>
    <col min="14996" max="14996" width="1.6640625" style="23" customWidth="1"/>
    <col min="14997" max="14997" width="12.5546875" style="23"/>
    <col min="14998" max="14998" width="1.6640625" style="23" customWidth="1"/>
    <col min="14999" max="14999" width="12.5546875" style="23"/>
    <col min="15000" max="15000" width="1.6640625" style="23" customWidth="1"/>
    <col min="15001" max="15216" width="12.5546875" style="23"/>
    <col min="15217" max="15217" width="2.6640625" style="23" customWidth="1"/>
    <col min="15218" max="15218" width="53.5546875" style="23" customWidth="1"/>
    <col min="15219" max="15219" width="12.5546875" style="23" customWidth="1"/>
    <col min="15220" max="15220" width="3.5546875" style="23" customWidth="1"/>
    <col min="15221" max="15221" width="12.5546875" style="23" customWidth="1"/>
    <col min="15222" max="15222" width="1.6640625" style="23" customWidth="1"/>
    <col min="15223" max="15223" width="12.5546875" style="23" customWidth="1"/>
    <col min="15224" max="15224" width="1.6640625" style="23" customWidth="1"/>
    <col min="15225" max="15225" width="12.5546875" style="23" customWidth="1"/>
    <col min="15226" max="15226" width="1.6640625" style="23" customWidth="1"/>
    <col min="15227" max="15227" width="12.5546875" style="23" customWidth="1"/>
    <col min="15228" max="15228" width="1.6640625" style="23" customWidth="1"/>
    <col min="15229" max="15229" width="19.5546875" style="23" customWidth="1"/>
    <col min="15230" max="15230" width="3.5546875" style="23" customWidth="1"/>
    <col min="15231" max="15231" width="12.5546875" style="23" customWidth="1"/>
    <col min="15232" max="15232" width="3.5546875" style="23" customWidth="1"/>
    <col min="15233" max="15233" width="12.5546875" style="23" customWidth="1"/>
    <col min="15234" max="15234" width="1.6640625" style="23" customWidth="1"/>
    <col min="15235" max="15235" width="12.5546875" style="23" customWidth="1"/>
    <col min="15236" max="15236" width="1.6640625" style="23" customWidth="1"/>
    <col min="15237" max="15237" width="12.5546875" style="23" customWidth="1"/>
    <col min="15238" max="15238" width="1.6640625" style="23" customWidth="1"/>
    <col min="15239" max="15239" width="12.5546875" style="23" customWidth="1"/>
    <col min="15240" max="15240" width="1.6640625" style="23" customWidth="1"/>
    <col min="15241" max="15241" width="19.5546875" style="23" customWidth="1"/>
    <col min="15242" max="15243" width="12.5546875" style="23"/>
    <col min="15244" max="15244" width="1.6640625" style="23" customWidth="1"/>
    <col min="15245" max="15245" width="12.5546875" style="23"/>
    <col min="15246" max="15246" width="1.6640625" style="23" customWidth="1"/>
    <col min="15247" max="15247" width="12.5546875" style="23"/>
    <col min="15248" max="15248" width="1.6640625" style="23" customWidth="1"/>
    <col min="15249" max="15251" width="12.5546875" style="23"/>
    <col min="15252" max="15252" width="1.6640625" style="23" customWidth="1"/>
    <col min="15253" max="15253" width="12.5546875" style="23"/>
    <col min="15254" max="15254" width="1.6640625" style="23" customWidth="1"/>
    <col min="15255" max="15255" width="12.5546875" style="23"/>
    <col min="15256" max="15256" width="1.6640625" style="23" customWidth="1"/>
    <col min="15257" max="15472" width="12.5546875" style="23"/>
    <col min="15473" max="15473" width="2.6640625" style="23" customWidth="1"/>
    <col min="15474" max="15474" width="53.5546875" style="23" customWidth="1"/>
    <col min="15475" max="15475" width="12.5546875" style="23" customWidth="1"/>
    <col min="15476" max="15476" width="3.5546875" style="23" customWidth="1"/>
    <col min="15477" max="15477" width="12.5546875" style="23" customWidth="1"/>
    <col min="15478" max="15478" width="1.6640625" style="23" customWidth="1"/>
    <col min="15479" max="15479" width="12.5546875" style="23" customWidth="1"/>
    <col min="15480" max="15480" width="1.6640625" style="23" customWidth="1"/>
    <col min="15481" max="15481" width="12.5546875" style="23" customWidth="1"/>
    <col min="15482" max="15482" width="1.6640625" style="23" customWidth="1"/>
    <col min="15483" max="15483" width="12.5546875" style="23" customWidth="1"/>
    <col min="15484" max="15484" width="1.6640625" style="23" customWidth="1"/>
    <col min="15485" max="15485" width="19.5546875" style="23" customWidth="1"/>
    <col min="15486" max="15486" width="3.5546875" style="23" customWidth="1"/>
    <col min="15487" max="15487" width="12.5546875" style="23" customWidth="1"/>
    <col min="15488" max="15488" width="3.5546875" style="23" customWidth="1"/>
    <col min="15489" max="15489" width="12.5546875" style="23" customWidth="1"/>
    <col min="15490" max="15490" width="1.6640625" style="23" customWidth="1"/>
    <col min="15491" max="15491" width="12.5546875" style="23" customWidth="1"/>
    <col min="15492" max="15492" width="1.6640625" style="23" customWidth="1"/>
    <col min="15493" max="15493" width="12.5546875" style="23" customWidth="1"/>
    <col min="15494" max="15494" width="1.6640625" style="23" customWidth="1"/>
    <col min="15495" max="15495" width="12.5546875" style="23" customWidth="1"/>
    <col min="15496" max="15496" width="1.6640625" style="23" customWidth="1"/>
    <col min="15497" max="15497" width="19.5546875" style="23" customWidth="1"/>
    <col min="15498" max="15499" width="12.5546875" style="23"/>
    <col min="15500" max="15500" width="1.6640625" style="23" customWidth="1"/>
    <col min="15501" max="15501" width="12.5546875" style="23"/>
    <col min="15502" max="15502" width="1.6640625" style="23" customWidth="1"/>
    <col min="15503" max="15503" width="12.5546875" style="23"/>
    <col min="15504" max="15504" width="1.6640625" style="23" customWidth="1"/>
    <col min="15505" max="15507" width="12.5546875" style="23"/>
    <col min="15508" max="15508" width="1.6640625" style="23" customWidth="1"/>
    <col min="15509" max="15509" width="12.5546875" style="23"/>
    <col min="15510" max="15510" width="1.6640625" style="23" customWidth="1"/>
    <col min="15511" max="15511" width="12.5546875" style="23"/>
    <col min="15512" max="15512" width="1.6640625" style="23" customWidth="1"/>
    <col min="15513" max="15728" width="12.5546875" style="23"/>
    <col min="15729" max="15729" width="2.6640625" style="23" customWidth="1"/>
    <col min="15730" max="15730" width="53.5546875" style="23" customWidth="1"/>
    <col min="15731" max="15731" width="12.5546875" style="23" customWidth="1"/>
    <col min="15732" max="15732" width="3.5546875" style="23" customWidth="1"/>
    <col min="15733" max="15733" width="12.5546875" style="23" customWidth="1"/>
    <col min="15734" max="15734" width="1.6640625" style="23" customWidth="1"/>
    <col min="15735" max="15735" width="12.5546875" style="23" customWidth="1"/>
    <col min="15736" max="15736" width="1.6640625" style="23" customWidth="1"/>
    <col min="15737" max="15737" width="12.5546875" style="23" customWidth="1"/>
    <col min="15738" max="15738" width="1.6640625" style="23" customWidth="1"/>
    <col min="15739" max="15739" width="12.5546875" style="23" customWidth="1"/>
    <col min="15740" max="15740" width="1.6640625" style="23" customWidth="1"/>
    <col min="15741" max="15741" width="19.5546875" style="23" customWidth="1"/>
    <col min="15742" max="15742" width="3.5546875" style="23" customWidth="1"/>
    <col min="15743" max="15743" width="12.5546875" style="23" customWidth="1"/>
    <col min="15744" max="15744" width="3.5546875" style="23" customWidth="1"/>
    <col min="15745" max="15745" width="12.5546875" style="23" customWidth="1"/>
    <col min="15746" max="15746" width="1.6640625" style="23" customWidth="1"/>
    <col min="15747" max="15747" width="12.5546875" style="23" customWidth="1"/>
    <col min="15748" max="15748" width="1.6640625" style="23" customWidth="1"/>
    <col min="15749" max="15749" width="12.5546875" style="23" customWidth="1"/>
    <col min="15750" max="15750" width="1.6640625" style="23" customWidth="1"/>
    <col min="15751" max="15751" width="12.5546875" style="23" customWidth="1"/>
    <col min="15752" max="15752" width="1.6640625" style="23" customWidth="1"/>
    <col min="15753" max="15753" width="19.5546875" style="23" customWidth="1"/>
    <col min="15754" max="15755" width="12.5546875" style="23"/>
    <col min="15756" max="15756" width="1.6640625" style="23" customWidth="1"/>
    <col min="15757" max="15757" width="12.5546875" style="23"/>
    <col min="15758" max="15758" width="1.6640625" style="23" customWidth="1"/>
    <col min="15759" max="15759" width="12.5546875" style="23"/>
    <col min="15760" max="15760" width="1.6640625" style="23" customWidth="1"/>
    <col min="15761" max="15763" width="12.5546875" style="23"/>
    <col min="15764" max="15764" width="1.6640625" style="23" customWidth="1"/>
    <col min="15765" max="15765" width="12.5546875" style="23"/>
    <col min="15766" max="15766" width="1.6640625" style="23" customWidth="1"/>
    <col min="15767" max="15767" width="12.5546875" style="23"/>
    <col min="15768" max="15768" width="1.6640625" style="23" customWidth="1"/>
    <col min="15769" max="15984" width="12.5546875" style="23"/>
    <col min="15985" max="15985" width="2.6640625" style="23" customWidth="1"/>
    <col min="15986" max="15986" width="53.5546875" style="23" customWidth="1"/>
    <col min="15987" max="15987" width="12.5546875" style="23" customWidth="1"/>
    <col min="15988" max="15988" width="3.5546875" style="23" customWidth="1"/>
    <col min="15989" max="15989" width="12.5546875" style="23" customWidth="1"/>
    <col min="15990" max="15990" width="1.6640625" style="23" customWidth="1"/>
    <col min="15991" max="15991" width="12.5546875" style="23" customWidth="1"/>
    <col min="15992" max="15992" width="1.6640625" style="23" customWidth="1"/>
    <col min="15993" max="15993" width="12.5546875" style="23" customWidth="1"/>
    <col min="15994" max="15994" width="1.6640625" style="23" customWidth="1"/>
    <col min="15995" max="15995" width="12.5546875" style="23" customWidth="1"/>
    <col min="15996" max="15996" width="1.6640625" style="23" customWidth="1"/>
    <col min="15997" max="15997" width="19.5546875" style="23" customWidth="1"/>
    <col min="15998" max="15998" width="3.5546875" style="23" customWidth="1"/>
    <col min="15999" max="15999" width="12.5546875" style="23" customWidth="1"/>
    <col min="16000" max="16000" width="3.5546875" style="23" customWidth="1"/>
    <col min="16001" max="16001" width="12.5546875" style="23" customWidth="1"/>
    <col min="16002" max="16002" width="1.6640625" style="23" customWidth="1"/>
    <col min="16003" max="16003" width="12.5546875" style="23" customWidth="1"/>
    <col min="16004" max="16004" width="1.6640625" style="23" customWidth="1"/>
    <col min="16005" max="16005" width="12.5546875" style="23" customWidth="1"/>
    <col min="16006" max="16006" width="1.6640625" style="23" customWidth="1"/>
    <col min="16007" max="16007" width="12.5546875" style="23" customWidth="1"/>
    <col min="16008" max="16008" width="1.6640625" style="23" customWidth="1"/>
    <col min="16009" max="16009" width="19.5546875" style="23" customWidth="1"/>
    <col min="16010" max="16011" width="12.5546875" style="23"/>
    <col min="16012" max="16012" width="1.6640625" style="23" customWidth="1"/>
    <col min="16013" max="16013" width="12.5546875" style="23"/>
    <col min="16014" max="16014" width="1.6640625" style="23" customWidth="1"/>
    <col min="16015" max="16015" width="12.5546875" style="23"/>
    <col min="16016" max="16016" width="1.6640625" style="23" customWidth="1"/>
    <col min="16017" max="16019" width="12.5546875" style="23"/>
    <col min="16020" max="16020" width="1.6640625" style="23" customWidth="1"/>
    <col min="16021" max="16021" width="12.5546875" style="23"/>
    <col min="16022" max="16022" width="1.6640625" style="23" customWidth="1"/>
    <col min="16023" max="16023" width="12.5546875" style="23"/>
    <col min="16024" max="16024" width="1.6640625" style="23" customWidth="1"/>
    <col min="16025" max="16384" width="12.5546875" style="23"/>
  </cols>
  <sheetData>
    <row r="1" spans="1:103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BA1" s="20"/>
      <c r="BB1" s="18"/>
      <c r="BC1" s="18"/>
      <c r="BD1" s="18"/>
      <c r="BE1" s="21"/>
      <c r="BF1" s="21"/>
      <c r="BG1" s="21"/>
      <c r="BH1" s="22"/>
      <c r="BI1" s="20"/>
      <c r="BJ1" s="21"/>
      <c r="BK1" s="21"/>
      <c r="BL1" s="20"/>
      <c r="BM1" s="20"/>
      <c r="BN1" s="20"/>
      <c r="BQ1" s="20"/>
    </row>
    <row r="2" spans="1:103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BA2" s="20"/>
      <c r="BB2" s="18"/>
      <c r="BC2" s="18"/>
      <c r="BD2" s="18"/>
      <c r="BE2" s="21"/>
      <c r="BF2" s="21"/>
      <c r="BG2" s="21"/>
      <c r="BH2" s="22"/>
      <c r="BI2" s="20"/>
      <c r="BJ2" s="21"/>
      <c r="BK2" s="21"/>
      <c r="BL2" s="20"/>
      <c r="BM2" s="20"/>
      <c r="BN2" s="20"/>
      <c r="BQ2" s="20"/>
    </row>
    <row r="3" spans="1:103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BA3" s="20"/>
      <c r="BB3" s="18"/>
      <c r="BC3" s="18"/>
      <c r="BD3" s="18"/>
      <c r="BE3" s="21"/>
      <c r="BF3" s="21"/>
      <c r="BG3" s="21"/>
      <c r="BH3" s="22"/>
      <c r="BI3" s="20"/>
      <c r="BJ3" s="21"/>
      <c r="BK3" s="21"/>
      <c r="BL3" s="20"/>
      <c r="BM3" s="20"/>
      <c r="BN3" s="20"/>
      <c r="BQ3" s="20"/>
      <c r="BR3" s="20"/>
    </row>
    <row r="4" spans="1:103" customFormat="1" ht="18">
      <c r="A4" s="71" t="s">
        <v>193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</row>
    <row r="5" spans="1:103" ht="20.100000000000001" customHeight="1">
      <c r="A5" s="169" t="s">
        <v>88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BA5" s="169" t="s">
        <v>89</v>
      </c>
      <c r="BB5" s="50"/>
      <c r="BC5" s="50"/>
      <c r="BD5" s="50"/>
      <c r="BE5" s="52"/>
      <c r="BF5" s="52"/>
      <c r="BG5" s="52"/>
      <c r="BH5" s="53"/>
      <c r="BI5" s="51"/>
      <c r="BJ5" s="52"/>
      <c r="BK5" s="52"/>
      <c r="BL5" s="51"/>
      <c r="BM5" s="51"/>
      <c r="BN5" s="51"/>
      <c r="BO5" s="32"/>
      <c r="BP5" s="32"/>
      <c r="BQ5" s="51"/>
    </row>
    <row r="6" spans="1:103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BA6" s="51"/>
      <c r="BB6" s="50"/>
      <c r="BC6" s="50"/>
      <c r="BD6" s="50"/>
      <c r="BE6" s="56"/>
      <c r="BF6" s="56"/>
      <c r="BG6" s="56"/>
      <c r="BH6" s="53"/>
      <c r="BI6" s="51"/>
      <c r="BJ6" s="56"/>
      <c r="BK6" s="56"/>
      <c r="BL6" s="51"/>
      <c r="BM6" s="51"/>
      <c r="BN6" s="51"/>
      <c r="BO6" s="32"/>
      <c r="BP6" s="32"/>
      <c r="BQ6" s="51"/>
    </row>
    <row r="7" spans="1:103" ht="16.2" thickBot="1">
      <c r="A7" s="155" t="s">
        <v>90</v>
      </c>
      <c r="B7" s="156" t="s">
        <v>1</v>
      </c>
      <c r="C7" s="156" t="s">
        <v>2</v>
      </c>
      <c r="D7" s="156" t="s">
        <v>3</v>
      </c>
      <c r="E7" s="156" t="s">
        <v>4</v>
      </c>
      <c r="F7" s="156" t="s">
        <v>5</v>
      </c>
      <c r="G7" s="156" t="s">
        <v>6</v>
      </c>
      <c r="H7" s="156" t="s">
        <v>7</v>
      </c>
      <c r="I7" s="156" t="s">
        <v>8</v>
      </c>
      <c r="J7" s="156" t="s">
        <v>9</v>
      </c>
      <c r="K7" s="156" t="s">
        <v>10</v>
      </c>
      <c r="L7" s="156" t="s">
        <v>11</v>
      </c>
      <c r="M7" s="156" t="s">
        <v>12</v>
      </c>
      <c r="N7" s="156" t="s">
        <v>13</v>
      </c>
      <c r="O7" s="156" t="s">
        <v>14</v>
      </c>
      <c r="P7" s="156" t="s">
        <v>15</v>
      </c>
      <c r="Q7" s="156" t="s">
        <v>16</v>
      </c>
      <c r="R7" s="156" t="s">
        <v>17</v>
      </c>
      <c r="S7" s="156" t="s">
        <v>18</v>
      </c>
      <c r="T7" s="156" t="s">
        <v>19</v>
      </c>
      <c r="U7" s="156" t="s">
        <v>20</v>
      </c>
      <c r="V7" s="156" t="s">
        <v>21</v>
      </c>
      <c r="W7" s="156" t="s">
        <v>22</v>
      </c>
      <c r="X7" s="156" t="s">
        <v>23</v>
      </c>
      <c r="Y7" s="156" t="s">
        <v>24</v>
      </c>
      <c r="Z7" s="156" t="s">
        <v>25</v>
      </c>
      <c r="AA7" s="157" t="s">
        <v>26</v>
      </c>
      <c r="AB7" s="157" t="s">
        <v>27</v>
      </c>
      <c r="AC7" s="157" t="s">
        <v>28</v>
      </c>
      <c r="AD7" s="157" t="s">
        <v>29</v>
      </c>
      <c r="AE7" s="157" t="s">
        <v>30</v>
      </c>
      <c r="AF7" s="157" t="s">
        <v>31</v>
      </c>
      <c r="AG7" s="157" t="s">
        <v>32</v>
      </c>
      <c r="AH7" s="157" t="s">
        <v>33</v>
      </c>
      <c r="AI7" s="157" t="s">
        <v>34</v>
      </c>
      <c r="AJ7" s="157" t="s">
        <v>35</v>
      </c>
      <c r="AK7" s="157" t="s">
        <v>36</v>
      </c>
      <c r="AL7" s="157" t="s">
        <v>37</v>
      </c>
      <c r="AM7" s="157" t="s">
        <v>38</v>
      </c>
      <c r="AN7" s="157" t="s">
        <v>39</v>
      </c>
      <c r="AO7" s="157" t="s">
        <v>40</v>
      </c>
      <c r="AP7" s="157" t="s">
        <v>41</v>
      </c>
      <c r="AQ7" s="157" t="s">
        <v>42</v>
      </c>
      <c r="AR7" s="157" t="s">
        <v>43</v>
      </c>
      <c r="AS7" s="157" t="s">
        <v>44</v>
      </c>
      <c r="AT7" s="157" t="s">
        <v>45</v>
      </c>
      <c r="AU7" s="157" t="s">
        <v>46</v>
      </c>
      <c r="AV7" s="157" t="s">
        <v>47</v>
      </c>
      <c r="AW7" s="157" t="s">
        <v>48</v>
      </c>
      <c r="AX7" s="157" t="s">
        <v>279</v>
      </c>
      <c r="AY7" s="157" t="s">
        <v>292</v>
      </c>
      <c r="BA7" s="155" t="s">
        <v>91</v>
      </c>
      <c r="BB7" s="156" t="s">
        <v>1</v>
      </c>
      <c r="BC7" s="156" t="s">
        <v>2</v>
      </c>
      <c r="BD7" s="156" t="s">
        <v>3</v>
      </c>
      <c r="BE7" s="156" t="s">
        <v>4</v>
      </c>
      <c r="BF7" s="156" t="s">
        <v>5</v>
      </c>
      <c r="BG7" s="156" t="s">
        <v>6</v>
      </c>
      <c r="BH7" s="164" t="s">
        <v>7</v>
      </c>
      <c r="BI7" s="156" t="s">
        <v>8</v>
      </c>
      <c r="BJ7" s="156" t="s">
        <v>9</v>
      </c>
      <c r="BK7" s="156" t="s">
        <v>10</v>
      </c>
      <c r="BL7" s="156" t="s">
        <v>11</v>
      </c>
      <c r="BM7" s="156" t="s">
        <v>12</v>
      </c>
      <c r="BN7" s="156" t="s">
        <v>13</v>
      </c>
      <c r="BO7" s="156" t="s">
        <v>14</v>
      </c>
      <c r="BP7" s="156" t="s">
        <v>15</v>
      </c>
      <c r="BQ7" s="156" t="s">
        <v>16</v>
      </c>
      <c r="BR7" s="156" t="s">
        <v>17</v>
      </c>
      <c r="BS7" s="156" t="s">
        <v>18</v>
      </c>
      <c r="BT7" s="156" t="s">
        <v>19</v>
      </c>
      <c r="BU7" s="156" t="s">
        <v>20</v>
      </c>
      <c r="BV7" s="156" t="s">
        <v>21</v>
      </c>
      <c r="BW7" s="156" t="s">
        <v>22</v>
      </c>
      <c r="BX7" s="156" t="s">
        <v>23</v>
      </c>
      <c r="BY7" s="156" t="s">
        <v>24</v>
      </c>
      <c r="BZ7" s="156" t="s">
        <v>25</v>
      </c>
      <c r="CA7" s="156" t="s">
        <v>26</v>
      </c>
      <c r="CB7" s="156" t="s">
        <v>27</v>
      </c>
      <c r="CC7" s="156" t="s">
        <v>28</v>
      </c>
      <c r="CD7" s="156" t="s">
        <v>29</v>
      </c>
      <c r="CE7" s="156" t="s">
        <v>30</v>
      </c>
      <c r="CF7" s="156" t="s">
        <v>31</v>
      </c>
      <c r="CG7" s="156" t="s">
        <v>32</v>
      </c>
      <c r="CH7" s="156" t="s">
        <v>33</v>
      </c>
      <c r="CI7" s="156" t="s">
        <v>34</v>
      </c>
      <c r="CJ7" s="156" t="s">
        <v>35</v>
      </c>
      <c r="CK7" s="156" t="s">
        <v>36</v>
      </c>
      <c r="CL7" s="156" t="s">
        <v>37</v>
      </c>
      <c r="CM7" s="156" t="s">
        <v>38</v>
      </c>
      <c r="CN7" s="157" t="s">
        <v>39</v>
      </c>
      <c r="CO7" s="157" t="s">
        <v>40</v>
      </c>
      <c r="CP7" s="157" t="s">
        <v>41</v>
      </c>
      <c r="CQ7" s="157" t="s">
        <v>42</v>
      </c>
      <c r="CR7" s="157" t="s">
        <v>43</v>
      </c>
      <c r="CS7" s="157" t="s">
        <v>44</v>
      </c>
      <c r="CT7" s="157" t="s">
        <v>45</v>
      </c>
      <c r="CU7" s="157" t="s">
        <v>46</v>
      </c>
      <c r="CV7" s="157" t="s">
        <v>47</v>
      </c>
      <c r="CW7" s="157" t="s">
        <v>48</v>
      </c>
      <c r="CX7" s="157" t="s">
        <v>279</v>
      </c>
      <c r="CY7" s="157" t="s">
        <v>292</v>
      </c>
    </row>
    <row r="8" spans="1:103" ht="20.100000000000001" customHeight="1">
      <c r="A8" s="57" t="s">
        <v>92</v>
      </c>
      <c r="B8" s="58">
        <v>186937</v>
      </c>
      <c r="C8" s="58">
        <v>349581</v>
      </c>
      <c r="D8" s="58">
        <v>397688</v>
      </c>
      <c r="E8" s="59">
        <v>350634</v>
      </c>
      <c r="F8" s="59">
        <v>309187</v>
      </c>
      <c r="G8" s="59">
        <v>327857</v>
      </c>
      <c r="H8" s="59">
        <v>167193.75137170547</v>
      </c>
      <c r="I8" s="59">
        <v>283951</v>
      </c>
      <c r="J8" s="59">
        <v>165487</v>
      </c>
      <c r="K8" s="59">
        <v>28069.127721306675</v>
      </c>
      <c r="L8" s="59">
        <v>13273.114781496841</v>
      </c>
      <c r="M8" s="59">
        <v>24793.363978854999</v>
      </c>
      <c r="N8" s="59">
        <v>13353</v>
      </c>
      <c r="O8" s="59">
        <v>41604</v>
      </c>
      <c r="P8" s="59">
        <v>27877.907354720002</v>
      </c>
      <c r="Q8" s="109">
        <v>92445</v>
      </c>
      <c r="R8" s="109">
        <v>86663</v>
      </c>
      <c r="S8" s="109">
        <v>69331</v>
      </c>
      <c r="T8" s="109">
        <v>28160</v>
      </c>
      <c r="U8" s="109">
        <v>186993</v>
      </c>
      <c r="V8" s="59">
        <v>107363</v>
      </c>
      <c r="W8" s="59">
        <v>392879</v>
      </c>
      <c r="X8" s="59">
        <v>358921</v>
      </c>
      <c r="Y8" s="59">
        <v>459396</v>
      </c>
      <c r="Z8" s="59">
        <v>315180</v>
      </c>
      <c r="AA8" s="109">
        <v>319688</v>
      </c>
      <c r="AB8" s="109">
        <v>422585</v>
      </c>
      <c r="AC8" s="109">
        <v>809272.73534317093</v>
      </c>
      <c r="AD8" s="109">
        <v>3185031</v>
      </c>
      <c r="AE8" s="109">
        <v>3381619</v>
      </c>
      <c r="AF8" s="109">
        <f>+'[18]BP ANEXO'!O7</f>
        <v>1948979.3151494181</v>
      </c>
      <c r="AG8" s="109">
        <v>970681</v>
      </c>
      <c r="AH8" s="109">
        <v>3091614</v>
      </c>
      <c r="AI8" s="109">
        <v>3193381</v>
      </c>
      <c r="AJ8" s="109">
        <v>8362706.2427956527</v>
      </c>
      <c r="AK8" s="109">
        <v>9612961</v>
      </c>
      <c r="AL8" s="109">
        <v>527180</v>
      </c>
      <c r="AM8" s="109">
        <v>1155253</v>
      </c>
      <c r="AN8" s="109">
        <v>2225259</v>
      </c>
      <c r="AO8" s="109">
        <v>2335403</v>
      </c>
      <c r="AP8" s="109">
        <v>4030098</v>
      </c>
      <c r="AQ8" s="109">
        <v>6447834</v>
      </c>
      <c r="AR8" s="109">
        <v>11769768</v>
      </c>
      <c r="AS8" s="109">
        <v>3993359</v>
      </c>
      <c r="AT8" s="109">
        <v>4162326</v>
      </c>
      <c r="AU8" s="109">
        <v>4759556</v>
      </c>
      <c r="AV8" s="109">
        <v>9411970</v>
      </c>
      <c r="AW8" s="109">
        <v>3398291</v>
      </c>
      <c r="AX8" s="109">
        <v>2793646</v>
      </c>
      <c r="AY8" s="109">
        <v>3693426</v>
      </c>
      <c r="AZ8" s="109"/>
      <c r="BA8" s="57" t="s">
        <v>93</v>
      </c>
      <c r="BB8" s="60">
        <v>175686</v>
      </c>
      <c r="BC8" s="60">
        <v>105180</v>
      </c>
      <c r="BD8" s="60">
        <v>109628</v>
      </c>
      <c r="BE8" s="61">
        <v>50507</v>
      </c>
      <c r="BF8" s="61">
        <v>68683</v>
      </c>
      <c r="BG8" s="61">
        <v>40210</v>
      </c>
      <c r="BH8" s="61">
        <v>63788.509601689548</v>
      </c>
      <c r="BI8" s="61">
        <v>52469</v>
      </c>
      <c r="BJ8" s="61">
        <v>72292</v>
      </c>
      <c r="BK8" s="61">
        <v>49348.133587706732</v>
      </c>
      <c r="BL8" s="61">
        <v>32836.125861777808</v>
      </c>
      <c r="BM8" s="61">
        <v>50175.968122453975</v>
      </c>
      <c r="BN8" s="61">
        <v>51068</v>
      </c>
      <c r="BO8" s="61">
        <v>53993</v>
      </c>
      <c r="BP8" s="61">
        <v>64365.328629440002</v>
      </c>
      <c r="BQ8" s="61">
        <v>70535</v>
      </c>
      <c r="BR8" s="61">
        <v>72888</v>
      </c>
      <c r="BS8" s="61">
        <v>91620</v>
      </c>
      <c r="BT8" s="61">
        <v>92833</v>
      </c>
      <c r="BU8" s="61">
        <v>73258</v>
      </c>
      <c r="BV8" s="61">
        <v>127426</v>
      </c>
      <c r="BW8" s="61">
        <v>126570</v>
      </c>
      <c r="BX8" s="61">
        <v>129731</v>
      </c>
      <c r="BY8" s="61">
        <v>87232</v>
      </c>
      <c r="BZ8" s="61">
        <v>110976</v>
      </c>
      <c r="CA8" s="61">
        <v>139859</v>
      </c>
      <c r="CB8" s="61">
        <v>281408</v>
      </c>
      <c r="CC8" s="61">
        <v>236889.72297788545</v>
      </c>
      <c r="CD8" s="61">
        <v>119524</v>
      </c>
      <c r="CE8" s="61">
        <v>152400</v>
      </c>
      <c r="CF8" s="61">
        <f>+'[18]BP ANEXO'!AD7</f>
        <v>204816.17483690084</v>
      </c>
      <c r="CG8" s="61">
        <v>292204</v>
      </c>
      <c r="CH8" s="61">
        <v>262789</v>
      </c>
      <c r="CI8" s="61">
        <v>316734</v>
      </c>
      <c r="CJ8" s="61">
        <v>334083.90625169803</v>
      </c>
      <c r="CK8" s="61">
        <v>565926</v>
      </c>
      <c r="CL8" s="61">
        <v>605633</v>
      </c>
      <c r="CM8" s="61">
        <v>757359</v>
      </c>
      <c r="CN8" s="111">
        <v>638038</v>
      </c>
      <c r="CO8" s="111">
        <v>834778</v>
      </c>
      <c r="CP8" s="111">
        <v>636779</v>
      </c>
      <c r="CQ8" s="111">
        <v>1123726</v>
      </c>
      <c r="CR8" s="111">
        <v>1071548</v>
      </c>
      <c r="CS8" s="111">
        <v>757596</v>
      </c>
      <c r="CT8" s="111">
        <v>976261</v>
      </c>
      <c r="CU8" s="111">
        <v>1356915</v>
      </c>
      <c r="CV8" s="111">
        <v>1363682</v>
      </c>
      <c r="CW8" s="111">
        <v>2350166</v>
      </c>
      <c r="CX8" s="111">
        <v>2391157</v>
      </c>
      <c r="CY8" s="111">
        <v>1658130</v>
      </c>
    </row>
    <row r="9" spans="1:103" ht="20.100000000000001" customHeight="1">
      <c r="A9" s="57" t="s">
        <v>94</v>
      </c>
      <c r="B9" s="58">
        <v>121332</v>
      </c>
      <c r="C9" s="58">
        <v>15488</v>
      </c>
      <c r="D9" s="58">
        <v>6212</v>
      </c>
      <c r="E9" s="59">
        <v>98312</v>
      </c>
      <c r="F9" s="59">
        <v>52935</v>
      </c>
      <c r="G9" s="59">
        <v>27781</v>
      </c>
      <c r="H9" s="59">
        <v>250106.24942000004</v>
      </c>
      <c r="I9" s="59">
        <v>213090</v>
      </c>
      <c r="J9" s="59">
        <v>329861</v>
      </c>
      <c r="K9" s="59">
        <v>411334.20741999999</v>
      </c>
      <c r="L9" s="59">
        <v>515293.08662000002</v>
      </c>
      <c r="M9" s="59">
        <v>546507.08051</v>
      </c>
      <c r="N9" s="59">
        <v>649599</v>
      </c>
      <c r="O9" s="59">
        <v>615468</v>
      </c>
      <c r="P9" s="59">
        <v>655738.02773823997</v>
      </c>
      <c r="Q9" s="109">
        <v>511863</v>
      </c>
      <c r="R9" s="109">
        <v>475776</v>
      </c>
      <c r="S9" s="109">
        <v>652191</v>
      </c>
      <c r="T9" s="109">
        <v>501935</v>
      </c>
      <c r="U9" s="109">
        <v>607441</v>
      </c>
      <c r="V9" s="59">
        <v>162391</v>
      </c>
      <c r="W9" s="59">
        <v>132872</v>
      </c>
      <c r="X9" s="59">
        <v>252003</v>
      </c>
      <c r="Y9" s="59">
        <v>226301</v>
      </c>
      <c r="Z9" s="59">
        <v>102039</v>
      </c>
      <c r="AA9" s="109">
        <v>24081</v>
      </c>
      <c r="AB9" s="109">
        <v>34009</v>
      </c>
      <c r="AC9" s="109">
        <v>22793.147218198003</v>
      </c>
      <c r="AD9" s="109">
        <v>77820</v>
      </c>
      <c r="AE9" s="109">
        <v>1135096</v>
      </c>
      <c r="AF9" s="109">
        <f>+'[18]BP ANEXO'!O8</f>
        <v>2577230.6711388384</v>
      </c>
      <c r="AG9" s="109">
        <v>3680185</v>
      </c>
      <c r="AH9" s="109">
        <v>2352001</v>
      </c>
      <c r="AI9" s="109">
        <v>3365992</v>
      </c>
      <c r="AJ9" s="109">
        <v>928878.86328300007</v>
      </c>
      <c r="AK9" s="109" t="s">
        <v>97</v>
      </c>
      <c r="AL9" s="109" t="s">
        <v>97</v>
      </c>
      <c r="AM9" s="109">
        <v>0</v>
      </c>
      <c r="AN9" s="109">
        <v>0</v>
      </c>
      <c r="AO9" s="109">
        <v>0</v>
      </c>
      <c r="AP9" s="109">
        <v>0</v>
      </c>
      <c r="AQ9" s="109">
        <v>0</v>
      </c>
      <c r="AR9" s="109">
        <v>0</v>
      </c>
      <c r="AS9" s="109">
        <v>0</v>
      </c>
      <c r="AT9" s="109">
        <v>0</v>
      </c>
      <c r="AU9" s="109">
        <v>0</v>
      </c>
      <c r="AV9" s="109">
        <v>0</v>
      </c>
      <c r="AW9" s="109">
        <v>0</v>
      </c>
      <c r="AX9" s="109">
        <v>0</v>
      </c>
      <c r="AY9" s="109">
        <v>0</v>
      </c>
      <c r="AZ9" s="109"/>
      <c r="BA9" s="62" t="s">
        <v>95</v>
      </c>
      <c r="BB9" s="60">
        <v>12451</v>
      </c>
      <c r="BC9" s="60">
        <v>12539</v>
      </c>
      <c r="BD9" s="60">
        <v>8909</v>
      </c>
      <c r="BE9" s="61">
        <v>7439</v>
      </c>
      <c r="BF9" s="61">
        <v>7231</v>
      </c>
      <c r="BG9" s="61">
        <v>5918</v>
      </c>
      <c r="BH9" s="61">
        <v>5500.967599999999</v>
      </c>
      <c r="BI9" s="61">
        <v>7373</v>
      </c>
      <c r="BJ9" s="61">
        <v>7547</v>
      </c>
      <c r="BK9" s="61">
        <v>6239.4705400000012</v>
      </c>
      <c r="BL9" s="61">
        <v>5167.1765700000005</v>
      </c>
      <c r="BM9" s="61">
        <v>10150.823079999998</v>
      </c>
      <c r="BN9" s="61">
        <v>6454</v>
      </c>
      <c r="BO9" s="61">
        <v>6429</v>
      </c>
      <c r="BP9" s="61">
        <v>3132.2387699999999</v>
      </c>
      <c r="BQ9" s="61">
        <v>9979</v>
      </c>
      <c r="BR9" s="61">
        <v>7074</v>
      </c>
      <c r="BS9" s="61">
        <v>7996</v>
      </c>
      <c r="BT9" s="61">
        <v>5192</v>
      </c>
      <c r="BU9" s="61">
        <v>14923</v>
      </c>
      <c r="BV9" s="61">
        <v>21691</v>
      </c>
      <c r="BW9" s="61">
        <v>32618</v>
      </c>
      <c r="BX9" s="61">
        <v>36108</v>
      </c>
      <c r="BY9" s="61">
        <v>39359</v>
      </c>
      <c r="BZ9" s="61">
        <v>40457</v>
      </c>
      <c r="CA9" s="61">
        <v>50663</v>
      </c>
      <c r="CB9" s="61">
        <v>58054</v>
      </c>
      <c r="CC9" s="61">
        <v>54856.700807145986</v>
      </c>
      <c r="CD9" s="61">
        <v>41101</v>
      </c>
      <c r="CE9" s="61">
        <v>74923</v>
      </c>
      <c r="CF9" s="61">
        <f>+'[18]BP ANEXO'!AD8</f>
        <v>105895.60682719201</v>
      </c>
      <c r="CG9" s="61">
        <v>131475</v>
      </c>
      <c r="CH9" s="61">
        <v>111779</v>
      </c>
      <c r="CI9" s="61">
        <v>127701</v>
      </c>
      <c r="CJ9" s="61">
        <v>128625.61349327999</v>
      </c>
      <c r="CK9" s="61">
        <v>138003</v>
      </c>
      <c r="CL9" s="61">
        <v>163959</v>
      </c>
      <c r="CM9" s="61">
        <v>180905</v>
      </c>
      <c r="CN9" s="111">
        <v>198965</v>
      </c>
      <c r="CO9" s="111">
        <v>266893</v>
      </c>
      <c r="CP9" s="111">
        <v>179617</v>
      </c>
      <c r="CQ9" s="111">
        <v>196040</v>
      </c>
      <c r="CR9" s="111">
        <v>230712</v>
      </c>
      <c r="CS9" s="111">
        <v>252270</v>
      </c>
      <c r="CT9" s="111">
        <v>216046</v>
      </c>
      <c r="CU9" s="111">
        <v>310160</v>
      </c>
      <c r="CV9" s="111">
        <v>407067</v>
      </c>
      <c r="CW9" s="111">
        <v>496056</v>
      </c>
      <c r="CX9" s="111">
        <v>381138</v>
      </c>
      <c r="CY9" s="111">
        <v>376208</v>
      </c>
    </row>
    <row r="10" spans="1:103" ht="20.100000000000001" customHeight="1">
      <c r="A10" s="57" t="s">
        <v>96</v>
      </c>
      <c r="B10" s="58">
        <v>0</v>
      </c>
      <c r="C10" s="58">
        <v>0</v>
      </c>
      <c r="D10" s="58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11123</v>
      </c>
      <c r="O10" s="59">
        <v>21377</v>
      </c>
      <c r="P10" s="59">
        <v>10754.84909</v>
      </c>
      <c r="Q10" s="109">
        <v>17965</v>
      </c>
      <c r="R10" s="109">
        <v>0</v>
      </c>
      <c r="S10" s="109">
        <v>0</v>
      </c>
      <c r="T10" s="109">
        <v>0</v>
      </c>
      <c r="U10" s="109">
        <v>11628</v>
      </c>
      <c r="V10" s="59">
        <v>11780</v>
      </c>
      <c r="W10" s="59">
        <v>60085</v>
      </c>
      <c r="X10" s="59">
        <v>12602</v>
      </c>
      <c r="Y10" s="59">
        <v>52223</v>
      </c>
      <c r="Z10" s="59">
        <v>243609</v>
      </c>
      <c r="AA10" s="109">
        <v>276071</v>
      </c>
      <c r="AB10" s="109">
        <v>304374</v>
      </c>
      <c r="AC10" s="109">
        <v>49996.488052235974</v>
      </c>
      <c r="AD10" s="109">
        <v>110770</v>
      </c>
      <c r="AE10" s="109">
        <v>16611</v>
      </c>
      <c r="AF10" s="109">
        <f>+'[18]BP ANEXO'!O9</f>
        <v>0</v>
      </c>
      <c r="AG10" s="109">
        <v>0</v>
      </c>
      <c r="AH10" s="109">
        <v>0</v>
      </c>
      <c r="AI10" s="109">
        <v>0</v>
      </c>
      <c r="AJ10" s="109">
        <v>0</v>
      </c>
      <c r="AK10" s="109" t="s">
        <v>97</v>
      </c>
      <c r="AL10" s="109" t="s">
        <v>97</v>
      </c>
      <c r="AM10" s="109">
        <v>0</v>
      </c>
      <c r="AN10" s="109">
        <v>0</v>
      </c>
      <c r="AO10" s="109">
        <v>0</v>
      </c>
      <c r="AP10" s="109">
        <v>0</v>
      </c>
      <c r="AQ10" s="109">
        <v>0</v>
      </c>
      <c r="AR10" s="109">
        <v>0</v>
      </c>
      <c r="AS10" s="109">
        <v>0</v>
      </c>
      <c r="AT10" s="109">
        <v>0</v>
      </c>
      <c r="AU10" s="109">
        <v>0</v>
      </c>
      <c r="AV10" s="109">
        <v>0</v>
      </c>
      <c r="AW10" s="109">
        <v>0</v>
      </c>
      <c r="AX10" s="109">
        <v>0</v>
      </c>
      <c r="AY10" s="109">
        <v>0</v>
      </c>
      <c r="AZ10" s="109"/>
      <c r="BA10" s="62" t="s">
        <v>98</v>
      </c>
      <c r="BB10" s="60">
        <v>32238</v>
      </c>
      <c r="BC10" s="60">
        <v>29258</v>
      </c>
      <c r="BD10" s="60">
        <v>30688</v>
      </c>
      <c r="BE10" s="61">
        <v>8518</v>
      </c>
      <c r="BF10" s="61">
        <v>20417</v>
      </c>
      <c r="BG10" s="61">
        <v>8623</v>
      </c>
      <c r="BH10" s="61">
        <v>14773.718451827002</v>
      </c>
      <c r="BI10" s="61">
        <v>13082</v>
      </c>
      <c r="BJ10" s="61">
        <v>13690</v>
      </c>
      <c r="BK10" s="61">
        <v>10994.695864536001</v>
      </c>
      <c r="BL10" s="61">
        <v>10041.235987928259</v>
      </c>
      <c r="BM10" s="61">
        <v>13493.792916633</v>
      </c>
      <c r="BN10" s="61">
        <v>21559</v>
      </c>
      <c r="BO10" s="61">
        <v>24683</v>
      </c>
      <c r="BP10" s="61">
        <v>17124.36812784</v>
      </c>
      <c r="BQ10" s="61">
        <v>20076</v>
      </c>
      <c r="BR10" s="61">
        <v>24418.033904696</v>
      </c>
      <c r="BS10" s="61">
        <v>32504.514651773992</v>
      </c>
      <c r="BT10" s="61">
        <v>50459.713743982</v>
      </c>
      <c r="BU10" s="61">
        <v>37010</v>
      </c>
      <c r="BV10" s="61">
        <v>43161</v>
      </c>
      <c r="BW10" s="61">
        <v>85097</v>
      </c>
      <c r="BX10" s="61">
        <v>56861</v>
      </c>
      <c r="BY10" s="61">
        <v>83441</v>
      </c>
      <c r="BZ10" s="61">
        <v>56691</v>
      </c>
      <c r="CA10" s="61">
        <v>48114</v>
      </c>
      <c r="CB10" s="61">
        <v>73112</v>
      </c>
      <c r="CC10" s="61">
        <v>87740.919153848008</v>
      </c>
      <c r="CD10" s="61">
        <v>120602</v>
      </c>
      <c r="CE10" s="61">
        <v>96411</v>
      </c>
      <c r="CF10" s="61">
        <f>+'[18]BP ANEXO'!AD9</f>
        <v>126361.10303859599</v>
      </c>
      <c r="CG10" s="61">
        <v>183678</v>
      </c>
      <c r="CH10" s="61">
        <v>182392</v>
      </c>
      <c r="CI10" s="61">
        <v>298646</v>
      </c>
      <c r="CJ10" s="61">
        <v>337433.20228481997</v>
      </c>
      <c r="CK10" s="61">
        <v>158712</v>
      </c>
      <c r="CL10" s="61">
        <v>320602</v>
      </c>
      <c r="CM10" s="61">
        <v>433332</v>
      </c>
      <c r="CN10" s="111">
        <v>504261</v>
      </c>
      <c r="CO10" s="111">
        <v>593007</v>
      </c>
      <c r="CP10" s="111">
        <v>410553</v>
      </c>
      <c r="CQ10" s="111">
        <v>698730</v>
      </c>
      <c r="CR10" s="111">
        <v>638427</v>
      </c>
      <c r="CS10" s="111">
        <v>830285</v>
      </c>
      <c r="CT10" s="111">
        <v>447430</v>
      </c>
      <c r="CU10" s="111">
        <v>316022</v>
      </c>
      <c r="CV10" s="111">
        <f>61022+281266</f>
        <v>342288</v>
      </c>
      <c r="CW10" s="111">
        <v>401873</v>
      </c>
      <c r="CX10" s="111">
        <v>441694</v>
      </c>
      <c r="CY10" s="111">
        <v>842698</v>
      </c>
    </row>
    <row r="11" spans="1:103" ht="19.5" customHeight="1">
      <c r="A11" s="57" t="s">
        <v>99</v>
      </c>
      <c r="B11" s="60">
        <v>15048</v>
      </c>
      <c r="C11" s="60">
        <v>20863</v>
      </c>
      <c r="D11" s="60">
        <v>19594</v>
      </c>
      <c r="E11" s="61">
        <v>1835</v>
      </c>
      <c r="F11" s="61">
        <v>1764</v>
      </c>
      <c r="G11" s="61">
        <v>3697</v>
      </c>
      <c r="H11" s="61">
        <v>244960.13253549999</v>
      </c>
      <c r="I11" s="61">
        <v>244499</v>
      </c>
      <c r="J11" s="61">
        <v>142</v>
      </c>
      <c r="K11" s="61">
        <v>86.436700000000002</v>
      </c>
      <c r="L11" s="61">
        <v>6164.5338000000002</v>
      </c>
      <c r="M11" s="61">
        <v>30680.439741834169</v>
      </c>
      <c r="N11" s="61">
        <v>40937</v>
      </c>
      <c r="O11" s="61">
        <v>79173</v>
      </c>
      <c r="P11" s="61">
        <v>51576.095310363875</v>
      </c>
      <c r="Q11" s="111">
        <v>62046</v>
      </c>
      <c r="R11" s="111">
        <v>63713</v>
      </c>
      <c r="S11" s="111">
        <v>88073</v>
      </c>
      <c r="T11" s="111">
        <v>37097</v>
      </c>
      <c r="U11" s="111">
        <v>34932</v>
      </c>
      <c r="V11" s="61">
        <v>18452</v>
      </c>
      <c r="W11" s="61">
        <v>36023</v>
      </c>
      <c r="X11" s="61">
        <v>86047</v>
      </c>
      <c r="Y11" s="61">
        <v>374598</v>
      </c>
      <c r="Z11" s="59">
        <v>213830</v>
      </c>
      <c r="AA11" s="109">
        <v>210437</v>
      </c>
      <c r="AB11" s="109">
        <v>197907</v>
      </c>
      <c r="AC11" s="109">
        <v>386164.63287144102</v>
      </c>
      <c r="AD11" s="109">
        <v>22568</v>
      </c>
      <c r="AE11" s="109">
        <v>329548</v>
      </c>
      <c r="AF11" s="109">
        <f>+'[18]BP ANEXO'!O10</f>
        <v>291782.64835871197</v>
      </c>
      <c r="AG11" s="109">
        <v>915033</v>
      </c>
      <c r="AH11" s="109">
        <v>845187</v>
      </c>
      <c r="AI11" s="109">
        <v>888980</v>
      </c>
      <c r="AJ11" s="109">
        <v>1079328.6092735101</v>
      </c>
      <c r="AK11" s="109">
        <v>166304</v>
      </c>
      <c r="AL11" s="109">
        <v>2230118</v>
      </c>
      <c r="AM11" s="109">
        <v>1357896</v>
      </c>
      <c r="AN11" s="109">
        <v>1613769</v>
      </c>
      <c r="AO11" s="109">
        <v>1743491</v>
      </c>
      <c r="AP11" s="109">
        <v>1431728</v>
      </c>
      <c r="AQ11" s="109">
        <v>2093882</v>
      </c>
      <c r="AR11" s="109">
        <v>2092964</v>
      </c>
      <c r="AS11" s="109">
        <v>931770</v>
      </c>
      <c r="AT11" s="109">
        <v>1762409</v>
      </c>
      <c r="AU11" s="109">
        <v>1372885</v>
      </c>
      <c r="AV11" s="109">
        <v>1702199</v>
      </c>
      <c r="AW11" s="109">
        <v>1690100</v>
      </c>
      <c r="AX11" s="109">
        <v>4201445</v>
      </c>
      <c r="AY11" s="109">
        <v>4170645</v>
      </c>
      <c r="AZ11" s="109"/>
      <c r="BA11" s="62" t="s">
        <v>100</v>
      </c>
      <c r="BB11" s="63">
        <v>0</v>
      </c>
      <c r="BC11" s="63">
        <v>0</v>
      </c>
      <c r="BD11" s="63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0</v>
      </c>
      <c r="BN11" s="64">
        <v>123855</v>
      </c>
      <c r="BO11" s="64">
        <v>124328</v>
      </c>
      <c r="BP11" s="64">
        <v>71272.251440000007</v>
      </c>
      <c r="BQ11" s="64">
        <v>75011</v>
      </c>
      <c r="BR11" s="64">
        <v>75437</v>
      </c>
      <c r="BS11" s="64">
        <v>199166</v>
      </c>
      <c r="BT11" s="64">
        <v>0</v>
      </c>
      <c r="BU11" s="64">
        <v>222437</v>
      </c>
      <c r="BV11" s="64">
        <v>482523</v>
      </c>
      <c r="BW11" s="61">
        <v>566985</v>
      </c>
      <c r="BX11" s="61">
        <v>848109</v>
      </c>
      <c r="BY11" s="61">
        <v>1224306</v>
      </c>
      <c r="BZ11" s="61">
        <v>1821008</v>
      </c>
      <c r="CA11" s="61">
        <v>1373731</v>
      </c>
      <c r="CB11" s="61">
        <v>1355327</v>
      </c>
      <c r="CC11" s="61">
        <v>1519966.0063457538</v>
      </c>
      <c r="CD11" s="61">
        <v>1882524</v>
      </c>
      <c r="CE11" s="61">
        <v>467184</v>
      </c>
      <c r="CF11" s="61">
        <f>+'[18]BP ANEXO'!AD10</f>
        <v>200006.33203948985</v>
      </c>
      <c r="CG11" s="61">
        <v>553</v>
      </c>
      <c r="CH11" s="61">
        <v>46928</v>
      </c>
      <c r="CI11" s="61">
        <v>25111</v>
      </c>
      <c r="CJ11" s="61">
        <v>451208.12901798007</v>
      </c>
      <c r="CK11" s="61">
        <v>393258</v>
      </c>
      <c r="CL11" s="61">
        <v>1654333</v>
      </c>
      <c r="CM11" s="61">
        <v>2206310</v>
      </c>
      <c r="CN11" s="111">
        <v>1978629</v>
      </c>
      <c r="CO11" s="111">
        <v>1212632</v>
      </c>
      <c r="CP11" s="111">
        <v>1330705</v>
      </c>
      <c r="CQ11" s="111">
        <v>1210318</v>
      </c>
      <c r="CR11" s="111">
        <v>216177</v>
      </c>
      <c r="CS11" s="111">
        <v>116157</v>
      </c>
      <c r="CT11" s="111">
        <v>343439</v>
      </c>
      <c r="CU11" s="111">
        <v>3354721</v>
      </c>
      <c r="CV11" s="111">
        <v>3446520</v>
      </c>
      <c r="CW11" s="111">
        <v>1253614</v>
      </c>
      <c r="CX11" s="111">
        <v>1415827</v>
      </c>
      <c r="CY11" s="111">
        <v>4200168</v>
      </c>
    </row>
    <row r="12" spans="1:103" ht="21.75" customHeight="1">
      <c r="A12" s="57" t="s">
        <v>278</v>
      </c>
      <c r="B12" s="60"/>
      <c r="C12" s="60"/>
      <c r="D12" s="60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111"/>
      <c r="R12" s="111"/>
      <c r="S12" s="111"/>
      <c r="T12" s="111"/>
      <c r="U12" s="111"/>
      <c r="V12" s="61"/>
      <c r="W12" s="61"/>
      <c r="X12" s="61"/>
      <c r="Y12" s="61"/>
      <c r="Z12" s="5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>
        <v>453425</v>
      </c>
      <c r="AL12" s="109">
        <v>599614</v>
      </c>
      <c r="AM12" s="109">
        <v>729200</v>
      </c>
      <c r="AN12" s="109">
        <v>662465</v>
      </c>
      <c r="AO12" s="109">
        <v>651651</v>
      </c>
      <c r="AP12" s="109">
        <v>786995</v>
      </c>
      <c r="AQ12" s="109">
        <v>1067231</v>
      </c>
      <c r="AR12" s="109">
        <v>1028481</v>
      </c>
      <c r="AS12" s="109">
        <v>1204744</v>
      </c>
      <c r="AT12" s="109">
        <v>1173067</v>
      </c>
      <c r="AU12" s="109">
        <v>1540781</v>
      </c>
      <c r="AV12" s="109">
        <v>1292547</v>
      </c>
      <c r="AW12" s="109">
        <v>3109940</v>
      </c>
      <c r="AX12" s="109">
        <v>2315939</v>
      </c>
      <c r="AY12" s="109">
        <v>1609795</v>
      </c>
      <c r="AZ12" s="109"/>
      <c r="BA12" s="62" t="s">
        <v>101</v>
      </c>
      <c r="BB12" s="60">
        <v>0</v>
      </c>
      <c r="BC12" s="60">
        <v>0</v>
      </c>
      <c r="BD12" s="60">
        <v>0</v>
      </c>
      <c r="BE12" s="61">
        <v>0</v>
      </c>
      <c r="BF12" s="61">
        <v>2550</v>
      </c>
      <c r="BG12" s="61">
        <v>1727</v>
      </c>
      <c r="BH12" s="61">
        <v>4466.2580900000003</v>
      </c>
      <c r="BI12" s="61">
        <v>664</v>
      </c>
      <c r="BJ12" s="61">
        <v>1603</v>
      </c>
      <c r="BK12" s="61">
        <v>705.09973000000002</v>
      </c>
      <c r="BL12" s="61">
        <v>1706.37699</v>
      </c>
      <c r="BM12" s="61">
        <v>687.98406</v>
      </c>
      <c r="BN12" s="61">
        <v>42290</v>
      </c>
      <c r="BO12" s="61">
        <v>41278</v>
      </c>
      <c r="BP12" s="61">
        <v>21491.214089999998</v>
      </c>
      <c r="BQ12" s="61">
        <v>21621</v>
      </c>
      <c r="BR12" s="61">
        <v>805</v>
      </c>
      <c r="BS12" s="61">
        <v>318</v>
      </c>
      <c r="BT12" s="61">
        <v>760</v>
      </c>
      <c r="BU12" s="61">
        <v>306</v>
      </c>
      <c r="BV12" s="61">
        <v>107361</v>
      </c>
      <c r="BW12" s="61">
        <v>40377</v>
      </c>
      <c r="BX12" s="61">
        <v>40755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7098.6502929239996</v>
      </c>
      <c r="CK12" s="61">
        <v>40514</v>
      </c>
      <c r="CL12" s="61">
        <v>7694</v>
      </c>
      <c r="CM12" s="61">
        <v>38857</v>
      </c>
      <c r="CN12" s="111">
        <v>8040</v>
      </c>
      <c r="CO12" s="111">
        <v>39430</v>
      </c>
      <c r="CP12" s="111">
        <v>7510</v>
      </c>
      <c r="CQ12" s="111">
        <v>101304</v>
      </c>
      <c r="CR12" s="111">
        <v>43687</v>
      </c>
      <c r="CS12" s="111">
        <v>133066</v>
      </c>
      <c r="CT12" s="111">
        <v>55924</v>
      </c>
      <c r="CU12" s="111">
        <v>121259</v>
      </c>
      <c r="CV12" s="111">
        <v>99000</v>
      </c>
      <c r="CW12" s="111">
        <v>220444</v>
      </c>
      <c r="CX12" s="111">
        <v>84058</v>
      </c>
      <c r="CY12" s="111">
        <v>194675</v>
      </c>
    </row>
    <row r="13" spans="1:103" ht="22.95" customHeight="1">
      <c r="A13" s="57" t="s">
        <v>103</v>
      </c>
      <c r="B13" s="60"/>
      <c r="C13" s="60"/>
      <c r="D13" s="60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111"/>
      <c r="R13" s="111"/>
      <c r="S13" s="111"/>
      <c r="T13" s="111"/>
      <c r="U13" s="111"/>
      <c r="V13" s="61"/>
      <c r="W13" s="61"/>
      <c r="X13" s="61"/>
      <c r="Y13" s="61"/>
      <c r="Z13" s="5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 t="s">
        <v>97</v>
      </c>
      <c r="AL13" s="109">
        <v>92436</v>
      </c>
      <c r="AM13" s="109">
        <v>199217</v>
      </c>
      <c r="AN13" s="109">
        <v>262462</v>
      </c>
      <c r="AO13" s="109">
        <v>347658</v>
      </c>
      <c r="AP13" s="109">
        <v>365340</v>
      </c>
      <c r="AQ13" s="109">
        <v>618807</v>
      </c>
      <c r="AR13" s="109">
        <v>835835</v>
      </c>
      <c r="AS13" s="109">
        <v>1203464</v>
      </c>
      <c r="AT13" s="109">
        <v>842846</v>
      </c>
      <c r="AU13" s="109">
        <v>703428</v>
      </c>
      <c r="AV13" s="109">
        <f>290626+520563</f>
        <v>811189</v>
      </c>
      <c r="AW13" s="109">
        <v>948010</v>
      </c>
      <c r="AX13" s="109">
        <v>1082681</v>
      </c>
      <c r="AY13" s="109">
        <v>1171395</v>
      </c>
      <c r="AZ13" s="109"/>
      <c r="BA13" s="57" t="s">
        <v>195</v>
      </c>
      <c r="BB13" s="60">
        <v>0</v>
      </c>
      <c r="BC13" s="60">
        <v>0</v>
      </c>
      <c r="BD13" s="60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1040.0435299999999</v>
      </c>
      <c r="BM13" s="61">
        <v>162.10763</v>
      </c>
      <c r="BN13" s="61">
        <v>0</v>
      </c>
      <c r="BO13" s="61">
        <v>2062</v>
      </c>
      <c r="BP13" s="61">
        <v>11794.366019999999</v>
      </c>
      <c r="BQ13" s="61">
        <v>0</v>
      </c>
      <c r="BR13" s="61">
        <v>0</v>
      </c>
      <c r="BS13" s="61">
        <v>10587</v>
      </c>
      <c r="BT13" s="61">
        <v>13445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605</v>
      </c>
      <c r="CI13" s="61">
        <v>0</v>
      </c>
      <c r="CJ13" s="61">
        <v>0</v>
      </c>
      <c r="CK13" s="61">
        <v>0</v>
      </c>
      <c r="CL13" s="61">
        <v>0</v>
      </c>
      <c r="CM13" s="23">
        <v>0</v>
      </c>
      <c r="CN13" s="61">
        <v>0</v>
      </c>
      <c r="CO13" s="61">
        <v>0</v>
      </c>
      <c r="CP13" s="61">
        <v>5814</v>
      </c>
      <c r="CQ13" s="61">
        <v>0</v>
      </c>
      <c r="CR13" s="61">
        <v>0</v>
      </c>
      <c r="CS13" s="61">
        <v>0</v>
      </c>
      <c r="CT13" s="61">
        <v>0</v>
      </c>
      <c r="CU13" s="111">
        <v>0</v>
      </c>
      <c r="CV13" s="111">
        <v>0</v>
      </c>
      <c r="CW13" s="111">
        <v>1012</v>
      </c>
      <c r="CX13" s="111">
        <v>226589</v>
      </c>
      <c r="CY13" s="111">
        <v>37205</v>
      </c>
    </row>
    <row r="14" spans="1:103" ht="20.100000000000001" customHeight="1">
      <c r="A14" s="57" t="s">
        <v>105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1">
        <v>0</v>
      </c>
      <c r="P14" s="6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61">
        <v>0</v>
      </c>
      <c r="W14" s="61">
        <v>1114</v>
      </c>
      <c r="X14" s="61">
        <v>5476</v>
      </c>
      <c r="Y14" s="61">
        <v>9354</v>
      </c>
      <c r="Z14" s="59">
        <v>350930</v>
      </c>
      <c r="AA14" s="109">
        <v>12538</v>
      </c>
      <c r="AB14" s="109">
        <v>58163</v>
      </c>
      <c r="AC14" s="109">
        <v>14925.649937999999</v>
      </c>
      <c r="AD14" s="109">
        <v>10994</v>
      </c>
      <c r="AE14" s="109">
        <v>19831</v>
      </c>
      <c r="AF14" s="109">
        <f>+'[18]BP ANEXO'!O14</f>
        <v>76976.780842072621</v>
      </c>
      <c r="AG14" s="109">
        <v>85839</v>
      </c>
      <c r="AH14" s="109">
        <v>0</v>
      </c>
      <c r="AI14" s="109">
        <v>0</v>
      </c>
      <c r="AJ14" s="109">
        <v>0</v>
      </c>
      <c r="AK14" s="109">
        <v>76012</v>
      </c>
      <c r="AL14" s="109">
        <v>138408</v>
      </c>
      <c r="AM14" s="109">
        <v>0</v>
      </c>
      <c r="AN14" s="109">
        <v>27828</v>
      </c>
      <c r="AO14" s="109">
        <v>358</v>
      </c>
      <c r="AP14" s="109">
        <v>0</v>
      </c>
      <c r="AQ14" s="109">
        <v>23424</v>
      </c>
      <c r="AR14" s="109">
        <v>46483</v>
      </c>
      <c r="AS14" s="109">
        <v>0</v>
      </c>
      <c r="AT14" s="109">
        <v>8293</v>
      </c>
      <c r="AU14" s="109">
        <v>337898</v>
      </c>
      <c r="AV14" s="109">
        <v>62184</v>
      </c>
      <c r="AW14" s="109">
        <v>0</v>
      </c>
      <c r="AX14" s="109">
        <v>0</v>
      </c>
      <c r="AY14" s="109">
        <v>0</v>
      </c>
      <c r="AZ14" s="109"/>
      <c r="BA14" s="62" t="s">
        <v>104</v>
      </c>
      <c r="BB14" s="61">
        <v>630</v>
      </c>
      <c r="BC14" s="61">
        <v>44913</v>
      </c>
      <c r="BD14" s="61">
        <v>24778</v>
      </c>
      <c r="BE14" s="61">
        <v>62495</v>
      </c>
      <c r="BF14" s="61">
        <v>43781</v>
      </c>
      <c r="BG14" s="61">
        <v>67336</v>
      </c>
      <c r="BH14" s="61">
        <v>96244.538172295259</v>
      </c>
      <c r="BI14" s="61">
        <v>7658</v>
      </c>
      <c r="BJ14" s="61">
        <v>7313</v>
      </c>
      <c r="BK14" s="61">
        <v>6630.0492653779966</v>
      </c>
      <c r="BL14" s="61">
        <v>6701.772764753583</v>
      </c>
      <c r="BM14" s="61">
        <v>4169.6950293127011</v>
      </c>
      <c r="BN14" s="61">
        <v>4062</v>
      </c>
      <c r="BO14" s="61">
        <v>8941</v>
      </c>
      <c r="BP14" s="61">
        <v>8642.6033781599999</v>
      </c>
      <c r="BQ14" s="61">
        <v>7129</v>
      </c>
      <c r="BR14" s="61">
        <v>6607</v>
      </c>
      <c r="BS14" s="61">
        <v>6445</v>
      </c>
      <c r="BT14" s="61">
        <v>4781</v>
      </c>
      <c r="BU14" s="61">
        <v>6792</v>
      </c>
      <c r="BV14" s="61">
        <v>1183</v>
      </c>
      <c r="BW14" s="61">
        <v>3116</v>
      </c>
      <c r="BX14" s="61">
        <v>131</v>
      </c>
      <c r="BY14" s="61">
        <v>40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111">
        <v>41780</v>
      </c>
      <c r="CO14" s="111">
        <v>0</v>
      </c>
      <c r="CP14" s="111">
        <v>4522</v>
      </c>
      <c r="CQ14" s="111">
        <v>0</v>
      </c>
      <c r="CR14" s="111">
        <v>0</v>
      </c>
      <c r="CS14" s="111">
        <v>191816</v>
      </c>
      <c r="CT14" s="111">
        <v>268443</v>
      </c>
      <c r="CU14" s="111">
        <v>161753</v>
      </c>
      <c r="CV14" s="111">
        <v>249871</v>
      </c>
      <c r="CW14" s="111">
        <v>240064</v>
      </c>
      <c r="CX14" s="111">
        <v>151254</v>
      </c>
      <c r="CY14" s="111">
        <v>382598</v>
      </c>
    </row>
    <row r="15" spans="1:103" ht="20.100000000000001" customHeight="1">
      <c r="A15" s="57" t="s">
        <v>107</v>
      </c>
      <c r="B15" s="63">
        <v>53413</v>
      </c>
      <c r="C15" s="63">
        <v>46955</v>
      </c>
      <c r="D15" s="63">
        <v>48254</v>
      </c>
      <c r="E15" s="64">
        <v>23957</v>
      </c>
      <c r="F15" s="64">
        <v>45477</v>
      </c>
      <c r="G15" s="64">
        <v>27591</v>
      </c>
      <c r="H15" s="64">
        <v>31470.883864499992</v>
      </c>
      <c r="I15" s="64">
        <v>28291</v>
      </c>
      <c r="J15" s="64">
        <v>30708</v>
      </c>
      <c r="K15" s="64">
        <v>26943.592700000001</v>
      </c>
      <c r="L15" s="64">
        <v>23895.476769999997</v>
      </c>
      <c r="M15" s="64">
        <v>23400.459750000002</v>
      </c>
      <c r="N15" s="64">
        <v>23658</v>
      </c>
      <c r="O15" s="61">
        <v>24413</v>
      </c>
      <c r="P15" s="61">
        <v>29663.727069999997</v>
      </c>
      <c r="Q15" s="111">
        <v>28781</v>
      </c>
      <c r="R15" s="111">
        <v>28822</v>
      </c>
      <c r="S15" s="111">
        <v>28615</v>
      </c>
      <c r="T15" s="111">
        <v>34684</v>
      </c>
      <c r="U15" s="111">
        <v>37949</v>
      </c>
      <c r="V15" s="61">
        <v>38161</v>
      </c>
      <c r="W15" s="61">
        <v>43104</v>
      </c>
      <c r="X15" s="61">
        <v>43517</v>
      </c>
      <c r="Y15" s="61">
        <v>52171</v>
      </c>
      <c r="Z15" s="59">
        <v>54760</v>
      </c>
      <c r="AA15" s="109">
        <v>54333</v>
      </c>
      <c r="AB15" s="109">
        <v>57509</v>
      </c>
      <c r="AC15" s="109">
        <v>58245.020395707346</v>
      </c>
      <c r="AD15" s="109">
        <v>62647</v>
      </c>
      <c r="AE15" s="109">
        <v>66160</v>
      </c>
      <c r="AF15" s="109">
        <f>+'[18]BP ANEXO'!O15</f>
        <v>72989.049905307402</v>
      </c>
      <c r="AG15" s="109">
        <v>84013</v>
      </c>
      <c r="AH15" s="109">
        <v>91437</v>
      </c>
      <c r="AI15" s="109">
        <v>129234</v>
      </c>
      <c r="AJ15" s="109">
        <v>307738.67835610796</v>
      </c>
      <c r="AK15" s="109">
        <v>186149</v>
      </c>
      <c r="AL15" s="109">
        <v>215079</v>
      </c>
      <c r="AM15" s="109">
        <v>137624</v>
      </c>
      <c r="AN15" s="109">
        <v>179957</v>
      </c>
      <c r="AO15" s="109">
        <v>100227</v>
      </c>
      <c r="AP15" s="109">
        <v>118646</v>
      </c>
      <c r="AQ15" s="109">
        <v>273093</v>
      </c>
      <c r="AR15" s="109">
        <v>392095</v>
      </c>
      <c r="AS15" s="109">
        <v>584337</v>
      </c>
      <c r="AT15" s="109">
        <v>295583</v>
      </c>
      <c r="AU15" s="109">
        <v>300041</v>
      </c>
      <c r="AV15" s="109">
        <v>310914</v>
      </c>
      <c r="AW15" s="109">
        <v>396090</v>
      </c>
      <c r="AX15" s="109">
        <v>206095</v>
      </c>
      <c r="AY15" s="109">
        <v>97430</v>
      </c>
      <c r="AZ15" s="109"/>
      <c r="BA15" s="62" t="s">
        <v>108</v>
      </c>
      <c r="BB15" s="60">
        <v>0</v>
      </c>
      <c r="BC15" s="63">
        <v>0</v>
      </c>
      <c r="BD15" s="63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224346</v>
      </c>
      <c r="BW15" s="61">
        <v>25214</v>
      </c>
      <c r="BX15" s="61">
        <v>25877</v>
      </c>
      <c r="BY15" s="61">
        <v>223049</v>
      </c>
      <c r="BZ15" s="61">
        <v>293226</v>
      </c>
      <c r="CA15" s="61">
        <v>295247</v>
      </c>
      <c r="CB15" s="61">
        <v>282297</v>
      </c>
      <c r="CC15" s="61">
        <v>223578.94095084368</v>
      </c>
      <c r="CD15" s="61">
        <v>189846</v>
      </c>
      <c r="CE15" s="61">
        <v>116230</v>
      </c>
      <c r="CF15" s="61">
        <f>+'[18]BP ANEXO'!AD13</f>
        <v>142169.89629573099</v>
      </c>
      <c r="CG15" s="61">
        <v>105905</v>
      </c>
      <c r="CH15" s="61">
        <v>122788</v>
      </c>
      <c r="CI15" s="61">
        <v>150743</v>
      </c>
      <c r="CJ15" s="61">
        <v>163912.10635542599</v>
      </c>
      <c r="CK15" s="61">
        <v>64547</v>
      </c>
      <c r="CL15" s="61">
        <v>137847</v>
      </c>
      <c r="CM15" s="61">
        <v>177407</v>
      </c>
      <c r="CN15" s="111">
        <v>207118</v>
      </c>
      <c r="CO15" s="111">
        <v>224502</v>
      </c>
      <c r="CP15" s="111">
        <v>232882</v>
      </c>
      <c r="CQ15" s="111">
        <v>283841</v>
      </c>
      <c r="CR15" s="111">
        <v>303649</v>
      </c>
      <c r="CS15" s="111">
        <v>329670</v>
      </c>
      <c r="CT15" s="111">
        <v>289544</v>
      </c>
      <c r="CU15" s="111">
        <v>278127</v>
      </c>
      <c r="CV15" s="111">
        <v>272580</v>
      </c>
      <c r="CW15" s="111">
        <v>299266</v>
      </c>
      <c r="CX15" s="111">
        <v>447655</v>
      </c>
      <c r="CY15" s="111">
        <v>367354</v>
      </c>
    </row>
    <row r="16" spans="1:103" ht="20.100000000000001" customHeight="1">
      <c r="A16" s="57" t="s">
        <v>109</v>
      </c>
      <c r="B16" s="63">
        <v>0</v>
      </c>
      <c r="C16" s="63">
        <v>0</v>
      </c>
      <c r="D16" s="61">
        <v>0</v>
      </c>
      <c r="E16" s="61">
        <v>7214</v>
      </c>
      <c r="F16" s="61">
        <v>0</v>
      </c>
      <c r="G16" s="61">
        <v>6512</v>
      </c>
      <c r="H16" s="61">
        <v>0</v>
      </c>
      <c r="I16" s="61">
        <v>0</v>
      </c>
      <c r="J16" s="61">
        <v>0</v>
      </c>
      <c r="K16" s="61">
        <v>0</v>
      </c>
      <c r="L16" s="64">
        <v>0</v>
      </c>
      <c r="M16" s="61">
        <v>0</v>
      </c>
      <c r="N16" s="61">
        <v>6051</v>
      </c>
      <c r="O16" s="61">
        <v>833</v>
      </c>
      <c r="P16" s="61">
        <v>2419.8404410000007</v>
      </c>
      <c r="Q16" s="111">
        <v>3639</v>
      </c>
      <c r="R16" s="111">
        <v>4007</v>
      </c>
      <c r="S16" s="111">
        <v>3089</v>
      </c>
      <c r="T16" s="111">
        <v>3178</v>
      </c>
      <c r="U16" s="111">
        <v>2922</v>
      </c>
      <c r="V16" s="61">
        <v>69829</v>
      </c>
      <c r="W16" s="61">
        <v>136684</v>
      </c>
      <c r="X16" s="61">
        <v>137565</v>
      </c>
      <c r="Y16" s="61">
        <v>86278</v>
      </c>
      <c r="Z16" s="59">
        <v>149181.43368334897</v>
      </c>
      <c r="AA16" s="109">
        <v>101187</v>
      </c>
      <c r="AB16" s="109">
        <v>72416</v>
      </c>
      <c r="AC16" s="109">
        <v>86997.161713746711</v>
      </c>
      <c r="AD16" s="109">
        <v>28153</v>
      </c>
      <c r="AE16" s="109">
        <v>14011</v>
      </c>
      <c r="AF16" s="109">
        <f>+'[18]BP ANEXO'!O16</f>
        <v>28477</v>
      </c>
      <c r="AG16" s="109">
        <v>33216</v>
      </c>
      <c r="AH16" s="109">
        <v>54933</v>
      </c>
      <c r="AI16" s="109">
        <v>51284</v>
      </c>
      <c r="AJ16" s="109">
        <v>35397.820447666003</v>
      </c>
      <c r="AK16" s="109">
        <v>31336</v>
      </c>
      <c r="AL16" s="109">
        <v>5574</v>
      </c>
      <c r="AM16" s="109">
        <v>1810</v>
      </c>
      <c r="AN16" s="109">
        <v>10650</v>
      </c>
      <c r="AO16" s="109">
        <v>93188</v>
      </c>
      <c r="AP16" s="109">
        <v>0</v>
      </c>
      <c r="AQ16" s="109">
        <v>1936</v>
      </c>
      <c r="AR16" s="109">
        <v>9258</v>
      </c>
      <c r="AS16" s="109">
        <v>0</v>
      </c>
      <c r="AT16" s="109">
        <v>0</v>
      </c>
      <c r="AU16" s="109">
        <v>0</v>
      </c>
      <c r="AV16" s="109">
        <v>0</v>
      </c>
      <c r="AW16" s="109">
        <v>0</v>
      </c>
      <c r="AX16" s="109">
        <v>0</v>
      </c>
      <c r="AY16" s="109">
        <v>0</v>
      </c>
      <c r="AZ16" s="109"/>
      <c r="BA16" s="62" t="s">
        <v>196</v>
      </c>
      <c r="BB16" s="60"/>
      <c r="BC16" s="63"/>
      <c r="BD16" s="63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1"/>
      <c r="BX16" s="61"/>
      <c r="BY16" s="61"/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177668</v>
      </c>
      <c r="CI16" s="61">
        <v>0</v>
      </c>
      <c r="CJ16" s="61">
        <v>0</v>
      </c>
      <c r="CK16" s="61">
        <v>0</v>
      </c>
      <c r="CL16" s="61">
        <v>279422</v>
      </c>
      <c r="CM16" s="61">
        <v>289861</v>
      </c>
      <c r="CN16" s="111">
        <v>275423</v>
      </c>
      <c r="CO16" s="111">
        <v>288465</v>
      </c>
      <c r="CP16" s="111">
        <v>826234</v>
      </c>
      <c r="CQ16" s="111">
        <v>935511</v>
      </c>
      <c r="CR16" s="111">
        <v>933139</v>
      </c>
      <c r="CS16" s="111">
        <v>1077584</v>
      </c>
      <c r="CT16" s="111">
        <v>0</v>
      </c>
      <c r="CU16" s="111">
        <v>0</v>
      </c>
      <c r="CV16" s="111">
        <v>0</v>
      </c>
      <c r="CW16" s="111">
        <v>0</v>
      </c>
      <c r="CX16" s="111">
        <v>0</v>
      </c>
      <c r="CY16" s="111">
        <v>0</v>
      </c>
    </row>
    <row r="17" spans="1:103" ht="20.100000000000001" customHeight="1" thickBot="1">
      <c r="A17" s="57" t="s">
        <v>111</v>
      </c>
      <c r="B17" s="63">
        <v>9300</v>
      </c>
      <c r="C17" s="63">
        <v>8776</v>
      </c>
      <c r="D17" s="63">
        <v>6144</v>
      </c>
      <c r="E17" s="64">
        <v>3486</v>
      </c>
      <c r="F17" s="64">
        <v>7642</v>
      </c>
      <c r="G17" s="64">
        <v>5599</v>
      </c>
      <c r="H17" s="64">
        <v>3393.3721861092135</v>
      </c>
      <c r="I17" s="64">
        <v>722</v>
      </c>
      <c r="J17" s="64">
        <v>6559</v>
      </c>
      <c r="K17" s="64">
        <v>5749.69283642964</v>
      </c>
      <c r="L17" s="64">
        <v>4303.9608851375197</v>
      </c>
      <c r="M17" s="64">
        <v>2696.1108547270001</v>
      </c>
      <c r="N17" s="64">
        <v>3267</v>
      </c>
      <c r="O17" s="59">
        <v>1484</v>
      </c>
      <c r="P17" s="59">
        <v>4453.6724436799996</v>
      </c>
      <c r="Q17" s="109">
        <v>3106</v>
      </c>
      <c r="R17" s="109">
        <v>4201</v>
      </c>
      <c r="S17" s="109">
        <v>2598</v>
      </c>
      <c r="T17" s="109">
        <v>2534</v>
      </c>
      <c r="U17" s="109">
        <v>1659</v>
      </c>
      <c r="V17" s="59">
        <v>5874</v>
      </c>
      <c r="W17" s="59">
        <v>12097</v>
      </c>
      <c r="X17" s="59">
        <v>9335</v>
      </c>
      <c r="Y17" s="59">
        <v>10333</v>
      </c>
      <c r="Z17" s="59">
        <v>8061.5165914099998</v>
      </c>
      <c r="AA17" s="109">
        <v>11013</v>
      </c>
      <c r="AB17" s="109">
        <v>28759</v>
      </c>
      <c r="AC17" s="109">
        <v>25594.370142931988</v>
      </c>
      <c r="AD17" s="109">
        <v>23233</v>
      </c>
      <c r="AE17" s="109">
        <v>15940</v>
      </c>
      <c r="AF17" s="109">
        <f>+'[18]BP ANEXO'!O17</f>
        <v>9351.7938127799971</v>
      </c>
      <c r="AG17" s="109">
        <v>9760</v>
      </c>
      <c r="AH17" s="109">
        <v>31995</v>
      </c>
      <c r="AI17" s="109">
        <v>26054</v>
      </c>
      <c r="AJ17" s="109">
        <v>18802.859992993999</v>
      </c>
      <c r="AK17" s="109">
        <v>10809</v>
      </c>
      <c r="AL17" s="109">
        <v>5342</v>
      </c>
      <c r="AM17" s="109">
        <v>13944</v>
      </c>
      <c r="AN17" s="109">
        <v>31060</v>
      </c>
      <c r="AO17" s="109">
        <v>22129</v>
      </c>
      <c r="AP17" s="109">
        <v>17694</v>
      </c>
      <c r="AQ17" s="109">
        <v>21857</v>
      </c>
      <c r="AR17" s="109">
        <v>14022</v>
      </c>
      <c r="AS17" s="109">
        <v>32832</v>
      </c>
      <c r="AT17" s="109">
        <v>47749</v>
      </c>
      <c r="AU17" s="109">
        <v>45023</v>
      </c>
      <c r="AV17" s="109">
        <v>42668</v>
      </c>
      <c r="AW17" s="109">
        <v>29481</v>
      </c>
      <c r="AX17" s="109">
        <v>55799</v>
      </c>
      <c r="AY17" s="109">
        <v>45259</v>
      </c>
      <c r="AZ17" s="109"/>
      <c r="BA17" s="158" t="s">
        <v>110</v>
      </c>
      <c r="BB17" s="159">
        <v>3011</v>
      </c>
      <c r="BC17" s="159">
        <v>56623</v>
      </c>
      <c r="BD17" s="159">
        <v>57708</v>
      </c>
      <c r="BE17" s="160">
        <v>25368</v>
      </c>
      <c r="BF17" s="160">
        <v>58271</v>
      </c>
      <c r="BG17" s="160">
        <v>888</v>
      </c>
      <c r="BH17" s="160">
        <v>929.03423529326096</v>
      </c>
      <c r="BI17" s="165">
        <v>4177</v>
      </c>
      <c r="BJ17" s="165">
        <v>3734</v>
      </c>
      <c r="BK17" s="165">
        <v>831.72340454116261</v>
      </c>
      <c r="BL17" s="165">
        <v>853.27070513434239</v>
      </c>
      <c r="BM17" s="165">
        <v>778.9804676550001</v>
      </c>
      <c r="BN17" s="165">
        <v>3290</v>
      </c>
      <c r="BO17" s="165">
        <v>0</v>
      </c>
      <c r="BP17" s="165">
        <v>0</v>
      </c>
      <c r="BQ17" s="165">
        <v>12500</v>
      </c>
      <c r="BR17" s="165">
        <v>286</v>
      </c>
      <c r="BS17" s="165">
        <v>286</v>
      </c>
      <c r="BT17" s="165">
        <v>0</v>
      </c>
      <c r="BU17" s="165">
        <v>16260</v>
      </c>
      <c r="BV17" s="165">
        <v>0</v>
      </c>
      <c r="BW17" s="165">
        <v>0</v>
      </c>
      <c r="BX17" s="165">
        <v>0</v>
      </c>
      <c r="BY17" s="165">
        <v>12356</v>
      </c>
      <c r="BZ17" s="165">
        <v>19</v>
      </c>
      <c r="CA17" s="165">
        <v>19</v>
      </c>
      <c r="CB17" s="165">
        <v>20</v>
      </c>
      <c r="CC17" s="165">
        <v>-9.1399999999999995E-2</v>
      </c>
      <c r="CD17" s="165">
        <v>-9.1399999999999995E-2</v>
      </c>
      <c r="CE17" s="165"/>
      <c r="CF17" s="165">
        <f>+'[18]BP ANEXO'!AD14</f>
        <v>448750.40860000002</v>
      </c>
      <c r="CG17" s="165">
        <v>376684</v>
      </c>
      <c r="CH17" s="165">
        <v>0</v>
      </c>
      <c r="CI17" s="165">
        <v>53827</v>
      </c>
      <c r="CJ17" s="165">
        <v>0</v>
      </c>
      <c r="CK17" s="165">
        <v>43433</v>
      </c>
      <c r="CL17" s="165">
        <v>24801</v>
      </c>
      <c r="CM17" s="165">
        <v>0</v>
      </c>
      <c r="CN17" s="315">
        <v>24800</v>
      </c>
      <c r="CO17" s="315">
        <v>4104</v>
      </c>
      <c r="CP17" s="315">
        <v>0</v>
      </c>
      <c r="CQ17" s="315">
        <v>0</v>
      </c>
      <c r="CR17" s="315">
        <v>0</v>
      </c>
      <c r="CS17" s="315">
        <v>0</v>
      </c>
      <c r="CT17" s="315">
        <v>0</v>
      </c>
      <c r="CU17" s="315">
        <v>0</v>
      </c>
      <c r="CV17" s="315">
        <v>0</v>
      </c>
      <c r="CW17" s="315">
        <v>0</v>
      </c>
      <c r="CX17" s="315">
        <v>15155</v>
      </c>
      <c r="CY17" s="315">
        <v>18128</v>
      </c>
    </row>
    <row r="18" spans="1:103" ht="20.100000000000001" customHeight="1">
      <c r="A18" s="57" t="s">
        <v>197</v>
      </c>
      <c r="B18" s="63"/>
      <c r="C18" s="63"/>
      <c r="D18" s="63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59"/>
      <c r="P18" s="59"/>
      <c r="Q18" s="109"/>
      <c r="R18" s="109"/>
      <c r="S18" s="109"/>
      <c r="T18" s="109"/>
      <c r="U18" s="109"/>
      <c r="V18" s="59"/>
      <c r="W18" s="59"/>
      <c r="X18" s="59"/>
      <c r="Y18" s="59"/>
      <c r="Z18" s="59"/>
      <c r="AA18" s="109"/>
      <c r="AB18" s="109"/>
      <c r="AC18" s="109"/>
      <c r="AD18" s="109"/>
      <c r="AE18" s="109"/>
      <c r="AF18" s="109"/>
      <c r="AG18" s="109">
        <v>0</v>
      </c>
      <c r="AH18" s="109">
        <v>0</v>
      </c>
      <c r="AI18" s="109">
        <v>0</v>
      </c>
      <c r="AJ18" s="109">
        <v>0</v>
      </c>
      <c r="AK18" s="109">
        <v>0</v>
      </c>
      <c r="AL18" s="109">
        <v>0</v>
      </c>
      <c r="AM18" s="109">
        <v>0</v>
      </c>
      <c r="AN18" s="109">
        <v>0</v>
      </c>
      <c r="AO18" s="109">
        <v>0</v>
      </c>
      <c r="AP18" s="109">
        <v>0</v>
      </c>
      <c r="AQ18" s="109">
        <v>0</v>
      </c>
      <c r="AR18" s="109">
        <v>1043311</v>
      </c>
      <c r="AS18" s="109">
        <v>0</v>
      </c>
      <c r="AT18" s="109">
        <v>0</v>
      </c>
      <c r="AU18" s="109">
        <v>0</v>
      </c>
      <c r="AV18" s="109">
        <v>0</v>
      </c>
      <c r="AW18" s="109">
        <v>0</v>
      </c>
      <c r="AX18" s="109">
        <v>0</v>
      </c>
      <c r="AY18" s="109">
        <v>0</v>
      </c>
      <c r="AZ18" s="109"/>
      <c r="BA18" s="65" t="s">
        <v>112</v>
      </c>
      <c r="BB18" s="103">
        <f t="shared" ref="BB18:CG18" si="0">SUM(BB8:BB17)</f>
        <v>224016</v>
      </c>
      <c r="BC18" s="103">
        <f t="shared" si="0"/>
        <v>248513</v>
      </c>
      <c r="BD18" s="103">
        <f t="shared" si="0"/>
        <v>231711</v>
      </c>
      <c r="BE18" s="103">
        <f t="shared" si="0"/>
        <v>154327</v>
      </c>
      <c r="BF18" s="103">
        <f t="shared" si="0"/>
        <v>200933</v>
      </c>
      <c r="BG18" s="103">
        <f t="shared" si="0"/>
        <v>124702</v>
      </c>
      <c r="BH18" s="103">
        <f t="shared" si="0"/>
        <v>185703.02615110506</v>
      </c>
      <c r="BI18" s="103">
        <f t="shared" si="0"/>
        <v>85423</v>
      </c>
      <c r="BJ18" s="103">
        <f t="shared" si="0"/>
        <v>106179</v>
      </c>
      <c r="BK18" s="103">
        <f t="shared" si="0"/>
        <v>74749.172392161898</v>
      </c>
      <c r="BL18" s="103">
        <f t="shared" si="0"/>
        <v>58346.002409594003</v>
      </c>
      <c r="BM18" s="103">
        <f t="shared" si="0"/>
        <v>79619.351306054668</v>
      </c>
      <c r="BN18" s="103">
        <f t="shared" si="0"/>
        <v>252578</v>
      </c>
      <c r="BO18" s="103">
        <f t="shared" si="0"/>
        <v>261714</v>
      </c>
      <c r="BP18" s="103">
        <f t="shared" si="0"/>
        <v>197822.37045543999</v>
      </c>
      <c r="BQ18" s="103">
        <f t="shared" si="0"/>
        <v>216851</v>
      </c>
      <c r="BR18" s="103">
        <f t="shared" si="0"/>
        <v>187515.033904696</v>
      </c>
      <c r="BS18" s="103">
        <f t="shared" si="0"/>
        <v>348922.51465177396</v>
      </c>
      <c r="BT18" s="103">
        <f t="shared" si="0"/>
        <v>167470.71374398199</v>
      </c>
      <c r="BU18" s="103">
        <f t="shared" si="0"/>
        <v>370986</v>
      </c>
      <c r="BV18" s="103">
        <f t="shared" si="0"/>
        <v>1007691</v>
      </c>
      <c r="BW18" s="103">
        <f t="shared" si="0"/>
        <v>879977</v>
      </c>
      <c r="BX18" s="103">
        <f t="shared" si="0"/>
        <v>1137572</v>
      </c>
      <c r="BY18" s="103">
        <f t="shared" si="0"/>
        <v>1669783</v>
      </c>
      <c r="BZ18" s="103">
        <f t="shared" si="0"/>
        <v>2322377</v>
      </c>
      <c r="CA18" s="103">
        <f t="shared" si="0"/>
        <v>1907633</v>
      </c>
      <c r="CB18" s="103">
        <f t="shared" si="0"/>
        <v>2050218</v>
      </c>
      <c r="CC18" s="103">
        <f t="shared" si="0"/>
        <v>2123032.1988354772</v>
      </c>
      <c r="CD18" s="103">
        <f t="shared" si="0"/>
        <v>2353596.9086000002</v>
      </c>
      <c r="CE18" s="103">
        <f t="shared" si="0"/>
        <v>907148</v>
      </c>
      <c r="CF18" s="103">
        <f t="shared" si="0"/>
        <v>1227999.5216379096</v>
      </c>
      <c r="CG18" s="103">
        <f t="shared" si="0"/>
        <v>1090499</v>
      </c>
      <c r="CH18" s="103">
        <f t="shared" ref="CH18:CX18" si="1">SUM(CH8:CH17)</f>
        <v>904949</v>
      </c>
      <c r="CI18" s="103">
        <f t="shared" si="1"/>
        <v>972762</v>
      </c>
      <c r="CJ18" s="103">
        <f t="shared" si="1"/>
        <v>1422361.6076961278</v>
      </c>
      <c r="CK18" s="103">
        <f t="shared" si="1"/>
        <v>1404393</v>
      </c>
      <c r="CL18" s="103">
        <f t="shared" si="1"/>
        <v>3194291</v>
      </c>
      <c r="CM18" s="103">
        <f t="shared" si="1"/>
        <v>4084031</v>
      </c>
      <c r="CN18" s="316">
        <f t="shared" si="1"/>
        <v>3877054</v>
      </c>
      <c r="CO18" s="316">
        <f t="shared" si="1"/>
        <v>3463811</v>
      </c>
      <c r="CP18" s="316">
        <f t="shared" si="1"/>
        <v>3634616</v>
      </c>
      <c r="CQ18" s="316">
        <f t="shared" si="1"/>
        <v>4549470</v>
      </c>
      <c r="CR18" s="316">
        <f t="shared" si="1"/>
        <v>3437339</v>
      </c>
      <c r="CS18" s="316">
        <f t="shared" si="1"/>
        <v>3688444</v>
      </c>
      <c r="CT18" s="316">
        <f t="shared" si="1"/>
        <v>2597087</v>
      </c>
      <c r="CU18" s="316">
        <f t="shared" si="1"/>
        <v>5898957</v>
      </c>
      <c r="CV18" s="316">
        <f t="shared" si="1"/>
        <v>6181008</v>
      </c>
      <c r="CW18" s="316">
        <f t="shared" si="1"/>
        <v>5262495</v>
      </c>
      <c r="CX18" s="316">
        <f t="shared" si="1"/>
        <v>5554527</v>
      </c>
      <c r="CY18" s="316">
        <f>SUM(CY8:CY17)</f>
        <v>8077164</v>
      </c>
    </row>
    <row r="19" spans="1:103" ht="20.100000000000001" customHeight="1" thickBot="1">
      <c r="A19" s="158" t="s">
        <v>113</v>
      </c>
      <c r="B19" s="159">
        <v>3436</v>
      </c>
      <c r="C19" s="159">
        <v>5176</v>
      </c>
      <c r="D19" s="159">
        <v>10065</v>
      </c>
      <c r="E19" s="160">
        <v>3495</v>
      </c>
      <c r="F19" s="160">
        <v>11668</v>
      </c>
      <c r="G19" s="160">
        <v>3324</v>
      </c>
      <c r="H19" s="160">
        <v>3943.2677595457599</v>
      </c>
      <c r="I19" s="160">
        <v>3546</v>
      </c>
      <c r="J19" s="160">
        <v>3337</v>
      </c>
      <c r="K19" s="160">
        <v>3153.7547165923856</v>
      </c>
      <c r="L19" s="160">
        <v>3307.7510736644813</v>
      </c>
      <c r="M19" s="160">
        <v>721.28098360399997</v>
      </c>
      <c r="N19" s="160">
        <v>1568</v>
      </c>
      <c r="O19" s="160">
        <v>1829</v>
      </c>
      <c r="P19" s="160">
        <v>1741.0842982477106</v>
      </c>
      <c r="Q19" s="161">
        <v>828</v>
      </c>
      <c r="R19" s="161">
        <v>738</v>
      </c>
      <c r="S19" s="161">
        <v>982</v>
      </c>
      <c r="T19" s="161">
        <v>1216</v>
      </c>
      <c r="U19" s="161">
        <v>202</v>
      </c>
      <c r="V19" s="160">
        <v>1673</v>
      </c>
      <c r="W19" s="160">
        <v>1658</v>
      </c>
      <c r="X19" s="160">
        <v>1701</v>
      </c>
      <c r="Y19" s="160">
        <v>189</v>
      </c>
      <c r="Z19" s="160">
        <v>0</v>
      </c>
      <c r="AA19" s="161">
        <v>0</v>
      </c>
      <c r="AB19" s="161">
        <v>0</v>
      </c>
      <c r="AC19" s="161">
        <v>0</v>
      </c>
      <c r="AD19" s="161">
        <v>613</v>
      </c>
      <c r="AE19" s="161">
        <v>1094</v>
      </c>
      <c r="AF19" s="161">
        <f>+'[18]BP ANEXO'!O18</f>
        <v>479.37828883802473</v>
      </c>
      <c r="AG19" s="161">
        <v>513</v>
      </c>
      <c r="AH19" s="161">
        <v>992</v>
      </c>
      <c r="AI19" s="161">
        <v>144</v>
      </c>
      <c r="AJ19" s="161">
        <v>3909.3719851365554</v>
      </c>
      <c r="AK19" s="161">
        <v>317</v>
      </c>
      <c r="AL19" s="161">
        <v>1353</v>
      </c>
      <c r="AM19" s="161">
        <v>1164</v>
      </c>
      <c r="AN19" s="161">
        <v>0</v>
      </c>
      <c r="AO19" s="161">
        <v>769</v>
      </c>
      <c r="AP19" s="161">
        <v>39903</v>
      </c>
      <c r="AQ19" s="161">
        <v>1645</v>
      </c>
      <c r="AR19" s="161">
        <v>1784</v>
      </c>
      <c r="AS19" s="161">
        <v>2066</v>
      </c>
      <c r="AT19" s="161">
        <v>1946</v>
      </c>
      <c r="AU19" s="161">
        <v>2524</v>
      </c>
      <c r="AV19" s="161">
        <v>2716</v>
      </c>
      <c r="AW19" s="161">
        <v>1353</v>
      </c>
      <c r="AX19" s="161">
        <v>1925</v>
      </c>
      <c r="AY19" s="161">
        <v>2312</v>
      </c>
      <c r="AZ19" s="109"/>
      <c r="BA19" s="65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316"/>
      <c r="CO19" s="316"/>
      <c r="CP19" s="316"/>
      <c r="CQ19" s="316"/>
      <c r="CR19" s="316"/>
      <c r="CS19" s="316"/>
      <c r="CT19" s="316"/>
      <c r="CU19" s="316"/>
      <c r="CV19" s="316"/>
      <c r="CW19" s="316"/>
      <c r="CX19" s="316"/>
      <c r="CY19" s="316"/>
    </row>
    <row r="20" spans="1:103" ht="20.100000000000001" customHeight="1">
      <c r="A20" s="65" t="s">
        <v>114</v>
      </c>
      <c r="B20" s="67">
        <f t="shared" ref="B20:AG20" si="2">SUM(B8:B19)</f>
        <v>389466</v>
      </c>
      <c r="C20" s="67">
        <f t="shared" si="2"/>
        <v>446839</v>
      </c>
      <c r="D20" s="67">
        <f t="shared" si="2"/>
        <v>487957</v>
      </c>
      <c r="E20" s="67">
        <f t="shared" si="2"/>
        <v>488933</v>
      </c>
      <c r="F20" s="67">
        <f t="shared" si="2"/>
        <v>428673</v>
      </c>
      <c r="G20" s="67">
        <f t="shared" si="2"/>
        <v>402361</v>
      </c>
      <c r="H20" s="67">
        <f t="shared" si="2"/>
        <v>701067.65713736031</v>
      </c>
      <c r="I20" s="67">
        <f t="shared" si="2"/>
        <v>774099</v>
      </c>
      <c r="J20" s="67">
        <f t="shared" si="2"/>
        <v>536094</v>
      </c>
      <c r="K20" s="67">
        <f t="shared" si="2"/>
        <v>475336.81209432869</v>
      </c>
      <c r="L20" s="67">
        <f t="shared" si="2"/>
        <v>566237.92393029889</v>
      </c>
      <c r="M20" s="67">
        <f t="shared" si="2"/>
        <v>628798.73581902019</v>
      </c>
      <c r="N20" s="67">
        <f t="shared" si="2"/>
        <v>749556</v>
      </c>
      <c r="O20" s="67">
        <f t="shared" si="2"/>
        <v>786181</v>
      </c>
      <c r="P20" s="67">
        <f t="shared" si="2"/>
        <v>784225.20374625165</v>
      </c>
      <c r="Q20" s="67">
        <f t="shared" si="2"/>
        <v>720673</v>
      </c>
      <c r="R20" s="67">
        <f t="shared" si="2"/>
        <v>663920</v>
      </c>
      <c r="S20" s="67">
        <f t="shared" si="2"/>
        <v>844879</v>
      </c>
      <c r="T20" s="67">
        <f t="shared" si="2"/>
        <v>608804</v>
      </c>
      <c r="U20" s="67">
        <f t="shared" si="2"/>
        <v>883726</v>
      </c>
      <c r="V20" s="67">
        <f t="shared" si="2"/>
        <v>415523</v>
      </c>
      <c r="W20" s="67">
        <f t="shared" si="2"/>
        <v>816516</v>
      </c>
      <c r="X20" s="67">
        <f t="shared" si="2"/>
        <v>907167</v>
      </c>
      <c r="Y20" s="67">
        <f t="shared" si="2"/>
        <v>1270843</v>
      </c>
      <c r="Z20" s="67">
        <f t="shared" si="2"/>
        <v>1437590.950274759</v>
      </c>
      <c r="AA20" s="67">
        <f t="shared" si="2"/>
        <v>1009348</v>
      </c>
      <c r="AB20" s="67">
        <f t="shared" si="2"/>
        <v>1175722</v>
      </c>
      <c r="AC20" s="67">
        <f t="shared" si="2"/>
        <v>1453989.205675432</v>
      </c>
      <c r="AD20" s="67">
        <f t="shared" si="2"/>
        <v>3521829</v>
      </c>
      <c r="AE20" s="67">
        <f t="shared" si="2"/>
        <v>4979910</v>
      </c>
      <c r="AF20" s="67">
        <f t="shared" si="2"/>
        <v>5006266.6374959666</v>
      </c>
      <c r="AG20" s="67">
        <f t="shared" si="2"/>
        <v>5779240</v>
      </c>
      <c r="AH20" s="67">
        <f t="shared" ref="AH20:AX20" si="3">SUM(AH8:AH19)</f>
        <v>6468159</v>
      </c>
      <c r="AI20" s="67">
        <f t="shared" si="3"/>
        <v>7655069</v>
      </c>
      <c r="AJ20" s="67">
        <f t="shared" si="3"/>
        <v>10736762.446134068</v>
      </c>
      <c r="AK20" s="67">
        <f t="shared" si="3"/>
        <v>10537313</v>
      </c>
      <c r="AL20" s="67">
        <f t="shared" si="3"/>
        <v>3815104</v>
      </c>
      <c r="AM20" s="67">
        <f t="shared" si="3"/>
        <v>3596108</v>
      </c>
      <c r="AN20" s="67">
        <f t="shared" si="3"/>
        <v>5013450</v>
      </c>
      <c r="AO20" s="67">
        <f t="shared" si="3"/>
        <v>5294874</v>
      </c>
      <c r="AP20" s="67">
        <f t="shared" si="3"/>
        <v>6790404</v>
      </c>
      <c r="AQ20" s="67">
        <f t="shared" si="3"/>
        <v>10549709</v>
      </c>
      <c r="AR20" s="67">
        <f t="shared" si="3"/>
        <v>17234001</v>
      </c>
      <c r="AS20" s="67">
        <f t="shared" si="3"/>
        <v>7952572</v>
      </c>
      <c r="AT20" s="67">
        <f t="shared" si="3"/>
        <v>8294219</v>
      </c>
      <c r="AU20" s="67">
        <f t="shared" si="3"/>
        <v>9062136</v>
      </c>
      <c r="AV20" s="67">
        <f t="shared" si="3"/>
        <v>13636387</v>
      </c>
      <c r="AW20" s="67">
        <f t="shared" si="3"/>
        <v>9573265</v>
      </c>
      <c r="AX20" s="67">
        <f t="shared" si="3"/>
        <v>10657530</v>
      </c>
      <c r="AY20" s="67">
        <f>SUM(AY8:AY19)</f>
        <v>10790262</v>
      </c>
      <c r="AZ20" s="109"/>
      <c r="BA20" s="47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317"/>
      <c r="CO20" s="317"/>
      <c r="CP20" s="317"/>
      <c r="CQ20" s="317"/>
      <c r="CR20" s="317"/>
      <c r="CS20" s="317"/>
      <c r="CT20" s="317"/>
      <c r="CU20" s="317"/>
      <c r="CV20" s="317"/>
      <c r="CW20" s="317"/>
      <c r="CX20" s="317"/>
      <c r="CY20" s="317"/>
    </row>
    <row r="21" spans="1:103" ht="20.100000000000001" customHeight="1" thickBot="1">
      <c r="AL21" s="23"/>
      <c r="AM21" s="23"/>
      <c r="AN21" s="23"/>
      <c r="AO21" s="23"/>
      <c r="AP21" s="23"/>
      <c r="AQ21" s="23"/>
      <c r="AR21" s="326"/>
      <c r="AS21" s="326"/>
      <c r="AT21" s="326"/>
      <c r="AU21" s="326"/>
      <c r="AV21" s="326"/>
      <c r="AW21" s="326"/>
      <c r="AX21" s="326"/>
      <c r="AY21" s="326"/>
      <c r="BA21" s="155" t="s">
        <v>115</v>
      </c>
      <c r="BB21" s="159"/>
      <c r="BC21" s="159"/>
      <c r="BD21" s="159"/>
      <c r="BE21" s="160"/>
      <c r="BF21" s="160"/>
      <c r="BG21" s="160"/>
      <c r="BH21" s="160"/>
      <c r="BI21" s="165"/>
      <c r="BJ21" s="165"/>
      <c r="BK21" s="165"/>
      <c r="BL21" s="165"/>
      <c r="BM21" s="165"/>
      <c r="BN21" s="165"/>
      <c r="BO21" s="165"/>
      <c r="BP21" s="165"/>
      <c r="BQ21" s="165">
        <v>0</v>
      </c>
      <c r="BR21" s="165">
        <v>0</v>
      </c>
      <c r="BS21" s="165">
        <v>0</v>
      </c>
      <c r="BT21" s="165">
        <v>0</v>
      </c>
      <c r="BU21" s="165">
        <v>0</v>
      </c>
      <c r="BV21" s="165">
        <v>0</v>
      </c>
      <c r="BW21" s="165">
        <v>0</v>
      </c>
      <c r="BX21" s="165">
        <v>0</v>
      </c>
      <c r="BY21" s="165">
        <v>0</v>
      </c>
      <c r="BZ21" s="165">
        <v>0</v>
      </c>
      <c r="CA21" s="165">
        <v>0</v>
      </c>
      <c r="CB21" s="165">
        <v>0</v>
      </c>
      <c r="CC21" s="166">
        <v>-2648.6740900000059</v>
      </c>
      <c r="CD21" s="166">
        <v>462</v>
      </c>
      <c r="CE21" s="166">
        <v>-2054</v>
      </c>
      <c r="CF21" s="166">
        <f>+'[18]BP ANEXO'!$AD$17</f>
        <v>-2845</v>
      </c>
      <c r="CG21" s="166">
        <v>-4502</v>
      </c>
      <c r="CH21" s="166">
        <v>0</v>
      </c>
      <c r="CI21" s="166">
        <v>0</v>
      </c>
      <c r="CJ21" s="166">
        <v>0</v>
      </c>
      <c r="CK21" s="166">
        <v>-16654</v>
      </c>
      <c r="CL21" s="166">
        <v>-16514</v>
      </c>
      <c r="CM21" s="166">
        <v>-16619</v>
      </c>
      <c r="CN21" s="166">
        <v>-19363</v>
      </c>
      <c r="CO21" s="166">
        <v>0</v>
      </c>
      <c r="CP21" s="166">
        <v>0</v>
      </c>
      <c r="CQ21" s="166">
        <v>0</v>
      </c>
      <c r="CR21" s="166">
        <v>0</v>
      </c>
      <c r="CS21" s="166">
        <v>0</v>
      </c>
      <c r="CT21" s="166">
        <v>0</v>
      </c>
      <c r="CU21" s="166">
        <v>0</v>
      </c>
      <c r="CV21" s="166">
        <v>0</v>
      </c>
      <c r="CW21" s="166">
        <v>0</v>
      </c>
      <c r="CX21" s="166">
        <v>0</v>
      </c>
      <c r="CY21" s="166">
        <v>0</v>
      </c>
    </row>
    <row r="22" spans="1:103" ht="20.100000000000001" customHeight="1">
      <c r="AL22" s="23"/>
      <c r="AM22" s="23"/>
      <c r="AN22" s="23"/>
      <c r="AO22" s="23"/>
      <c r="AP22" s="23"/>
      <c r="AQ22" s="23"/>
      <c r="AR22" s="25"/>
      <c r="AS22" s="25"/>
      <c r="AT22" s="25"/>
      <c r="AU22" s="25"/>
      <c r="AV22" s="25"/>
      <c r="AW22" s="25"/>
      <c r="AX22" s="25"/>
      <c r="AY22" s="25"/>
      <c r="BA22" s="47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3">
        <f t="shared" ref="BQ22:CB22" si="4">SUM(BQ21,BQ18)</f>
        <v>216851</v>
      </c>
      <c r="BR22" s="103">
        <f t="shared" si="4"/>
        <v>187515.033904696</v>
      </c>
      <c r="BS22" s="103">
        <f t="shared" si="4"/>
        <v>348922.51465177396</v>
      </c>
      <c r="BT22" s="103">
        <f t="shared" si="4"/>
        <v>167470.71374398199</v>
      </c>
      <c r="BU22" s="103">
        <f t="shared" si="4"/>
        <v>370986</v>
      </c>
      <c r="BV22" s="103">
        <f t="shared" si="4"/>
        <v>1007691</v>
      </c>
      <c r="BW22" s="103">
        <f t="shared" si="4"/>
        <v>879977</v>
      </c>
      <c r="BX22" s="103">
        <f t="shared" si="4"/>
        <v>1137572</v>
      </c>
      <c r="BY22" s="103">
        <f t="shared" si="4"/>
        <v>1669783</v>
      </c>
      <c r="BZ22" s="103">
        <f t="shared" si="4"/>
        <v>2322377</v>
      </c>
      <c r="CA22" s="103">
        <f t="shared" si="4"/>
        <v>1907633</v>
      </c>
      <c r="CB22" s="103">
        <f t="shared" si="4"/>
        <v>2050218</v>
      </c>
      <c r="CC22" s="103">
        <f>SUM(CC21,CC18)</f>
        <v>2120383.5247454774</v>
      </c>
      <c r="CD22" s="103">
        <f t="shared" ref="CD22" si="5">SUM(CD21,CD18)</f>
        <v>2354058.9086000002</v>
      </c>
      <c r="CE22" s="103">
        <f t="shared" ref="CE22" si="6">SUM(CE21,CE18)</f>
        <v>905094</v>
      </c>
      <c r="CF22" s="103">
        <f t="shared" ref="CF22" si="7">SUM(CF21,CF18)</f>
        <v>1225154.5216379096</v>
      </c>
      <c r="CG22" s="103">
        <f t="shared" ref="CG22" si="8">SUM(CG21,CG18)</f>
        <v>1085997</v>
      </c>
      <c r="CH22" s="103">
        <f t="shared" ref="CH22:CJ22" si="9">SUM(CH21,CH18)</f>
        <v>904949</v>
      </c>
      <c r="CI22" s="103">
        <f t="shared" si="9"/>
        <v>972762</v>
      </c>
      <c r="CJ22" s="103">
        <f t="shared" si="9"/>
        <v>1422361.6076961278</v>
      </c>
      <c r="CK22" s="103">
        <f t="shared" ref="CK22:CP22" si="10">SUM(CK21,CK18)</f>
        <v>1387739</v>
      </c>
      <c r="CL22" s="103">
        <f t="shared" si="10"/>
        <v>3177777</v>
      </c>
      <c r="CM22" s="103">
        <f t="shared" ref="CM22" si="11">SUM(CM21,CM18)</f>
        <v>4067412</v>
      </c>
      <c r="CN22" s="316">
        <f t="shared" si="10"/>
        <v>3857691</v>
      </c>
      <c r="CO22" s="316">
        <f t="shared" si="10"/>
        <v>3463811</v>
      </c>
      <c r="CP22" s="316">
        <f t="shared" si="10"/>
        <v>3634616</v>
      </c>
      <c r="CQ22" s="316">
        <f t="shared" ref="CQ22:CR22" si="12">SUM(CQ21,CQ18)</f>
        <v>4549470</v>
      </c>
      <c r="CR22" s="316">
        <f t="shared" si="12"/>
        <v>3437339</v>
      </c>
      <c r="CS22" s="316">
        <f t="shared" ref="CS22:CT22" si="13">SUM(CS21,CS18)</f>
        <v>3688444</v>
      </c>
      <c r="CT22" s="316">
        <f t="shared" si="13"/>
        <v>2597087</v>
      </c>
      <c r="CU22" s="316">
        <f t="shared" ref="CU22:CV22" si="14">SUM(CU21,CU18)</f>
        <v>5898957</v>
      </c>
      <c r="CV22" s="316">
        <f t="shared" si="14"/>
        <v>6181008</v>
      </c>
      <c r="CW22" s="316">
        <f t="shared" ref="CW22" si="15">SUM(CW21,CW18)</f>
        <v>5262495</v>
      </c>
      <c r="CX22" s="316">
        <f t="shared" ref="CX22" si="16">SUM(CX21,CX18)</f>
        <v>5554527</v>
      </c>
      <c r="CY22" s="316">
        <f>SUM(CY21,CY18)</f>
        <v>8077164</v>
      </c>
    </row>
    <row r="23" spans="1:103" ht="20.100000000000001" customHeight="1">
      <c r="A23" s="65"/>
      <c r="B23" s="65"/>
      <c r="C23" s="65"/>
      <c r="D23" s="65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65"/>
      <c r="R23" s="65"/>
      <c r="S23" s="65"/>
      <c r="T23" s="65"/>
      <c r="U23" s="65"/>
      <c r="V23" s="48"/>
      <c r="W23" s="48"/>
      <c r="X23" s="48"/>
      <c r="Y23" s="48"/>
      <c r="Z23" s="48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BA23" s="47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17"/>
      <c r="CY23" s="317"/>
    </row>
    <row r="24" spans="1:103" ht="20.100000000000001" customHeight="1" thickBot="1"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BA24" s="167" t="s">
        <v>116</v>
      </c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8"/>
      <c r="CX24" s="318"/>
      <c r="CY24" s="318"/>
    </row>
    <row r="25" spans="1:103" ht="20.100000000000001" customHeight="1" thickBot="1">
      <c r="A25" s="155" t="s">
        <v>117</v>
      </c>
      <c r="B25" s="162">
        <v>145090</v>
      </c>
      <c r="C25" s="162">
        <v>143771</v>
      </c>
      <c r="D25" s="162">
        <v>152403</v>
      </c>
      <c r="E25" s="163">
        <v>258158</v>
      </c>
      <c r="F25" s="163">
        <v>263530</v>
      </c>
      <c r="G25" s="163">
        <v>247327</v>
      </c>
      <c r="H25" s="163">
        <v>154870.48199162513</v>
      </c>
      <c r="I25" s="163">
        <v>73644</v>
      </c>
      <c r="J25" s="163">
        <v>66391</v>
      </c>
      <c r="K25" s="163">
        <v>53587.610993233735</v>
      </c>
      <c r="L25" s="163">
        <v>50056.403993157015</v>
      </c>
      <c r="M25" s="163">
        <v>50255.322</v>
      </c>
      <c r="N25" s="163">
        <v>48857</v>
      </c>
      <c r="O25" s="163">
        <v>28318</v>
      </c>
      <c r="P25" s="163">
        <v>27118.080000000002</v>
      </c>
      <c r="Q25" s="162">
        <v>28316</v>
      </c>
      <c r="R25" s="162">
        <v>28452</v>
      </c>
      <c r="S25" s="162">
        <v>29535</v>
      </c>
      <c r="T25" s="162">
        <v>27467</v>
      </c>
      <c r="U25" s="162">
        <v>26581</v>
      </c>
      <c r="V25" s="163">
        <v>26731</v>
      </c>
      <c r="W25" s="163">
        <v>26289</v>
      </c>
      <c r="X25" s="163">
        <v>28568</v>
      </c>
      <c r="Y25" s="163">
        <v>0</v>
      </c>
      <c r="Z25" s="163">
        <v>0</v>
      </c>
      <c r="AA25" s="162">
        <v>0</v>
      </c>
      <c r="AB25" s="162">
        <v>0</v>
      </c>
      <c r="AC25" s="162">
        <v>68438.994384033998</v>
      </c>
      <c r="AD25" s="162">
        <v>74533</v>
      </c>
      <c r="AE25" s="162">
        <v>70110</v>
      </c>
      <c r="AF25" s="162">
        <f>+'[18]BP ANEXO'!$O$23</f>
        <v>72665</v>
      </c>
      <c r="AG25" s="162">
        <v>74508</v>
      </c>
      <c r="AH25" s="162">
        <v>0</v>
      </c>
      <c r="AI25" s="162">
        <v>0</v>
      </c>
      <c r="AJ25" s="162">
        <v>0</v>
      </c>
      <c r="AK25" s="162">
        <v>65314</v>
      </c>
      <c r="AL25" s="162">
        <v>69219</v>
      </c>
      <c r="AM25" s="162">
        <v>67915</v>
      </c>
      <c r="AN25" s="162">
        <v>73084</v>
      </c>
      <c r="AO25" s="162">
        <v>0</v>
      </c>
      <c r="AP25" s="162">
        <v>0</v>
      </c>
      <c r="AQ25" s="162">
        <v>0</v>
      </c>
      <c r="AR25" s="162">
        <v>0</v>
      </c>
      <c r="AS25" s="162">
        <v>0</v>
      </c>
      <c r="AT25" s="162">
        <v>0</v>
      </c>
      <c r="AU25" s="162">
        <v>0</v>
      </c>
      <c r="AV25" s="162">
        <v>0</v>
      </c>
      <c r="AW25" s="162">
        <v>0</v>
      </c>
      <c r="AX25" s="162">
        <v>0</v>
      </c>
      <c r="AY25" s="162">
        <v>0</v>
      </c>
      <c r="BA25" s="57" t="s">
        <v>93</v>
      </c>
      <c r="BB25" s="61">
        <v>0</v>
      </c>
      <c r="BC25" s="61">
        <v>0</v>
      </c>
      <c r="BD25" s="108">
        <v>0</v>
      </c>
      <c r="BE25" s="61">
        <v>12710</v>
      </c>
      <c r="BF25" s="108">
        <v>0</v>
      </c>
      <c r="BG25" s="61">
        <v>12710</v>
      </c>
      <c r="BH25" s="61">
        <v>12709.617050000001</v>
      </c>
      <c r="BI25" s="61">
        <v>12710</v>
      </c>
      <c r="BJ25" s="61">
        <v>12710</v>
      </c>
      <c r="BK25" s="61">
        <v>12709.617050000001</v>
      </c>
      <c r="BL25" s="61">
        <v>12709.59546</v>
      </c>
      <c r="BM25" s="61">
        <v>12828.120093675348</v>
      </c>
      <c r="BN25" s="61">
        <v>13456</v>
      </c>
      <c r="BO25" s="61">
        <v>13456</v>
      </c>
      <c r="BP25" s="61">
        <v>13455.962000000001</v>
      </c>
      <c r="BQ25" s="61">
        <v>13456</v>
      </c>
      <c r="BR25" s="61">
        <v>13161</v>
      </c>
      <c r="BS25" s="61">
        <v>13161</v>
      </c>
      <c r="BT25" s="61">
        <v>13161</v>
      </c>
      <c r="BU25" s="61">
        <v>13413</v>
      </c>
      <c r="BV25" s="61">
        <v>13413</v>
      </c>
      <c r="BW25" s="61">
        <v>13413</v>
      </c>
      <c r="BX25" s="61">
        <v>13447</v>
      </c>
      <c r="BY25" s="61">
        <v>13233</v>
      </c>
      <c r="BZ25" s="61">
        <v>13640</v>
      </c>
      <c r="CA25" s="61">
        <v>14410</v>
      </c>
      <c r="CB25" s="61">
        <v>13660</v>
      </c>
      <c r="CC25" s="61">
        <v>13640.187148311001</v>
      </c>
      <c r="CD25" s="61">
        <v>13448</v>
      </c>
      <c r="CE25" s="61">
        <v>13444</v>
      </c>
      <c r="CF25" s="61">
        <f>+'[18]BP ANEXO'!$AD$20</f>
        <v>12995.269710023927</v>
      </c>
      <c r="CG25" s="61">
        <v>400</v>
      </c>
      <c r="CH25" s="61">
        <v>380</v>
      </c>
      <c r="CI25" s="61">
        <v>508</v>
      </c>
      <c r="CJ25" s="61">
        <v>88.227985297999766</v>
      </c>
      <c r="CK25" s="61">
        <v>1503</v>
      </c>
      <c r="CL25" s="61" t="s">
        <v>97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111">
        <v>0</v>
      </c>
      <c r="CV25" s="111">
        <v>0</v>
      </c>
      <c r="CW25" s="111">
        <v>0</v>
      </c>
      <c r="CX25" s="111">
        <v>0</v>
      </c>
      <c r="CY25" s="111">
        <v>0</v>
      </c>
    </row>
    <row r="26" spans="1:103" ht="20.100000000000001" customHeight="1">
      <c r="A26" s="65"/>
      <c r="B26" s="66">
        <f t="shared" ref="B26:AE26" si="17">SUM(B25,B20)</f>
        <v>534556</v>
      </c>
      <c r="C26" s="66">
        <f t="shared" si="17"/>
        <v>590610</v>
      </c>
      <c r="D26" s="66">
        <f t="shared" si="17"/>
        <v>640360</v>
      </c>
      <c r="E26" s="66">
        <f t="shared" si="17"/>
        <v>747091</v>
      </c>
      <c r="F26" s="66">
        <f t="shared" si="17"/>
        <v>692203</v>
      </c>
      <c r="G26" s="66">
        <f t="shared" si="17"/>
        <v>649688</v>
      </c>
      <c r="H26" s="66">
        <f t="shared" si="17"/>
        <v>855938.13912898547</v>
      </c>
      <c r="I26" s="66">
        <f t="shared" si="17"/>
        <v>847743</v>
      </c>
      <c r="J26" s="66">
        <f t="shared" si="17"/>
        <v>602485</v>
      </c>
      <c r="K26" s="66">
        <f t="shared" si="17"/>
        <v>528924.42308756243</v>
      </c>
      <c r="L26" s="66">
        <f t="shared" si="17"/>
        <v>616294.32792345586</v>
      </c>
      <c r="M26" s="66">
        <f t="shared" si="17"/>
        <v>679054.05781902024</v>
      </c>
      <c r="N26" s="66">
        <f t="shared" si="17"/>
        <v>798413</v>
      </c>
      <c r="O26" s="66">
        <f t="shared" si="17"/>
        <v>814499</v>
      </c>
      <c r="P26" s="66">
        <f t="shared" si="17"/>
        <v>811343.2837462516</v>
      </c>
      <c r="Q26" s="96">
        <f t="shared" si="17"/>
        <v>748989</v>
      </c>
      <c r="R26" s="96">
        <f t="shared" si="17"/>
        <v>692372</v>
      </c>
      <c r="S26" s="96">
        <f t="shared" si="17"/>
        <v>874414</v>
      </c>
      <c r="T26" s="96">
        <f t="shared" si="17"/>
        <v>636271</v>
      </c>
      <c r="U26" s="96">
        <f t="shared" si="17"/>
        <v>910307</v>
      </c>
      <c r="V26" s="66">
        <f t="shared" si="17"/>
        <v>442254</v>
      </c>
      <c r="W26" s="66">
        <f t="shared" si="17"/>
        <v>842805</v>
      </c>
      <c r="X26" s="66">
        <f t="shared" si="17"/>
        <v>935735</v>
      </c>
      <c r="Y26" s="66">
        <f t="shared" si="17"/>
        <v>1270843</v>
      </c>
      <c r="Z26" s="66">
        <f t="shared" si="17"/>
        <v>1437590.950274759</v>
      </c>
      <c r="AA26" s="96">
        <f t="shared" si="17"/>
        <v>1009348</v>
      </c>
      <c r="AB26" s="96">
        <f t="shared" si="17"/>
        <v>1175722</v>
      </c>
      <c r="AC26" s="96">
        <f t="shared" si="17"/>
        <v>1522428.2000594661</v>
      </c>
      <c r="AD26" s="96">
        <f t="shared" si="17"/>
        <v>3596362</v>
      </c>
      <c r="AE26" s="96">
        <f t="shared" si="17"/>
        <v>5050020</v>
      </c>
      <c r="AF26" s="96">
        <f t="shared" ref="AF26" si="18">SUM(AF25,AF20)</f>
        <v>5078931.6374959666</v>
      </c>
      <c r="AG26" s="96">
        <f t="shared" ref="AG26" si="19">SUM(AG25,AG20)</f>
        <v>5853748</v>
      </c>
      <c r="AH26" s="96">
        <f t="shared" ref="AH26:AJ26" si="20">SUM(AH25,AH20)</f>
        <v>6468159</v>
      </c>
      <c r="AI26" s="96">
        <f t="shared" si="20"/>
        <v>7655069</v>
      </c>
      <c r="AJ26" s="96">
        <f t="shared" si="20"/>
        <v>10736762.446134068</v>
      </c>
      <c r="AK26" s="96">
        <f t="shared" ref="AK26:AP26" si="21">SUM(AK25,AK20)</f>
        <v>10602627</v>
      </c>
      <c r="AL26" s="96">
        <f t="shared" si="21"/>
        <v>3884323</v>
      </c>
      <c r="AM26" s="96">
        <f t="shared" si="21"/>
        <v>3664023</v>
      </c>
      <c r="AN26" s="96">
        <f t="shared" si="21"/>
        <v>5086534</v>
      </c>
      <c r="AO26" s="96">
        <f t="shared" si="21"/>
        <v>5294874</v>
      </c>
      <c r="AP26" s="96">
        <f t="shared" si="21"/>
        <v>6790404</v>
      </c>
      <c r="AQ26" s="96">
        <f t="shared" ref="AQ26:AS26" si="22">SUM(AQ25,AQ20)</f>
        <v>10549709</v>
      </c>
      <c r="AR26" s="96">
        <f t="shared" ref="AR26" si="23">SUM(AR25,AR20)</f>
        <v>17234001</v>
      </c>
      <c r="AS26" s="96">
        <f t="shared" si="22"/>
        <v>7952572</v>
      </c>
      <c r="AT26" s="96">
        <f t="shared" ref="AT26:AU26" si="24">SUM(AT25,AT20)</f>
        <v>8294219</v>
      </c>
      <c r="AU26" s="96">
        <f t="shared" si="24"/>
        <v>9062136</v>
      </c>
      <c r="AV26" s="96">
        <f t="shared" ref="AV26:AW26" si="25">SUM(AV25,AV20)</f>
        <v>13636387</v>
      </c>
      <c r="AW26" s="96">
        <f t="shared" si="25"/>
        <v>9573265</v>
      </c>
      <c r="AX26" s="96">
        <f t="shared" ref="AX26" si="26">SUM(AX25,AX20)</f>
        <v>10657530</v>
      </c>
      <c r="AY26" s="96">
        <f>SUM(AY25,AY20)</f>
        <v>10790262</v>
      </c>
      <c r="BA26" s="62" t="s">
        <v>118</v>
      </c>
      <c r="BB26" s="61">
        <v>0</v>
      </c>
      <c r="BC26" s="61">
        <v>0</v>
      </c>
      <c r="BD26" s="61">
        <v>0</v>
      </c>
      <c r="BE26" s="61">
        <v>87568</v>
      </c>
      <c r="BF26" s="61">
        <v>87192</v>
      </c>
      <c r="BG26" s="61">
        <v>87192</v>
      </c>
      <c r="BH26" s="61">
        <v>87192.48</v>
      </c>
      <c r="BI26" s="61">
        <v>31461</v>
      </c>
      <c r="BJ26" s="61">
        <v>31454</v>
      </c>
      <c r="BK26" s="61">
        <v>31430.58</v>
      </c>
      <c r="BL26" s="61">
        <v>31430.58</v>
      </c>
      <c r="BM26" s="61">
        <v>31430.58</v>
      </c>
      <c r="BN26" s="61">
        <v>31431</v>
      </c>
      <c r="BO26" s="61">
        <v>31431</v>
      </c>
      <c r="BP26" s="61">
        <v>31393.32</v>
      </c>
      <c r="BQ26" s="61">
        <v>31391</v>
      </c>
      <c r="BR26" s="61">
        <v>31245</v>
      </c>
      <c r="BS26" s="61">
        <v>31241</v>
      </c>
      <c r="BT26" s="61">
        <v>31241</v>
      </c>
      <c r="BU26" s="61">
        <v>69366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/>
      <c r="CF26" s="61">
        <f>+'[18]BP ANEXO'!$AD$22</f>
        <v>0</v>
      </c>
      <c r="CG26" s="61">
        <v>0</v>
      </c>
      <c r="CH26" s="61">
        <v>0</v>
      </c>
      <c r="CI26" s="61">
        <v>0</v>
      </c>
      <c r="CJ26" s="61">
        <v>2027340.770287734</v>
      </c>
      <c r="CK26" s="61">
        <v>1950208</v>
      </c>
      <c r="CL26" s="61">
        <v>1895183</v>
      </c>
      <c r="CM26" s="61">
        <v>4389772</v>
      </c>
      <c r="CN26" s="61">
        <v>1871454</v>
      </c>
      <c r="CO26" s="61">
        <v>1800248</v>
      </c>
      <c r="CP26" s="61">
        <v>3841843</v>
      </c>
      <c r="CQ26" s="61">
        <v>5650563</v>
      </c>
      <c r="CR26" s="61">
        <v>5550407</v>
      </c>
      <c r="CS26" s="61">
        <v>6332805</v>
      </c>
      <c r="CT26" s="61">
        <v>7069432</v>
      </c>
      <c r="CU26" s="111">
        <v>6681175</v>
      </c>
      <c r="CV26" s="111">
        <v>9387775</v>
      </c>
      <c r="CW26" s="111">
        <v>9722753</v>
      </c>
      <c r="CX26" s="111">
        <v>9271255</v>
      </c>
      <c r="CY26" s="111">
        <v>9208212</v>
      </c>
    </row>
    <row r="27" spans="1:103" ht="20.100000000000001" customHeight="1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96"/>
      <c r="R27" s="96"/>
      <c r="S27" s="96"/>
      <c r="T27" s="96"/>
      <c r="U27" s="96"/>
      <c r="V27" s="66"/>
      <c r="W27" s="66"/>
      <c r="X27" s="66"/>
      <c r="Y27" s="66"/>
      <c r="Z27" s="6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BA27" s="62" t="s">
        <v>198</v>
      </c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>
        <v>39328.783308246013</v>
      </c>
      <c r="CK27" s="61">
        <v>89310</v>
      </c>
      <c r="CL27" s="61">
        <v>47150</v>
      </c>
      <c r="CM27" s="61">
        <v>0</v>
      </c>
      <c r="CN27" s="61">
        <v>0</v>
      </c>
      <c r="CO27" s="61">
        <v>0</v>
      </c>
      <c r="CP27" s="61">
        <v>0</v>
      </c>
      <c r="CQ27" s="61">
        <v>634194</v>
      </c>
      <c r="CR27" s="61">
        <v>690408</v>
      </c>
      <c r="CS27" s="61">
        <v>1483243</v>
      </c>
      <c r="CT27" s="61">
        <v>1099505</v>
      </c>
      <c r="CU27" s="111">
        <v>553699</v>
      </c>
      <c r="CV27" s="111">
        <v>372964</v>
      </c>
      <c r="CW27" s="111">
        <v>682615</v>
      </c>
      <c r="CX27" s="111">
        <v>552031</v>
      </c>
      <c r="CY27" s="111">
        <v>193763</v>
      </c>
    </row>
    <row r="28" spans="1:103" ht="19.5" customHeight="1">
      <c r="A28" s="65"/>
      <c r="B28" s="66"/>
      <c r="C28" s="66"/>
      <c r="D28" s="6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96"/>
      <c r="R28" s="96"/>
      <c r="S28" s="96"/>
      <c r="T28" s="96"/>
      <c r="U28" s="96"/>
      <c r="V28" s="46"/>
      <c r="W28" s="46"/>
      <c r="X28" s="46"/>
      <c r="Y28" s="46"/>
      <c r="Z28" s="4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BA28" s="62" t="s">
        <v>100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25718</v>
      </c>
      <c r="BV28" s="61">
        <v>775163</v>
      </c>
      <c r="BW28" s="61">
        <v>724663</v>
      </c>
      <c r="BX28" s="61">
        <v>459663</v>
      </c>
      <c r="BY28" s="61">
        <v>421270</v>
      </c>
      <c r="BZ28" s="61">
        <v>676691</v>
      </c>
      <c r="CA28" s="61">
        <v>708873</v>
      </c>
      <c r="CB28" s="61">
        <v>747000</v>
      </c>
      <c r="CC28" s="61">
        <v>389752.5</v>
      </c>
      <c r="CD28" s="61">
        <v>281251</v>
      </c>
      <c r="CE28" s="61">
        <v>2959261</v>
      </c>
      <c r="CF28" s="61">
        <f>+'[18]BP ANEXO'!$AD$21</f>
        <v>3220824.0337821213</v>
      </c>
      <c r="CG28" s="61">
        <v>3307368</v>
      </c>
      <c r="CH28" s="61">
        <v>3748241</v>
      </c>
      <c r="CI28" s="61">
        <v>5539105</v>
      </c>
      <c r="CJ28" s="61">
        <v>5428115.2381954258</v>
      </c>
      <c r="CK28" s="61">
        <v>5248108</v>
      </c>
      <c r="CL28" s="61">
        <v>5318627</v>
      </c>
      <c r="CM28" s="61">
        <v>1808793</v>
      </c>
      <c r="CN28" s="61">
        <v>4562425</v>
      </c>
      <c r="CO28" s="61">
        <v>4340854</v>
      </c>
      <c r="CP28" s="61">
        <v>3732994</v>
      </c>
      <c r="CQ28" s="61">
        <v>3600518</v>
      </c>
      <c r="CR28" s="61">
        <v>10260079</v>
      </c>
      <c r="CS28" s="61">
        <v>11819920</v>
      </c>
      <c r="CT28" s="61">
        <v>10750632</v>
      </c>
      <c r="CU28" s="111">
        <v>9720705</v>
      </c>
      <c r="CV28" s="111">
        <v>11479105</v>
      </c>
      <c r="CW28" s="111">
        <v>15914006</v>
      </c>
      <c r="CX28" s="111">
        <v>14843721</v>
      </c>
      <c r="CY28" s="111">
        <v>11036010</v>
      </c>
    </row>
    <row r="29" spans="1:103">
      <c r="A29" s="32"/>
      <c r="B29" s="32"/>
      <c r="C29" s="32"/>
      <c r="D29" s="32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32"/>
      <c r="R29" s="32"/>
      <c r="S29" s="32"/>
      <c r="T29" s="32"/>
      <c r="U29" s="32"/>
      <c r="V29" s="47"/>
      <c r="W29" s="47"/>
      <c r="X29" s="47"/>
      <c r="Y29" s="47"/>
      <c r="Z29" s="47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BA29" s="62" t="s">
        <v>120</v>
      </c>
      <c r="BB29" s="61">
        <v>114139</v>
      </c>
      <c r="BC29" s="61">
        <v>82619</v>
      </c>
      <c r="BD29" s="61">
        <v>85333</v>
      </c>
      <c r="BE29" s="61">
        <v>138039</v>
      </c>
      <c r="BF29" s="61">
        <v>166563</v>
      </c>
      <c r="BG29" s="61">
        <v>163198</v>
      </c>
      <c r="BH29" s="61">
        <v>209413.58901</v>
      </c>
      <c r="BI29" s="61">
        <v>68033</v>
      </c>
      <c r="BJ29" s="61">
        <v>59203</v>
      </c>
      <c r="BK29" s="61">
        <v>46837.159074865558</v>
      </c>
      <c r="BL29" s="61">
        <v>46787.442302484458</v>
      </c>
      <c r="BM29" s="61">
        <v>48669.684036091159</v>
      </c>
      <c r="BN29" s="61">
        <v>75475</v>
      </c>
      <c r="BO29" s="61">
        <v>70862</v>
      </c>
      <c r="BP29" s="61">
        <v>69625.162404643881</v>
      </c>
      <c r="BQ29" s="61">
        <v>74119</v>
      </c>
      <c r="BR29" s="61">
        <v>75298</v>
      </c>
      <c r="BS29" s="61">
        <v>88930</v>
      </c>
      <c r="BT29" s="61">
        <v>91480</v>
      </c>
      <c r="BU29" s="61">
        <v>36438</v>
      </c>
      <c r="BV29" s="61">
        <v>535840</v>
      </c>
      <c r="BW29" s="61">
        <v>535258</v>
      </c>
      <c r="BX29" s="61">
        <v>590593</v>
      </c>
      <c r="BY29" s="61">
        <v>763633</v>
      </c>
      <c r="BZ29" s="61">
        <v>862832</v>
      </c>
      <c r="CA29" s="61">
        <v>922015</v>
      </c>
      <c r="CB29" s="61">
        <v>1219284</v>
      </c>
      <c r="CC29" s="61">
        <v>638503.61265999998</v>
      </c>
      <c r="CD29" s="61">
        <v>853359</v>
      </c>
      <c r="CE29" s="61">
        <v>760946</v>
      </c>
      <c r="CF29" s="61">
        <f>+'[18]BP ANEXO'!AD23</f>
        <v>709206</v>
      </c>
      <c r="CG29" s="61">
        <v>692289</v>
      </c>
      <c r="CH29" s="61">
        <v>564529</v>
      </c>
      <c r="CI29" s="61">
        <v>644004</v>
      </c>
      <c r="CJ29" s="61">
        <v>682133.9699504961</v>
      </c>
      <c r="CK29" s="61">
        <v>271631</v>
      </c>
      <c r="CL29" s="61">
        <v>1654813</v>
      </c>
      <c r="CM29" s="61">
        <v>1613946</v>
      </c>
      <c r="CN29" s="61">
        <v>1638258</v>
      </c>
      <c r="CO29" s="61">
        <v>1121429</v>
      </c>
      <c r="CP29" s="61">
        <v>1191766</v>
      </c>
      <c r="CQ29" s="61">
        <v>1364973</v>
      </c>
      <c r="CR29" s="61">
        <v>1374240</v>
      </c>
      <c r="CS29" s="61">
        <v>3387766</v>
      </c>
      <c r="CT29" s="61">
        <v>3235936</v>
      </c>
      <c r="CU29" s="111">
        <v>3146100</v>
      </c>
      <c r="CV29" s="111">
        <v>3153867</v>
      </c>
      <c r="CW29" s="111">
        <v>5447438</v>
      </c>
      <c r="CX29" s="111">
        <v>5451900</v>
      </c>
      <c r="CY29" s="111">
        <v>5567571</v>
      </c>
    </row>
    <row r="30" spans="1:103" ht="20.100000000000001" customHeight="1"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BA30" s="57" t="s">
        <v>121</v>
      </c>
      <c r="BB30" s="61" t="s">
        <v>97</v>
      </c>
      <c r="BC30" s="61" t="s">
        <v>97</v>
      </c>
      <c r="BD30" s="61">
        <v>0</v>
      </c>
      <c r="BE30" s="61">
        <v>33838</v>
      </c>
      <c r="BF30" s="61">
        <v>40652</v>
      </c>
      <c r="BG30" s="61">
        <v>39618</v>
      </c>
      <c r="BH30" s="61">
        <v>50388.475920000004</v>
      </c>
      <c r="BI30" s="61">
        <v>60879</v>
      </c>
      <c r="BJ30" s="61">
        <v>58524</v>
      </c>
      <c r="BK30" s="61">
        <v>53820.095160000004</v>
      </c>
      <c r="BL30" s="61">
        <v>53907.498569999996</v>
      </c>
      <c r="BM30" s="61">
        <v>56393.123550000004</v>
      </c>
      <c r="BN30" s="61">
        <v>66423</v>
      </c>
      <c r="BO30" s="61">
        <v>25215</v>
      </c>
      <c r="BP30" s="61">
        <v>26881.398910000004</v>
      </c>
      <c r="BQ30" s="61">
        <v>15120</v>
      </c>
      <c r="BR30" s="61">
        <v>14643</v>
      </c>
      <c r="BS30" s="61">
        <v>17486</v>
      </c>
      <c r="BT30" s="61">
        <v>14882</v>
      </c>
      <c r="BU30" s="61">
        <v>17441</v>
      </c>
      <c r="BV30" s="61">
        <v>25906</v>
      </c>
      <c r="BW30" s="61">
        <v>28675</v>
      </c>
      <c r="BX30" s="61">
        <v>34680</v>
      </c>
      <c r="BY30" s="61">
        <v>65613</v>
      </c>
      <c r="BZ30" s="61">
        <v>76006</v>
      </c>
      <c r="CA30" s="61">
        <v>74091</v>
      </c>
      <c r="CB30" s="61">
        <v>54434</v>
      </c>
      <c r="CC30" s="61">
        <v>75809.149949999992</v>
      </c>
      <c r="CD30" s="61">
        <v>91295</v>
      </c>
      <c r="CE30" s="61">
        <v>128391</v>
      </c>
      <c r="CF30" s="61">
        <f>+'[18]BP ANEXO'!AD24</f>
        <v>126465.26272</v>
      </c>
      <c r="CG30" s="61">
        <v>27284</v>
      </c>
      <c r="CH30" s="61">
        <v>27933</v>
      </c>
      <c r="CI30" s="61">
        <v>31658</v>
      </c>
      <c r="CJ30" s="61">
        <v>19887.731785169999</v>
      </c>
      <c r="CK30" s="61">
        <v>23350</v>
      </c>
      <c r="CL30" s="61">
        <v>645575</v>
      </c>
      <c r="CM30" s="61">
        <v>999875</v>
      </c>
      <c r="CN30" s="61">
        <v>1015013</v>
      </c>
      <c r="CO30" s="61">
        <v>946101</v>
      </c>
      <c r="CP30" s="61">
        <v>994128</v>
      </c>
      <c r="CQ30" s="61">
        <v>700621</v>
      </c>
      <c r="CR30" s="61">
        <v>665341</v>
      </c>
      <c r="CS30" s="61">
        <v>758036</v>
      </c>
      <c r="CT30" s="61">
        <v>747337</v>
      </c>
      <c r="CU30" s="111">
        <v>751290</v>
      </c>
      <c r="CV30" s="111">
        <v>755442</v>
      </c>
      <c r="CW30" s="111">
        <v>758162</v>
      </c>
      <c r="CX30" s="111">
        <v>749753</v>
      </c>
      <c r="CY30" s="111">
        <v>768923</v>
      </c>
    </row>
    <row r="31" spans="1:103" ht="20.100000000000001" customHeight="1"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BA31" s="57" t="s">
        <v>122</v>
      </c>
      <c r="BB31" s="60">
        <v>133972</v>
      </c>
      <c r="BC31" s="60">
        <v>129294</v>
      </c>
      <c r="BD31" s="60">
        <v>149673</v>
      </c>
      <c r="BE31" s="61">
        <v>9487</v>
      </c>
      <c r="BF31" s="61">
        <v>8222</v>
      </c>
      <c r="BG31" s="61">
        <v>6915</v>
      </c>
      <c r="BH31" s="61">
        <v>5960.2109728999994</v>
      </c>
      <c r="BI31" s="61">
        <v>4087</v>
      </c>
      <c r="BJ31" s="61">
        <v>4602</v>
      </c>
      <c r="BK31" s="61">
        <v>4122.2387099999996</v>
      </c>
      <c r="BL31" s="61">
        <v>36146.061029999997</v>
      </c>
      <c r="BM31" s="61">
        <v>19274.979160000003</v>
      </c>
      <c r="BN31" s="61">
        <v>56290</v>
      </c>
      <c r="BO31" s="61">
        <v>45958</v>
      </c>
      <c r="BP31" s="61">
        <v>68374.338449999996</v>
      </c>
      <c r="BQ31" s="61">
        <f>36177-18480</f>
        <v>17697</v>
      </c>
      <c r="BR31" s="61">
        <v>25447</v>
      </c>
      <c r="BS31" s="61">
        <v>18859</v>
      </c>
      <c r="BT31" s="61">
        <v>2108</v>
      </c>
      <c r="BU31" s="61">
        <v>0</v>
      </c>
      <c r="BV31" s="61">
        <v>3111</v>
      </c>
      <c r="BW31" s="61">
        <v>0</v>
      </c>
      <c r="BX31" s="61">
        <v>2881</v>
      </c>
      <c r="BY31" s="61">
        <v>0</v>
      </c>
      <c r="BZ31" s="61">
        <v>0</v>
      </c>
      <c r="CA31" s="61">
        <v>0</v>
      </c>
      <c r="CB31" s="61">
        <v>0</v>
      </c>
      <c r="CC31" s="61">
        <v>214607.119186923</v>
      </c>
      <c r="CD31" s="61"/>
      <c r="CE31" s="61"/>
      <c r="CF31" s="61">
        <f>+'[18]BP ANEXO'!AD25</f>
        <v>0</v>
      </c>
      <c r="CG31" s="61">
        <v>0</v>
      </c>
      <c r="CH31" s="61">
        <v>0</v>
      </c>
      <c r="CI31" s="61">
        <v>0</v>
      </c>
      <c r="CJ31" s="61">
        <v>102101.20986143111</v>
      </c>
      <c r="CK31" s="61">
        <v>0</v>
      </c>
      <c r="CL31" s="61"/>
      <c r="CM31" s="61">
        <v>0</v>
      </c>
      <c r="CN31" s="61"/>
      <c r="CO31" s="61">
        <v>0</v>
      </c>
      <c r="CP31" s="61">
        <v>0</v>
      </c>
      <c r="CQ31" s="61">
        <v>572935</v>
      </c>
      <c r="CR31" s="61">
        <v>595519</v>
      </c>
      <c r="CS31" s="61">
        <v>0</v>
      </c>
      <c r="CT31" s="61">
        <v>106500</v>
      </c>
      <c r="CU31" s="111">
        <v>42083</v>
      </c>
      <c r="CV31" s="111">
        <v>34497</v>
      </c>
      <c r="CW31" s="111">
        <v>94113</v>
      </c>
      <c r="CX31" s="111">
        <v>34332</v>
      </c>
      <c r="CY31" s="111">
        <v>172</v>
      </c>
    </row>
    <row r="32" spans="1:103" ht="20.100000000000001" customHeight="1" thickBot="1">
      <c r="A32" s="155" t="s">
        <v>123</v>
      </c>
      <c r="B32" s="155"/>
      <c r="C32" s="155"/>
      <c r="D32" s="155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5"/>
      <c r="R32" s="155"/>
      <c r="S32" s="155"/>
      <c r="T32" s="155"/>
      <c r="U32" s="155"/>
      <c r="V32" s="167"/>
      <c r="W32" s="167"/>
      <c r="X32" s="167"/>
      <c r="Y32" s="167"/>
      <c r="Z32" s="167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BA32" s="62" t="s">
        <v>108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808045</v>
      </c>
      <c r="BW32" s="61">
        <v>1003248</v>
      </c>
      <c r="BX32" s="61">
        <v>1043215</v>
      </c>
      <c r="BY32" s="61">
        <v>389433</v>
      </c>
      <c r="BZ32" s="61">
        <v>468482</v>
      </c>
      <c r="CA32" s="61">
        <v>450697</v>
      </c>
      <c r="CB32" s="61">
        <v>426288</v>
      </c>
      <c r="CC32" s="61">
        <v>402520.53729000001</v>
      </c>
      <c r="CD32" s="61">
        <v>412151</v>
      </c>
      <c r="CE32" s="61">
        <v>314297</v>
      </c>
      <c r="CF32" s="61">
        <f>+'[18]BP ANEXO'!AD26</f>
        <v>462028</v>
      </c>
      <c r="CG32" s="61">
        <v>487467</v>
      </c>
      <c r="CH32" s="61">
        <v>892365</v>
      </c>
      <c r="CI32" s="61">
        <v>931052</v>
      </c>
      <c r="CJ32" s="61">
        <v>1061171.6861571639</v>
      </c>
      <c r="CK32" s="61">
        <v>1559287</v>
      </c>
      <c r="CL32" s="61">
        <v>1457071</v>
      </c>
      <c r="CM32" s="61">
        <v>1628705</v>
      </c>
      <c r="CN32" s="61">
        <v>1894048</v>
      </c>
      <c r="CO32" s="61">
        <v>1936736</v>
      </c>
      <c r="CP32" s="61">
        <v>1948820</v>
      </c>
      <c r="CQ32" s="61">
        <v>2411307</v>
      </c>
      <c r="CR32" s="61">
        <v>2394418</v>
      </c>
      <c r="CS32" s="61">
        <v>2218816</v>
      </c>
      <c r="CT32" s="61">
        <v>2456820</v>
      </c>
      <c r="CU32" s="111">
        <v>2325645</v>
      </c>
      <c r="CV32" s="111">
        <v>2249638</v>
      </c>
      <c r="CW32" s="111">
        <v>345588</v>
      </c>
      <c r="CX32" s="111">
        <v>287090</v>
      </c>
      <c r="CY32" s="111">
        <v>262493</v>
      </c>
    </row>
    <row r="33" spans="1:103" ht="20.100000000000001" customHeight="1">
      <c r="A33" s="32" t="s">
        <v>124</v>
      </c>
      <c r="B33" s="32"/>
      <c r="C33" s="32"/>
      <c r="D33" s="32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32"/>
      <c r="R33" s="32"/>
      <c r="S33" s="32"/>
      <c r="T33" s="32"/>
      <c r="U33" s="32"/>
      <c r="V33" s="47"/>
      <c r="W33" s="47"/>
      <c r="X33" s="47"/>
      <c r="Y33" s="47"/>
      <c r="Z33" s="47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BA33" s="62" t="s">
        <v>199</v>
      </c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>
        <v>762060</v>
      </c>
      <c r="CM33" s="61">
        <v>722880</v>
      </c>
      <c r="CN33" s="61">
        <v>751140</v>
      </c>
      <c r="CO33" s="61">
        <v>786723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111">
        <v>0</v>
      </c>
      <c r="CV33" s="111">
        <v>0</v>
      </c>
      <c r="CW33" s="111">
        <v>0</v>
      </c>
      <c r="CX33" s="111">
        <v>0</v>
      </c>
      <c r="CY33" s="111">
        <v>0</v>
      </c>
    </row>
    <row r="34" spans="1:103" ht="20.100000000000001" customHeight="1" thickBot="1">
      <c r="A34" s="57" t="s">
        <v>107</v>
      </c>
      <c r="B34" s="58">
        <v>4724</v>
      </c>
      <c r="C34" s="58">
        <v>4813</v>
      </c>
      <c r="D34" s="58">
        <v>4978</v>
      </c>
      <c r="E34" s="69">
        <v>12596</v>
      </c>
      <c r="F34" s="59">
        <v>0</v>
      </c>
      <c r="G34" s="69">
        <v>12596</v>
      </c>
      <c r="H34" s="69">
        <v>12596.224199999999</v>
      </c>
      <c r="I34" s="69">
        <v>12596</v>
      </c>
      <c r="J34" s="69">
        <v>12596</v>
      </c>
      <c r="K34" s="69">
        <v>12596.224199999999</v>
      </c>
      <c r="L34" s="69">
        <v>12596.224199999999</v>
      </c>
      <c r="M34" s="69">
        <v>12596.224199999999</v>
      </c>
      <c r="N34" s="59">
        <v>12596</v>
      </c>
      <c r="O34" s="59">
        <v>12596</v>
      </c>
      <c r="P34" s="59">
        <v>12692.429079999998</v>
      </c>
      <c r="Q34" s="109">
        <v>12596</v>
      </c>
      <c r="R34" s="109">
        <v>12596</v>
      </c>
      <c r="S34" s="109">
        <v>12596</v>
      </c>
      <c r="T34" s="109">
        <v>12596</v>
      </c>
      <c r="U34" s="109">
        <v>12596</v>
      </c>
      <c r="V34" s="59">
        <v>12596</v>
      </c>
      <c r="W34" s="59">
        <v>12596</v>
      </c>
      <c r="X34" s="59">
        <v>12596</v>
      </c>
      <c r="Y34" s="59">
        <v>12596</v>
      </c>
      <c r="Z34" s="59">
        <v>12596</v>
      </c>
      <c r="AA34" s="109">
        <v>12596</v>
      </c>
      <c r="AB34" s="109">
        <v>12596</v>
      </c>
      <c r="AC34" s="109">
        <v>12596.224199999999</v>
      </c>
      <c r="AD34" s="109">
        <v>12596.224199999999</v>
      </c>
      <c r="AE34" s="109">
        <v>12596</v>
      </c>
      <c r="AF34" s="109">
        <f>+'[18]BP ANEXO'!O28</f>
        <v>12596.224199999999</v>
      </c>
      <c r="AG34" s="109">
        <v>0</v>
      </c>
      <c r="AH34" s="109">
        <v>0</v>
      </c>
      <c r="AI34" s="109">
        <v>0</v>
      </c>
      <c r="AJ34" s="109">
        <v>250.80222585600004</v>
      </c>
      <c r="AK34" s="109">
        <v>242</v>
      </c>
      <c r="AL34" s="109">
        <v>236</v>
      </c>
      <c r="AM34" s="109">
        <v>224</v>
      </c>
      <c r="AN34" s="109">
        <v>232</v>
      </c>
      <c r="AO34" s="109">
        <v>225</v>
      </c>
      <c r="AP34" s="109">
        <v>232</v>
      </c>
      <c r="AQ34" s="109">
        <v>258</v>
      </c>
      <c r="AR34" s="109">
        <v>410</v>
      </c>
      <c r="AS34" s="109">
        <v>881</v>
      </c>
      <c r="AT34" s="109">
        <v>794</v>
      </c>
      <c r="AU34" s="109">
        <v>834</v>
      </c>
      <c r="AV34" s="109">
        <v>809</v>
      </c>
      <c r="AW34" s="109">
        <v>498</v>
      </c>
      <c r="AX34" s="109">
        <v>374</v>
      </c>
      <c r="AY34" s="109">
        <v>483</v>
      </c>
      <c r="BA34" s="158" t="s">
        <v>110</v>
      </c>
      <c r="BB34" s="165" t="s">
        <v>97</v>
      </c>
      <c r="BC34" s="165" t="s">
        <v>97</v>
      </c>
      <c r="BD34" s="165">
        <v>0</v>
      </c>
      <c r="BE34" s="165">
        <v>2152</v>
      </c>
      <c r="BF34" s="165">
        <v>2598</v>
      </c>
      <c r="BG34" s="165">
        <v>2799</v>
      </c>
      <c r="BH34" s="165">
        <v>3573.7097222009997</v>
      </c>
      <c r="BI34" s="165">
        <v>340</v>
      </c>
      <c r="BJ34" s="165">
        <v>300</v>
      </c>
      <c r="BK34" s="165">
        <v>261.67111308799986</v>
      </c>
      <c r="BL34" s="165">
        <v>255.98296397800004</v>
      </c>
      <c r="BM34" s="165">
        <v>0</v>
      </c>
      <c r="BN34" s="165">
        <v>0</v>
      </c>
      <c r="BO34" s="165">
        <v>0</v>
      </c>
      <c r="BP34" s="165">
        <v>0</v>
      </c>
      <c r="BQ34" s="165">
        <v>0</v>
      </c>
      <c r="BR34" s="165">
        <v>0</v>
      </c>
      <c r="BS34" s="165">
        <v>0</v>
      </c>
      <c r="BT34" s="165">
        <v>0</v>
      </c>
      <c r="BU34" s="165">
        <v>644</v>
      </c>
      <c r="BV34" s="165">
        <v>643</v>
      </c>
      <c r="BW34" s="165">
        <v>2145</v>
      </c>
      <c r="BX34" s="165">
        <v>1819</v>
      </c>
      <c r="BY34" s="165">
        <v>1685</v>
      </c>
      <c r="BZ34" s="165">
        <v>1703</v>
      </c>
      <c r="CA34" s="165">
        <v>1701</v>
      </c>
      <c r="CB34" s="165">
        <v>1702</v>
      </c>
      <c r="CC34" s="165">
        <v>960.25841000000014</v>
      </c>
      <c r="CD34" s="165">
        <v>960</v>
      </c>
      <c r="CE34" s="165">
        <v>1310</v>
      </c>
      <c r="CF34" s="165">
        <f>+'[18]BP ANEXO'!AD27</f>
        <v>1574</v>
      </c>
      <c r="CG34" s="165">
        <v>362</v>
      </c>
      <c r="CH34" s="165">
        <v>1578</v>
      </c>
      <c r="CI34" s="165">
        <v>1555</v>
      </c>
      <c r="CJ34" s="165">
        <v>1800.0332599999999</v>
      </c>
      <c r="CK34" s="165">
        <v>1843</v>
      </c>
      <c r="CL34" s="165">
        <v>35894</v>
      </c>
      <c r="CM34" s="165">
        <v>6681</v>
      </c>
      <c r="CN34" s="165">
        <v>30550</v>
      </c>
      <c r="CO34" s="165">
        <v>36750</v>
      </c>
      <c r="CP34" s="165">
        <v>38421</v>
      </c>
      <c r="CQ34" s="165">
        <v>42567</v>
      </c>
      <c r="CR34" s="165">
        <v>140858</v>
      </c>
      <c r="CS34" s="165">
        <v>132943</v>
      </c>
      <c r="CT34" s="165">
        <v>123451</v>
      </c>
      <c r="CU34" s="315">
        <v>137171</v>
      </c>
      <c r="CV34" s="315">
        <v>168420</v>
      </c>
      <c r="CW34" s="315">
        <v>172554</v>
      </c>
      <c r="CX34" s="315">
        <v>173527</v>
      </c>
      <c r="CY34" s="315">
        <v>182219</v>
      </c>
    </row>
    <row r="35" spans="1:103" ht="20.100000000000001" customHeight="1">
      <c r="A35" s="57" t="s">
        <v>126</v>
      </c>
      <c r="B35" s="58">
        <v>0</v>
      </c>
      <c r="C35" s="58">
        <v>0</v>
      </c>
      <c r="D35" s="58">
        <v>0</v>
      </c>
      <c r="E35" s="59">
        <v>10664</v>
      </c>
      <c r="F35" s="59">
        <v>5096</v>
      </c>
      <c r="G35" s="59">
        <v>10834</v>
      </c>
      <c r="H35" s="59">
        <v>11091.389898392003</v>
      </c>
      <c r="I35" s="59">
        <v>11594</v>
      </c>
      <c r="J35" s="59">
        <v>13853</v>
      </c>
      <c r="K35" s="59">
        <v>11981.86456</v>
      </c>
      <c r="L35" s="59">
        <v>12367.806620000001</v>
      </c>
      <c r="M35" s="59">
        <v>12993.459130000001</v>
      </c>
      <c r="N35" s="59">
        <v>14823</v>
      </c>
      <c r="O35" s="59">
        <v>14994</v>
      </c>
      <c r="P35" s="59">
        <v>15823.11708</v>
      </c>
      <c r="Q35" s="109">
        <v>16010</v>
      </c>
      <c r="R35" s="109">
        <v>16464</v>
      </c>
      <c r="S35" s="109">
        <v>16619</v>
      </c>
      <c r="T35" s="109">
        <v>17448</v>
      </c>
      <c r="U35" s="109">
        <v>19621</v>
      </c>
      <c r="V35" s="59">
        <v>24828</v>
      </c>
      <c r="W35" s="59">
        <v>25084</v>
      </c>
      <c r="X35" s="59">
        <v>27411</v>
      </c>
      <c r="Y35" s="59">
        <v>27249</v>
      </c>
      <c r="Z35" s="59">
        <v>28012</v>
      </c>
      <c r="AA35" s="109">
        <v>27993</v>
      </c>
      <c r="AB35" s="109">
        <v>21256</v>
      </c>
      <c r="AC35" s="109">
        <v>20316.61908</v>
      </c>
      <c r="AD35" s="109">
        <v>15243</v>
      </c>
      <c r="AE35" s="109">
        <v>15224</v>
      </c>
      <c r="AF35" s="109">
        <f>+'[18]BP ANEXO'!O29</f>
        <v>15223.997240000001</v>
      </c>
      <c r="AG35" s="109">
        <v>10645</v>
      </c>
      <c r="AH35" s="109">
        <v>10755</v>
      </c>
      <c r="AI35" s="109">
        <v>10674</v>
      </c>
      <c r="AJ35" s="109">
        <v>10527.213977789999</v>
      </c>
      <c r="AK35" s="109">
        <v>10518</v>
      </c>
      <c r="AL35" s="109">
        <v>32531</v>
      </c>
      <c r="AM35" s="109">
        <v>32493</v>
      </c>
      <c r="AN35" s="109">
        <v>31654</v>
      </c>
      <c r="AO35" s="109">
        <v>29971</v>
      </c>
      <c r="AP35" s="109">
        <v>29938</v>
      </c>
      <c r="AQ35" s="109">
        <v>29930</v>
      </c>
      <c r="AR35" s="109">
        <v>29840</v>
      </c>
      <c r="AS35" s="109">
        <v>171082</v>
      </c>
      <c r="AT35" s="109">
        <v>170586</v>
      </c>
      <c r="AU35" s="109">
        <v>176309</v>
      </c>
      <c r="AV35" s="109">
        <v>182797</v>
      </c>
      <c r="AW35" s="109">
        <v>189277</v>
      </c>
      <c r="AX35" s="109">
        <v>195847</v>
      </c>
      <c r="AY35" s="109">
        <v>202255</v>
      </c>
      <c r="BA35" s="65" t="s">
        <v>125</v>
      </c>
      <c r="BB35" s="105">
        <f t="shared" ref="BB35:CJ35" si="27">SUM(BB25:BB34)</f>
        <v>248111</v>
      </c>
      <c r="BC35" s="105">
        <f t="shared" si="27"/>
        <v>211913</v>
      </c>
      <c r="BD35" s="105">
        <f t="shared" si="27"/>
        <v>235006</v>
      </c>
      <c r="BE35" s="105">
        <f t="shared" si="27"/>
        <v>283794</v>
      </c>
      <c r="BF35" s="105">
        <f t="shared" si="27"/>
        <v>305227</v>
      </c>
      <c r="BG35" s="105">
        <f t="shared" si="27"/>
        <v>312432</v>
      </c>
      <c r="BH35" s="105">
        <f t="shared" si="27"/>
        <v>369238.08267510094</v>
      </c>
      <c r="BI35" s="105">
        <f t="shared" si="27"/>
        <v>177510</v>
      </c>
      <c r="BJ35" s="105">
        <f t="shared" si="27"/>
        <v>166793</v>
      </c>
      <c r="BK35" s="105">
        <f t="shared" si="27"/>
        <v>149181.36110795356</v>
      </c>
      <c r="BL35" s="105">
        <f t="shared" si="27"/>
        <v>181237.16032646244</v>
      </c>
      <c r="BM35" s="105">
        <f t="shared" si="27"/>
        <v>168596.4868397665</v>
      </c>
      <c r="BN35" s="105">
        <f t="shared" si="27"/>
        <v>243075</v>
      </c>
      <c r="BO35" s="105">
        <f t="shared" si="27"/>
        <v>186922</v>
      </c>
      <c r="BP35" s="105">
        <f t="shared" si="27"/>
        <v>209730.18176464387</v>
      </c>
      <c r="BQ35" s="105">
        <f t="shared" si="27"/>
        <v>151783</v>
      </c>
      <c r="BR35" s="105">
        <f t="shared" si="27"/>
        <v>159794</v>
      </c>
      <c r="BS35" s="105">
        <f t="shared" si="27"/>
        <v>169677</v>
      </c>
      <c r="BT35" s="105">
        <f t="shared" si="27"/>
        <v>152872</v>
      </c>
      <c r="BU35" s="105">
        <f t="shared" si="27"/>
        <v>163020</v>
      </c>
      <c r="BV35" s="105">
        <f t="shared" si="27"/>
        <v>2162121</v>
      </c>
      <c r="BW35" s="105">
        <f t="shared" si="27"/>
        <v>2307402</v>
      </c>
      <c r="BX35" s="105">
        <f t="shared" si="27"/>
        <v>2146298</v>
      </c>
      <c r="BY35" s="105">
        <f t="shared" si="27"/>
        <v>1654867</v>
      </c>
      <c r="BZ35" s="105">
        <f t="shared" si="27"/>
        <v>2099354</v>
      </c>
      <c r="CA35" s="105">
        <f t="shared" si="27"/>
        <v>2171787</v>
      </c>
      <c r="CB35" s="105">
        <f t="shared" si="27"/>
        <v>2462368</v>
      </c>
      <c r="CC35" s="105">
        <f t="shared" si="27"/>
        <v>1735793.3646452341</v>
      </c>
      <c r="CD35" s="105">
        <f t="shared" si="27"/>
        <v>1652464</v>
      </c>
      <c r="CE35" s="105">
        <f t="shared" si="27"/>
        <v>4177649</v>
      </c>
      <c r="CF35" s="105">
        <f t="shared" si="27"/>
        <v>4533092.5662121456</v>
      </c>
      <c r="CG35" s="105">
        <f t="shared" si="27"/>
        <v>4515170</v>
      </c>
      <c r="CH35" s="105">
        <f t="shared" si="27"/>
        <v>5235026</v>
      </c>
      <c r="CI35" s="105">
        <f t="shared" si="27"/>
        <v>7147882</v>
      </c>
      <c r="CJ35" s="105">
        <f t="shared" si="27"/>
        <v>9361967.6507909652</v>
      </c>
      <c r="CK35" s="105">
        <f t="shared" ref="CK35:CP35" si="28">SUM(CK25:CK34)</f>
        <v>9145240</v>
      </c>
      <c r="CL35" s="105">
        <f t="shared" si="28"/>
        <v>11816373</v>
      </c>
      <c r="CM35" s="105">
        <f t="shared" si="28"/>
        <v>11170652</v>
      </c>
      <c r="CN35" s="105">
        <f t="shared" si="28"/>
        <v>11762888</v>
      </c>
      <c r="CO35" s="105">
        <f t="shared" si="28"/>
        <v>10968841</v>
      </c>
      <c r="CP35" s="105">
        <f t="shared" si="28"/>
        <v>11747972</v>
      </c>
      <c r="CQ35" s="105">
        <f t="shared" ref="CQ35:CR35" si="29">SUM(CQ25:CQ34)</f>
        <v>14977678</v>
      </c>
      <c r="CR35" s="105">
        <f t="shared" si="29"/>
        <v>21671270</v>
      </c>
      <c r="CS35" s="105">
        <f t="shared" ref="CS35" si="30">SUM(CS25:CS34)</f>
        <v>26133529</v>
      </c>
      <c r="CT35" s="333">
        <f>SUM(CT25:CT34)</f>
        <v>25589613</v>
      </c>
      <c r="CU35" s="333">
        <f t="shared" ref="CU35" si="31">SUM(CU25:CU34)</f>
        <v>23357868</v>
      </c>
      <c r="CV35" s="333">
        <f>SUM(CV25:CV34)</f>
        <v>27601708</v>
      </c>
      <c r="CW35" s="333">
        <f>SUM(CW25:CW34)</f>
        <v>33137229</v>
      </c>
      <c r="CX35" s="333">
        <f>SUM(CX25:CX34)</f>
        <v>31363609</v>
      </c>
      <c r="CY35" s="333">
        <f>SUM(CY25:CY34)</f>
        <v>27219363</v>
      </c>
    </row>
    <row r="36" spans="1:103" ht="20.100000000000001" customHeight="1">
      <c r="A36" s="57" t="s">
        <v>128</v>
      </c>
      <c r="B36" s="58">
        <v>0</v>
      </c>
      <c r="C36" s="58">
        <v>0</v>
      </c>
      <c r="D36" s="58">
        <v>0</v>
      </c>
      <c r="E36" s="59">
        <v>0</v>
      </c>
      <c r="F36" s="59">
        <v>0</v>
      </c>
      <c r="G36" s="59">
        <v>0</v>
      </c>
      <c r="H36" s="59">
        <v>7808.4011200000014</v>
      </c>
      <c r="I36" s="59">
        <v>20084</v>
      </c>
      <c r="J36" s="59">
        <v>20019</v>
      </c>
      <c r="K36" s="59">
        <v>19872.232523999999</v>
      </c>
      <c r="L36" s="59">
        <v>18284.742140000002</v>
      </c>
      <c r="M36" s="59">
        <v>42600.565803999998</v>
      </c>
      <c r="N36" s="59">
        <v>41148</v>
      </c>
      <c r="O36" s="59">
        <v>53334</v>
      </c>
      <c r="P36" s="59">
        <v>51989.967570000001</v>
      </c>
      <c r="Q36" s="109">
        <v>51669</v>
      </c>
      <c r="R36" s="109">
        <v>54449</v>
      </c>
      <c r="S36" s="109">
        <v>57390</v>
      </c>
      <c r="T36" s="109">
        <v>36135</v>
      </c>
      <c r="U36" s="109">
        <v>25711</v>
      </c>
      <c r="V36" s="59">
        <v>25694</v>
      </c>
      <c r="W36" s="59">
        <v>30524</v>
      </c>
      <c r="X36" s="59">
        <v>20208</v>
      </c>
      <c r="Y36" s="59">
        <v>32384</v>
      </c>
      <c r="Z36" s="59">
        <v>32382</v>
      </c>
      <c r="AA36" s="109">
        <v>34733</v>
      </c>
      <c r="AB36" s="109">
        <v>34466</v>
      </c>
      <c r="AC36" s="109">
        <v>32848.261679999996</v>
      </c>
      <c r="AD36" s="109">
        <v>32203</v>
      </c>
      <c r="AE36" s="109">
        <v>9749</v>
      </c>
      <c r="AF36" s="109">
        <f>+'[18]BP ANEXO'!O30</f>
        <v>8891.3019100000001</v>
      </c>
      <c r="AG36" s="109">
        <v>8559</v>
      </c>
      <c r="AH36" s="109">
        <v>32330</v>
      </c>
      <c r="AI36" s="109">
        <v>44425</v>
      </c>
      <c r="AJ36" s="109">
        <v>42888.473853165997</v>
      </c>
      <c r="AK36" s="109">
        <v>26923</v>
      </c>
      <c r="AL36" s="109">
        <v>12742</v>
      </c>
      <c r="AM36" s="109">
        <v>6598</v>
      </c>
      <c r="AN36" s="109">
        <v>4782</v>
      </c>
      <c r="AO36" s="109">
        <v>4225</v>
      </c>
      <c r="AP36" s="109">
        <v>2396</v>
      </c>
      <c r="AQ36" s="109">
        <v>11935</v>
      </c>
      <c r="AR36" s="109">
        <v>70021</v>
      </c>
      <c r="AS36" s="109">
        <v>185260</v>
      </c>
      <c r="AT36" s="109">
        <v>346671</v>
      </c>
      <c r="AU36" s="109">
        <v>115779</v>
      </c>
      <c r="AV36" s="109">
        <v>102906</v>
      </c>
      <c r="AW36" s="109">
        <v>113949</v>
      </c>
      <c r="AX36" s="109">
        <v>149188</v>
      </c>
      <c r="AY36" s="109">
        <v>207100</v>
      </c>
      <c r="BA36" s="47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317"/>
      <c r="CV36" s="317"/>
      <c r="CW36" s="317"/>
      <c r="CX36" s="317"/>
      <c r="CY36" s="317"/>
    </row>
    <row r="37" spans="1:103" ht="20.100000000000001" customHeight="1">
      <c r="A37" s="57" t="s">
        <v>129</v>
      </c>
      <c r="B37" s="58">
        <v>0</v>
      </c>
      <c r="C37" s="58">
        <v>0</v>
      </c>
      <c r="D37" s="58">
        <v>0</v>
      </c>
      <c r="E37" s="59">
        <v>0</v>
      </c>
      <c r="F37" s="59">
        <v>0</v>
      </c>
      <c r="G37" s="59">
        <v>0</v>
      </c>
      <c r="H37" s="59">
        <v>1615.1220000000001</v>
      </c>
      <c r="I37" s="59">
        <v>1226</v>
      </c>
      <c r="J37" s="59">
        <v>1381</v>
      </c>
      <c r="K37" s="59">
        <v>1236.6716100000001</v>
      </c>
      <c r="L37" s="59">
        <v>10843.818290000001</v>
      </c>
      <c r="M37" s="59">
        <v>5782.4937300000001</v>
      </c>
      <c r="N37" s="59">
        <v>21440</v>
      </c>
      <c r="O37" s="59">
        <v>18905</v>
      </c>
      <c r="P37" s="59">
        <v>29986.903969999996</v>
      </c>
      <c r="Q37" s="109">
        <v>0</v>
      </c>
      <c r="R37" s="109">
        <v>18422</v>
      </c>
      <c r="S37" s="109">
        <v>17692</v>
      </c>
      <c r="T37" s="109">
        <v>12438</v>
      </c>
      <c r="U37" s="109">
        <v>11340</v>
      </c>
      <c r="V37" s="59">
        <v>15024</v>
      </c>
      <c r="W37" s="59">
        <v>12932</v>
      </c>
      <c r="X37" s="59">
        <v>15669</v>
      </c>
      <c r="Y37" s="59">
        <v>160313</v>
      </c>
      <c r="Z37" s="59">
        <v>163565</v>
      </c>
      <c r="AA37" s="109">
        <v>189150</v>
      </c>
      <c r="AB37" s="109">
        <v>162468</v>
      </c>
      <c r="AC37" s="109">
        <v>414549.09288888995</v>
      </c>
      <c r="AD37" s="109">
        <v>258998</v>
      </c>
      <c r="AE37" s="109">
        <v>178023</v>
      </c>
      <c r="AF37" s="109">
        <f>+'[18]BP ANEXO'!O31</f>
        <v>202259</v>
      </c>
      <c r="AG37" s="109">
        <v>378679</v>
      </c>
      <c r="AH37" s="109">
        <v>657698</v>
      </c>
      <c r="AI37" s="109">
        <v>666660</v>
      </c>
      <c r="AJ37" s="109">
        <v>570220.90484215447</v>
      </c>
      <c r="AK37" s="109">
        <v>692076</v>
      </c>
      <c r="AL37" s="109">
        <v>637312</v>
      </c>
      <c r="AM37" s="109">
        <v>744773</v>
      </c>
      <c r="AN37" s="109">
        <v>425637</v>
      </c>
      <c r="AO37" s="109">
        <v>516582</v>
      </c>
      <c r="AP37" s="109">
        <v>226895</v>
      </c>
      <c r="AQ37" s="109">
        <v>0</v>
      </c>
      <c r="AR37" s="109">
        <v>0</v>
      </c>
      <c r="AS37" s="109">
        <v>5636399</v>
      </c>
      <c r="AT37" s="109">
        <v>7508470</v>
      </c>
      <c r="AU37" s="109">
        <v>7960690</v>
      </c>
      <c r="AV37" s="109">
        <v>8250466</v>
      </c>
      <c r="AW37" s="109">
        <v>8121172</v>
      </c>
      <c r="AX37" s="109">
        <v>8566663</v>
      </c>
      <c r="AY37" s="109">
        <v>8301144</v>
      </c>
      <c r="BA37" s="65" t="s">
        <v>127</v>
      </c>
      <c r="BB37" s="107">
        <v>0</v>
      </c>
      <c r="BC37" s="107">
        <v>0</v>
      </c>
      <c r="BD37" s="107">
        <v>0</v>
      </c>
      <c r="BE37" s="102">
        <v>0</v>
      </c>
      <c r="BF37" s="102">
        <v>0</v>
      </c>
      <c r="BG37" s="102">
        <v>0</v>
      </c>
      <c r="BH37" s="102">
        <v>0</v>
      </c>
      <c r="BI37" s="102">
        <v>0</v>
      </c>
      <c r="BJ37" s="102">
        <v>0</v>
      </c>
      <c r="BK37" s="102">
        <v>0</v>
      </c>
      <c r="BL37" s="102">
        <v>0</v>
      </c>
      <c r="BM37" s="102">
        <v>0</v>
      </c>
      <c r="BN37" s="102">
        <v>0</v>
      </c>
      <c r="BO37" s="102">
        <v>0</v>
      </c>
      <c r="BP37" s="102">
        <v>0</v>
      </c>
      <c r="BQ37" s="102">
        <v>0</v>
      </c>
      <c r="BR37" s="102">
        <v>0</v>
      </c>
      <c r="BS37" s="102">
        <v>0</v>
      </c>
      <c r="BT37" s="102">
        <v>0</v>
      </c>
      <c r="BU37" s="102">
        <v>0</v>
      </c>
      <c r="BV37" s="102">
        <v>833</v>
      </c>
      <c r="BW37" s="102">
        <v>1161</v>
      </c>
      <c r="BX37" s="102">
        <v>1519</v>
      </c>
      <c r="BY37" s="102">
        <v>759</v>
      </c>
      <c r="BZ37" s="102">
        <v>979</v>
      </c>
      <c r="CA37" s="102">
        <v>993</v>
      </c>
      <c r="CB37" s="102">
        <v>1031</v>
      </c>
      <c r="CC37" s="102">
        <v>849.32696217090063</v>
      </c>
      <c r="CD37" s="102">
        <v>0</v>
      </c>
      <c r="CE37" s="102">
        <v>0</v>
      </c>
      <c r="CF37" s="102">
        <v>0</v>
      </c>
      <c r="CG37" s="102">
        <v>0</v>
      </c>
      <c r="CH37" s="102">
        <v>0</v>
      </c>
      <c r="CI37" s="102">
        <v>0</v>
      </c>
      <c r="CJ37" s="102">
        <v>0</v>
      </c>
      <c r="CK37" s="102">
        <v>0</v>
      </c>
      <c r="CL37" s="102">
        <v>0</v>
      </c>
      <c r="CM37" s="102">
        <v>0</v>
      </c>
      <c r="CN37" s="102">
        <v>0</v>
      </c>
      <c r="CO37" s="102">
        <v>0</v>
      </c>
      <c r="CP37" s="102">
        <v>0</v>
      </c>
      <c r="CQ37" s="102">
        <v>0</v>
      </c>
      <c r="CR37" s="102">
        <v>0</v>
      </c>
      <c r="CS37" s="102">
        <v>0</v>
      </c>
      <c r="CT37" s="102">
        <v>0</v>
      </c>
      <c r="CU37" s="330">
        <v>0</v>
      </c>
      <c r="CV37" s="330">
        <v>0</v>
      </c>
      <c r="CW37" s="330">
        <v>0</v>
      </c>
      <c r="CX37" s="330">
        <v>0</v>
      </c>
      <c r="CY37" s="330">
        <v>0</v>
      </c>
    </row>
    <row r="38" spans="1:103" ht="20.100000000000001" customHeight="1">
      <c r="A38" s="57" t="s">
        <v>200</v>
      </c>
      <c r="AG38" s="109">
        <v>0</v>
      </c>
      <c r="AH38" s="109">
        <v>0</v>
      </c>
      <c r="AI38" s="109">
        <v>0</v>
      </c>
      <c r="AJ38" s="109">
        <v>0</v>
      </c>
      <c r="AK38" s="109">
        <v>0</v>
      </c>
      <c r="AL38" s="109">
        <v>0</v>
      </c>
      <c r="AM38" s="109">
        <v>107909</v>
      </c>
      <c r="AN38" s="109">
        <v>95817</v>
      </c>
      <c r="AO38" s="109">
        <v>80698</v>
      </c>
      <c r="AP38" s="109">
        <v>93143</v>
      </c>
      <c r="AQ38" s="109">
        <v>0</v>
      </c>
      <c r="AR38" s="109">
        <v>0</v>
      </c>
      <c r="AS38" s="109">
        <v>0</v>
      </c>
      <c r="AT38" s="109">
        <v>0</v>
      </c>
      <c r="AU38" s="109">
        <v>0</v>
      </c>
      <c r="AV38" s="109">
        <v>0</v>
      </c>
      <c r="AW38" s="109">
        <v>0</v>
      </c>
      <c r="AX38" s="109">
        <v>0</v>
      </c>
      <c r="AY38" s="109">
        <v>0</v>
      </c>
      <c r="BA38" s="4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336"/>
      <c r="CV38" s="336"/>
      <c r="CW38" s="336"/>
      <c r="CX38" s="336"/>
      <c r="CY38" s="336"/>
    </row>
    <row r="39" spans="1:103" ht="20.100000000000001" customHeight="1" thickBot="1">
      <c r="A39" s="62" t="s">
        <v>133</v>
      </c>
      <c r="B39" s="63">
        <v>0</v>
      </c>
      <c r="C39" s="63">
        <v>0</v>
      </c>
      <c r="D39" s="63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64">
        <v>954160</v>
      </c>
      <c r="W39" s="64">
        <v>919666</v>
      </c>
      <c r="X39" s="64">
        <v>890901</v>
      </c>
      <c r="Y39" s="64">
        <v>452067</v>
      </c>
      <c r="Z39" s="59">
        <v>476731.55696999998</v>
      </c>
      <c r="AA39" s="109">
        <v>438896</v>
      </c>
      <c r="AB39" s="109">
        <v>399885</v>
      </c>
      <c r="AC39" s="109">
        <v>369836.29177000007</v>
      </c>
      <c r="AD39" s="109">
        <v>413532</v>
      </c>
      <c r="AE39" s="109">
        <v>311153</v>
      </c>
      <c r="AF39" s="109">
        <f>+'[18]BP ANEXO'!O32</f>
        <v>439419</v>
      </c>
      <c r="AG39" s="109">
        <v>425867</v>
      </c>
      <c r="AH39" s="109">
        <v>862424</v>
      </c>
      <c r="AI39" s="109">
        <v>928229</v>
      </c>
      <c r="AJ39" s="109">
        <v>1079062.8994038219</v>
      </c>
      <c r="AK39" s="109">
        <v>1593449</v>
      </c>
      <c r="AL39" s="109">
        <v>1529702</v>
      </c>
      <c r="AM39" s="109">
        <v>1714785</v>
      </c>
      <c r="AN39" s="109">
        <v>2013218</v>
      </c>
      <c r="AO39" s="109">
        <v>2044361</v>
      </c>
      <c r="AP39" s="109">
        <v>2053174</v>
      </c>
      <c r="AQ39" s="109">
        <v>2599750</v>
      </c>
      <c r="AR39" s="109">
        <v>2537393</v>
      </c>
      <c r="AS39" s="109">
        <v>2421249</v>
      </c>
      <c r="AT39" s="109">
        <v>2641075</v>
      </c>
      <c r="AU39" s="109">
        <v>2452987</v>
      </c>
      <c r="AV39" s="109">
        <v>2335217</v>
      </c>
      <c r="AW39" s="109">
        <v>610400</v>
      </c>
      <c r="AX39" s="109">
        <v>717485</v>
      </c>
      <c r="AY39" s="109">
        <v>613061</v>
      </c>
      <c r="BA39" s="167" t="s">
        <v>130</v>
      </c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318"/>
      <c r="CV39" s="318"/>
      <c r="CW39" s="318"/>
      <c r="CX39" s="318"/>
      <c r="CY39" s="318"/>
    </row>
    <row r="40" spans="1:103" ht="20.100000000000001" customHeight="1">
      <c r="A40" s="57" t="s">
        <v>135</v>
      </c>
      <c r="B40" s="58">
        <v>135211</v>
      </c>
      <c r="C40" s="58">
        <v>143714</v>
      </c>
      <c r="D40" s="58">
        <v>138041</v>
      </c>
      <c r="E40" s="59">
        <v>72925</v>
      </c>
      <c r="F40" s="59">
        <v>75155</v>
      </c>
      <c r="G40" s="59">
        <v>57364</v>
      </c>
      <c r="H40" s="59">
        <v>60658.924060740101</v>
      </c>
      <c r="I40" s="59">
        <v>69949</v>
      </c>
      <c r="J40" s="59">
        <v>58834</v>
      </c>
      <c r="K40" s="59">
        <v>48050.918127343633</v>
      </c>
      <c r="L40" s="59">
        <v>48937.680755503432</v>
      </c>
      <c r="M40" s="59">
        <v>44234.216616152276</v>
      </c>
      <c r="N40" s="59">
        <v>78903</v>
      </c>
      <c r="O40" s="59">
        <v>75661</v>
      </c>
      <c r="P40" s="59">
        <v>68863.11227528</v>
      </c>
      <c r="Q40" s="109">
        <v>123930</v>
      </c>
      <c r="R40" s="109">
        <v>58108</v>
      </c>
      <c r="S40" s="109">
        <v>60786</v>
      </c>
      <c r="T40" s="109">
        <v>60338</v>
      </c>
      <c r="U40" s="109">
        <v>270347</v>
      </c>
      <c r="V40" s="59">
        <v>1613927</v>
      </c>
      <c r="W40" s="59">
        <v>1602344</v>
      </c>
      <c r="X40" s="59">
        <v>1639892</v>
      </c>
      <c r="Y40" s="59">
        <v>2602523</v>
      </c>
      <c r="Z40" s="64">
        <v>3989858.4693761934</v>
      </c>
      <c r="AA40" s="110">
        <v>3746097</v>
      </c>
      <c r="AB40" s="110">
        <v>3683872</v>
      </c>
      <c r="AC40" s="110">
        <v>3359012.8360642688</v>
      </c>
      <c r="AD40" s="110">
        <v>3384265</v>
      </c>
      <c r="AE40" s="110">
        <v>3444525</v>
      </c>
      <c r="AF40" s="110">
        <f>+'[18]BP ANEXO'!O33</f>
        <v>3514952</v>
      </c>
      <c r="AG40" s="110">
        <v>3549045</v>
      </c>
      <c r="AH40" s="110">
        <v>3022581</v>
      </c>
      <c r="AI40" s="110">
        <v>3575116</v>
      </c>
      <c r="AJ40" s="110">
        <v>4063798.4397482718</v>
      </c>
      <c r="AK40" s="110">
        <v>4665206</v>
      </c>
      <c r="AL40" s="110">
        <v>7089189</v>
      </c>
      <c r="AM40" s="109">
        <v>7633823</v>
      </c>
      <c r="AN40" s="109">
        <v>8639792</v>
      </c>
      <c r="AO40" s="109">
        <v>9425118</v>
      </c>
      <c r="AP40" s="109">
        <v>10661410</v>
      </c>
      <c r="AQ40" s="109">
        <v>12326971</v>
      </c>
      <c r="AR40" s="109">
        <v>12202488</v>
      </c>
      <c r="AS40" s="109">
        <v>22876260</v>
      </c>
      <c r="AT40" s="109">
        <v>21057668</v>
      </c>
      <c r="AU40" s="109">
        <v>20382204</v>
      </c>
      <c r="AV40" s="109">
        <v>20762630</v>
      </c>
      <c r="AW40" s="109">
        <v>30532404</v>
      </c>
      <c r="AX40" s="109">
        <v>30319490</v>
      </c>
      <c r="AY40" s="109">
        <v>31096459</v>
      </c>
      <c r="BA40" s="57" t="s">
        <v>132</v>
      </c>
      <c r="BB40" s="60">
        <v>3821205</v>
      </c>
      <c r="BC40" s="60">
        <v>3821206</v>
      </c>
      <c r="BD40" s="60">
        <v>3821206</v>
      </c>
      <c r="BE40" s="61">
        <v>3821206</v>
      </c>
      <c r="BF40" s="61">
        <v>3821206</v>
      </c>
      <c r="BG40" s="61">
        <v>3209454</v>
      </c>
      <c r="BH40" s="61">
        <v>3209453.6619799994</v>
      </c>
      <c r="BI40" s="61">
        <v>3265185</v>
      </c>
      <c r="BJ40" s="61">
        <v>3265192</v>
      </c>
      <c r="BK40" s="61">
        <v>3265215.5619800007</v>
      </c>
      <c r="BL40" s="61">
        <v>3265215.5619799998</v>
      </c>
      <c r="BM40" s="61">
        <v>3265215.5619799998</v>
      </c>
      <c r="BN40" s="61">
        <v>3265216</v>
      </c>
      <c r="BO40" s="61">
        <v>3265216</v>
      </c>
      <c r="BP40" s="61">
        <v>3265252.8219799995</v>
      </c>
      <c r="BQ40" s="61">
        <v>3265256</v>
      </c>
      <c r="BR40" s="61">
        <v>3273110</v>
      </c>
      <c r="BS40" s="61">
        <v>3273114</v>
      </c>
      <c r="BT40" s="61">
        <v>3273114</v>
      </c>
      <c r="BU40" s="61">
        <v>3273114</v>
      </c>
      <c r="BV40" s="61">
        <v>3292211</v>
      </c>
      <c r="BW40" s="61">
        <v>3307246</v>
      </c>
      <c r="BX40" s="61">
        <v>3307246</v>
      </c>
      <c r="BY40" s="61">
        <v>3316411</v>
      </c>
      <c r="BZ40" s="61">
        <v>3326998</v>
      </c>
      <c r="CA40" s="61">
        <v>3326998</v>
      </c>
      <c r="CB40" s="61">
        <v>3326998</v>
      </c>
      <c r="CC40" s="61">
        <v>3326899.8391300021</v>
      </c>
      <c r="CD40" s="61">
        <v>5305772</v>
      </c>
      <c r="CE40" s="61">
        <v>5303644</v>
      </c>
      <c r="CF40" s="61">
        <f>+'[18]BP ANEXO'!AD32</f>
        <v>5303643.508820001</v>
      </c>
      <c r="CG40" s="70">
        <v>5303644</v>
      </c>
      <c r="CH40" s="70">
        <v>5320231</v>
      </c>
      <c r="CI40" s="70">
        <v>5320231</v>
      </c>
      <c r="CJ40" s="70">
        <v>5319674.1792900003</v>
      </c>
      <c r="CK40" s="70">
        <v>5319674</v>
      </c>
      <c r="CL40" s="70">
        <v>5352792</v>
      </c>
      <c r="CM40" s="70">
        <v>5352792</v>
      </c>
      <c r="CN40" s="70">
        <v>5352792</v>
      </c>
      <c r="CO40" s="70">
        <v>5352792</v>
      </c>
      <c r="CP40" s="70">
        <v>7611387</v>
      </c>
      <c r="CQ40" s="70">
        <v>7611387</v>
      </c>
      <c r="CR40" s="70">
        <v>7611387</v>
      </c>
      <c r="CS40" s="70">
        <v>10611387</v>
      </c>
      <c r="CT40" s="70">
        <v>13510348</v>
      </c>
      <c r="CU40" s="70">
        <v>13510348</v>
      </c>
      <c r="CV40" s="70">
        <v>13510348</v>
      </c>
      <c r="CW40" s="70">
        <v>15510382</v>
      </c>
      <c r="CX40" s="70">
        <v>15601415</v>
      </c>
      <c r="CY40" s="70">
        <v>15601415</v>
      </c>
    </row>
    <row r="41" spans="1:103" ht="20.100000000000001" customHeight="1" thickBot="1">
      <c r="A41" s="158" t="s">
        <v>137</v>
      </c>
      <c r="B41" s="170">
        <v>1200929</v>
      </c>
      <c r="C41" s="170">
        <v>1126125</v>
      </c>
      <c r="D41" s="170">
        <v>1143507</v>
      </c>
      <c r="E41" s="171">
        <v>176951</v>
      </c>
      <c r="F41" s="171">
        <v>239702</v>
      </c>
      <c r="G41" s="171">
        <v>213268</v>
      </c>
      <c r="H41" s="171">
        <v>248888.58615646299</v>
      </c>
      <c r="I41" s="171">
        <v>161766</v>
      </c>
      <c r="J41" s="171">
        <v>230698</v>
      </c>
      <c r="K41" s="171">
        <v>264187.66126395349</v>
      </c>
      <c r="L41" s="171">
        <v>232912.15013505216</v>
      </c>
      <c r="M41" s="171">
        <v>182583.35506</v>
      </c>
      <c r="N41" s="171">
        <v>303854</v>
      </c>
      <c r="O41" s="171">
        <v>292139</v>
      </c>
      <c r="P41" s="171">
        <v>276547.92365304002</v>
      </c>
      <c r="Q41" s="172">
        <v>197904</v>
      </c>
      <c r="R41" s="172">
        <v>261239</v>
      </c>
      <c r="S41" s="172">
        <v>309432</v>
      </c>
      <c r="T41" s="172">
        <v>346504</v>
      </c>
      <c r="U41" s="172">
        <v>140949</v>
      </c>
      <c r="V41" s="171">
        <v>758919</v>
      </c>
      <c r="W41" s="171">
        <v>756788</v>
      </c>
      <c r="X41" s="171">
        <v>774188</v>
      </c>
      <c r="Y41" s="171">
        <v>689529</v>
      </c>
      <c r="Z41" s="171">
        <v>548973.6810758966</v>
      </c>
      <c r="AA41" s="172">
        <v>811048</v>
      </c>
      <c r="AB41" s="172">
        <v>1090455</v>
      </c>
      <c r="AC41" s="172">
        <v>956865.81969018106</v>
      </c>
      <c r="AD41" s="172">
        <v>1127624</v>
      </c>
      <c r="AE41" s="172">
        <v>1016015</v>
      </c>
      <c r="AF41" s="172">
        <f>+'[18]BP ANEXO'!O34</f>
        <v>1788163</v>
      </c>
      <c r="AG41" s="172">
        <v>1742326</v>
      </c>
      <c r="AH41" s="172">
        <v>1471723</v>
      </c>
      <c r="AI41" s="172">
        <v>3092047</v>
      </c>
      <c r="AJ41" s="172">
        <v>3133221.7720338339</v>
      </c>
      <c r="AK41" s="172">
        <v>2833955</v>
      </c>
      <c r="AL41" s="172">
        <v>12437080</v>
      </c>
      <c r="AM41" s="172">
        <v>12087324</v>
      </c>
      <c r="AN41" s="172">
        <v>12224017</v>
      </c>
      <c r="AO41" s="172">
        <v>10914878</v>
      </c>
      <c r="AP41" s="172">
        <v>10921526</v>
      </c>
      <c r="AQ41" s="172">
        <v>11775377</v>
      </c>
      <c r="AR41" s="172">
        <v>11225865</v>
      </c>
      <c r="AS41" s="172">
        <v>16502462</v>
      </c>
      <c r="AT41" s="172">
        <v>14707382</v>
      </c>
      <c r="AU41" s="172">
        <v>15286775</v>
      </c>
      <c r="AV41" s="172">
        <v>14458497</v>
      </c>
      <c r="AW41" s="172">
        <v>15038640</v>
      </c>
      <c r="AX41" s="172">
        <v>12942132</v>
      </c>
      <c r="AY41" s="172">
        <v>12299860</v>
      </c>
      <c r="BA41" s="57" t="s">
        <v>134</v>
      </c>
      <c r="BB41" s="60">
        <v>416914</v>
      </c>
      <c r="BC41" s="60">
        <v>416914</v>
      </c>
      <c r="BD41" s="60">
        <v>416914</v>
      </c>
      <c r="BE41" s="61">
        <v>518631</v>
      </c>
      <c r="BF41" s="61">
        <v>416914</v>
      </c>
      <c r="BG41" s="61">
        <v>101720</v>
      </c>
      <c r="BH41" s="61">
        <v>101720.36988</v>
      </c>
      <c r="BI41" s="61">
        <v>101720</v>
      </c>
      <c r="BJ41" s="61">
        <v>101720</v>
      </c>
      <c r="BK41" s="61">
        <v>101720.36988</v>
      </c>
      <c r="BL41" s="61">
        <v>101720.36988</v>
      </c>
      <c r="BM41" s="61">
        <v>100874.98790000001</v>
      </c>
      <c r="BN41" s="61">
        <v>96549</v>
      </c>
      <c r="BO41" s="61">
        <v>93619</v>
      </c>
      <c r="BP41" s="61">
        <v>81098.716400000019</v>
      </c>
      <c r="BQ41" s="61">
        <v>73852</v>
      </c>
      <c r="BR41" s="61">
        <v>72997</v>
      </c>
      <c r="BS41" s="61">
        <v>49067</v>
      </c>
      <c r="BT41" s="61">
        <v>50510</v>
      </c>
      <c r="BU41" s="61">
        <v>67094</v>
      </c>
      <c r="BV41" s="61">
        <v>116284</v>
      </c>
      <c r="BW41" s="61">
        <v>193448</v>
      </c>
      <c r="BX41" s="61">
        <v>198284</v>
      </c>
      <c r="BY41" s="61">
        <v>228027</v>
      </c>
      <c r="BZ41" s="61">
        <v>229312</v>
      </c>
      <c r="CA41" s="61">
        <v>231245</v>
      </c>
      <c r="CB41" s="61">
        <v>233362</v>
      </c>
      <c r="CC41" s="61">
        <v>321358.72717000003</v>
      </c>
      <c r="CD41" s="61">
        <v>321483</v>
      </c>
      <c r="CE41" s="61">
        <v>322294</v>
      </c>
      <c r="CF41" s="61">
        <f>+'[18]BP ANEXO'!AD33</f>
        <v>338879.41749999998</v>
      </c>
      <c r="CG41" s="70">
        <v>348886</v>
      </c>
      <c r="CH41" s="70">
        <v>354036</v>
      </c>
      <c r="CI41" s="70">
        <v>370351</v>
      </c>
      <c r="CJ41" s="70">
        <v>381664.95049000002</v>
      </c>
      <c r="CK41" s="70">
        <v>377427</v>
      </c>
      <c r="CL41" s="70">
        <v>199890</v>
      </c>
      <c r="CM41" s="70">
        <v>278597</v>
      </c>
      <c r="CN41" s="70">
        <v>295848</v>
      </c>
      <c r="CO41" s="70">
        <v>-171877</v>
      </c>
      <c r="CP41" s="70">
        <v>-242064</v>
      </c>
      <c r="CQ41" s="70">
        <v>-326651</v>
      </c>
      <c r="CR41" s="70">
        <v>-339535</v>
      </c>
      <c r="CS41" s="70">
        <v>-1016199</v>
      </c>
      <c r="CT41" s="70">
        <v>-1263545</v>
      </c>
      <c r="CU41" s="70">
        <v>-1369348</v>
      </c>
      <c r="CV41" s="70">
        <v>-1387938</v>
      </c>
      <c r="CW41" s="70">
        <v>-1388256</v>
      </c>
      <c r="CX41" s="70">
        <v>-1673105</v>
      </c>
      <c r="CY41" s="70">
        <v>-2209604</v>
      </c>
    </row>
    <row r="42" spans="1:103" ht="19.5" customHeight="1">
      <c r="A42" s="65" t="s">
        <v>139</v>
      </c>
      <c r="B42" s="67">
        <f t="shared" ref="B42:AP42" si="32">SUM(B34:B41)</f>
        <v>1340864</v>
      </c>
      <c r="C42" s="67">
        <f t="shared" si="32"/>
        <v>1274652</v>
      </c>
      <c r="D42" s="67">
        <f t="shared" si="32"/>
        <v>1286526</v>
      </c>
      <c r="E42" s="67">
        <f t="shared" si="32"/>
        <v>273136</v>
      </c>
      <c r="F42" s="67">
        <f t="shared" si="32"/>
        <v>319953</v>
      </c>
      <c r="G42" s="67">
        <f t="shared" si="32"/>
        <v>294062</v>
      </c>
      <c r="H42" s="67">
        <f t="shared" si="32"/>
        <v>342658.64743559511</v>
      </c>
      <c r="I42" s="67">
        <f t="shared" si="32"/>
        <v>277215</v>
      </c>
      <c r="J42" s="67">
        <f t="shared" si="32"/>
        <v>337381</v>
      </c>
      <c r="K42" s="67">
        <f t="shared" si="32"/>
        <v>357925.57228529709</v>
      </c>
      <c r="L42" s="67">
        <f t="shared" si="32"/>
        <v>335942.42214055557</v>
      </c>
      <c r="M42" s="67">
        <f t="shared" si="32"/>
        <v>300790.31454015226</v>
      </c>
      <c r="N42" s="67">
        <f t="shared" si="32"/>
        <v>472764</v>
      </c>
      <c r="O42" s="67">
        <f t="shared" si="32"/>
        <v>467629</v>
      </c>
      <c r="P42" s="67">
        <f t="shared" si="32"/>
        <v>455903.45362832001</v>
      </c>
      <c r="Q42" s="67">
        <f t="shared" si="32"/>
        <v>402109</v>
      </c>
      <c r="R42" s="67">
        <f t="shared" si="32"/>
        <v>421278</v>
      </c>
      <c r="S42" s="67">
        <f t="shared" si="32"/>
        <v>474515</v>
      </c>
      <c r="T42" s="67">
        <f t="shared" si="32"/>
        <v>485459</v>
      </c>
      <c r="U42" s="67">
        <f t="shared" si="32"/>
        <v>480564</v>
      </c>
      <c r="V42" s="67">
        <f t="shared" si="32"/>
        <v>3405148</v>
      </c>
      <c r="W42" s="67">
        <f t="shared" si="32"/>
        <v>3359934</v>
      </c>
      <c r="X42" s="67">
        <f t="shared" si="32"/>
        <v>3380865</v>
      </c>
      <c r="Y42" s="67">
        <f t="shared" si="32"/>
        <v>3976661</v>
      </c>
      <c r="Z42" s="67">
        <f t="shared" si="32"/>
        <v>5252118.7074220907</v>
      </c>
      <c r="AA42" s="67">
        <f t="shared" si="32"/>
        <v>5260513</v>
      </c>
      <c r="AB42" s="67">
        <f t="shared" si="32"/>
        <v>5404998</v>
      </c>
      <c r="AC42" s="67">
        <f t="shared" si="32"/>
        <v>5166025.1453733398</v>
      </c>
      <c r="AD42" s="67">
        <f t="shared" si="32"/>
        <v>5244461.2242000001</v>
      </c>
      <c r="AE42" s="67">
        <f t="shared" si="32"/>
        <v>4987285</v>
      </c>
      <c r="AF42" s="67">
        <f t="shared" si="32"/>
        <v>5981504.5233500004</v>
      </c>
      <c r="AG42" s="67">
        <f t="shared" si="32"/>
        <v>6115121</v>
      </c>
      <c r="AH42" s="67">
        <f t="shared" si="32"/>
        <v>6057511</v>
      </c>
      <c r="AI42" s="67">
        <f t="shared" si="32"/>
        <v>8317151</v>
      </c>
      <c r="AJ42" s="67">
        <f t="shared" si="32"/>
        <v>8899970.5060848929</v>
      </c>
      <c r="AK42" s="67">
        <f t="shared" si="32"/>
        <v>9822369</v>
      </c>
      <c r="AL42" s="67">
        <f t="shared" si="32"/>
        <v>21738792</v>
      </c>
      <c r="AM42" s="67">
        <f t="shared" ref="AM42" si="33">SUM(AM34:AM41)</f>
        <v>22327929</v>
      </c>
      <c r="AN42" s="67">
        <f t="shared" si="32"/>
        <v>23435149</v>
      </c>
      <c r="AO42" s="67">
        <f t="shared" si="32"/>
        <v>23016058</v>
      </c>
      <c r="AP42" s="67">
        <f t="shared" si="32"/>
        <v>23988714</v>
      </c>
      <c r="AQ42" s="67">
        <f t="shared" ref="AQ42" si="34">SUM(AQ34:AQ41)</f>
        <v>26744221</v>
      </c>
      <c r="AR42" s="67">
        <f t="shared" ref="AR42" si="35">SUM(AR34:AR41)</f>
        <v>26066017</v>
      </c>
      <c r="AS42" s="67">
        <f t="shared" ref="AS42:AX42" si="36">SUM(AS34:AS41)</f>
        <v>47793593</v>
      </c>
      <c r="AT42" s="67">
        <f t="shared" si="36"/>
        <v>46432646</v>
      </c>
      <c r="AU42" s="67">
        <f t="shared" si="36"/>
        <v>46375578</v>
      </c>
      <c r="AV42" s="67">
        <f t="shared" si="36"/>
        <v>46093322</v>
      </c>
      <c r="AW42" s="67">
        <f t="shared" si="36"/>
        <v>54606340</v>
      </c>
      <c r="AX42" s="67">
        <f t="shared" si="36"/>
        <v>52891179</v>
      </c>
      <c r="AY42" s="67">
        <f>SUM(AY34:AY41)</f>
        <v>52720362</v>
      </c>
      <c r="BA42" s="57" t="s">
        <v>136</v>
      </c>
      <c r="BB42" s="60">
        <v>204756</v>
      </c>
      <c r="BC42" s="60">
        <v>195772</v>
      </c>
      <c r="BD42" s="60">
        <v>230564</v>
      </c>
      <c r="BE42" s="61">
        <v>261233</v>
      </c>
      <c r="BF42" s="61">
        <v>420536</v>
      </c>
      <c r="BG42" s="61">
        <v>315406</v>
      </c>
      <c r="BH42" s="61">
        <v>388101.2414827178</v>
      </c>
      <c r="BI42" s="61">
        <v>387451</v>
      </c>
      <c r="BJ42" s="61">
        <v>373718</v>
      </c>
      <c r="BK42" s="61">
        <v>364249.37354516319</v>
      </c>
      <c r="BL42" s="61">
        <v>365804.34286034736</v>
      </c>
      <c r="BM42" s="61">
        <v>66688.8895803255</v>
      </c>
      <c r="BN42" s="61">
        <v>137504</v>
      </c>
      <c r="BO42" s="61">
        <v>119493</v>
      </c>
      <c r="BP42" s="61">
        <v>154878.62124628594</v>
      </c>
      <c r="BQ42" s="61">
        <v>91800</v>
      </c>
      <c r="BR42" s="61">
        <v>80092</v>
      </c>
      <c r="BS42" s="61">
        <v>93346</v>
      </c>
      <c r="BT42" s="61">
        <v>39086.292928278781</v>
      </c>
      <c r="BU42" s="61">
        <v>14743</v>
      </c>
      <c r="BV42" s="61">
        <v>53892</v>
      </c>
      <c r="BW42" s="61">
        <v>28829</v>
      </c>
      <c r="BX42" s="61">
        <v>124217</v>
      </c>
      <c r="BY42" s="61">
        <v>150335</v>
      </c>
      <c r="BZ42" s="61">
        <v>597260</v>
      </c>
      <c r="CA42" s="61">
        <v>713624</v>
      </c>
      <c r="CB42" s="61">
        <v>783746</v>
      </c>
      <c r="CC42" s="61">
        <v>579820.3838906798</v>
      </c>
      <c r="CD42" s="61">
        <v>851426</v>
      </c>
      <c r="CE42" s="61">
        <v>518373</v>
      </c>
      <c r="CF42" s="61">
        <f>+'[18]BP ANEXO'!AD34</f>
        <v>669846.63215539628</v>
      </c>
      <c r="CG42" s="70">
        <v>255381</v>
      </c>
      <c r="CH42" s="70">
        <v>0</v>
      </c>
      <c r="CI42" s="70">
        <v>0</v>
      </c>
      <c r="CJ42" s="70">
        <v>0</v>
      </c>
      <c r="CK42" s="70">
        <v>3682453</v>
      </c>
      <c r="CL42" s="70"/>
      <c r="CN42" s="70"/>
      <c r="CO42" s="70">
        <v>0</v>
      </c>
      <c r="CP42" s="70">
        <v>0</v>
      </c>
      <c r="CQ42" s="70">
        <v>0</v>
      </c>
      <c r="CR42" s="70">
        <v>0</v>
      </c>
      <c r="CS42" s="70">
        <v>0</v>
      </c>
      <c r="CT42" s="70">
        <v>0</v>
      </c>
      <c r="CU42" s="70">
        <v>0</v>
      </c>
      <c r="CV42" s="70">
        <v>0</v>
      </c>
      <c r="CW42" s="70">
        <v>0</v>
      </c>
      <c r="CX42" s="70">
        <v>0</v>
      </c>
      <c r="CY42" s="70">
        <v>0</v>
      </c>
    </row>
    <row r="43" spans="1:103" ht="20.100000000000001" customHeight="1" thickBot="1">
      <c r="A43" s="174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BA43" s="57" t="s">
        <v>201</v>
      </c>
      <c r="BB43" s="60"/>
      <c r="BC43" s="60"/>
      <c r="BD43" s="60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70">
        <v>0</v>
      </c>
      <c r="CH43" s="70">
        <v>0</v>
      </c>
      <c r="CI43" s="70">
        <v>0</v>
      </c>
      <c r="CJ43" s="70">
        <v>-39328.783308245984</v>
      </c>
      <c r="CK43" s="70"/>
      <c r="CL43" s="70">
        <v>-49500</v>
      </c>
      <c r="CN43" s="70">
        <v>92221</v>
      </c>
      <c r="CO43" s="70">
        <v>80284</v>
      </c>
      <c r="CP43" s="70">
        <v>80526</v>
      </c>
      <c r="CQ43" s="70">
        <v>-634194</v>
      </c>
      <c r="CR43" s="70">
        <v>-690408</v>
      </c>
      <c r="CS43" s="70">
        <v>-1483243</v>
      </c>
      <c r="CT43" s="70">
        <v>-725673</v>
      </c>
      <c r="CU43" s="70">
        <v>-365441</v>
      </c>
      <c r="CV43" s="70">
        <v>-246156</v>
      </c>
      <c r="CW43" s="70">
        <v>-450526</v>
      </c>
      <c r="CX43" s="70">
        <v>-452775</v>
      </c>
      <c r="CY43" s="70">
        <v>-127884</v>
      </c>
    </row>
    <row r="44" spans="1:103" ht="16.2" thickBot="1">
      <c r="A44" s="175" t="s">
        <v>143</v>
      </c>
      <c r="B44" s="176">
        <f t="shared" ref="B44:AP44" si="37">SUM(B42,B26)</f>
        <v>1875420</v>
      </c>
      <c r="C44" s="176">
        <f t="shared" si="37"/>
        <v>1865262</v>
      </c>
      <c r="D44" s="176">
        <f t="shared" si="37"/>
        <v>1926886</v>
      </c>
      <c r="E44" s="176">
        <f t="shared" si="37"/>
        <v>1020227</v>
      </c>
      <c r="F44" s="176">
        <f t="shared" si="37"/>
        <v>1012156</v>
      </c>
      <c r="G44" s="176">
        <f t="shared" si="37"/>
        <v>943750</v>
      </c>
      <c r="H44" s="176">
        <f t="shared" si="37"/>
        <v>1198596.7865645806</v>
      </c>
      <c r="I44" s="176">
        <f t="shared" si="37"/>
        <v>1124958</v>
      </c>
      <c r="J44" s="176">
        <f t="shared" si="37"/>
        <v>939866</v>
      </c>
      <c r="K44" s="176">
        <f t="shared" si="37"/>
        <v>886849.99537285953</v>
      </c>
      <c r="L44" s="176">
        <f t="shared" si="37"/>
        <v>952236.75006401143</v>
      </c>
      <c r="M44" s="176">
        <f t="shared" si="37"/>
        <v>979844.37235917244</v>
      </c>
      <c r="N44" s="176">
        <f t="shared" si="37"/>
        <v>1271177</v>
      </c>
      <c r="O44" s="176">
        <f t="shared" si="37"/>
        <v>1282128</v>
      </c>
      <c r="P44" s="176">
        <f t="shared" si="37"/>
        <v>1267246.7373745716</v>
      </c>
      <c r="Q44" s="176">
        <f t="shared" si="37"/>
        <v>1151098</v>
      </c>
      <c r="R44" s="176">
        <f t="shared" si="37"/>
        <v>1113650</v>
      </c>
      <c r="S44" s="176">
        <f t="shared" si="37"/>
        <v>1348929</v>
      </c>
      <c r="T44" s="176">
        <f t="shared" si="37"/>
        <v>1121730</v>
      </c>
      <c r="U44" s="176">
        <f t="shared" si="37"/>
        <v>1390871</v>
      </c>
      <c r="V44" s="176">
        <f t="shared" si="37"/>
        <v>3847402</v>
      </c>
      <c r="W44" s="176">
        <f t="shared" si="37"/>
        <v>4202739</v>
      </c>
      <c r="X44" s="176">
        <f t="shared" si="37"/>
        <v>4316600</v>
      </c>
      <c r="Y44" s="176">
        <f t="shared" si="37"/>
        <v>5247504</v>
      </c>
      <c r="Z44" s="176">
        <f t="shared" si="37"/>
        <v>6689709.6576968497</v>
      </c>
      <c r="AA44" s="176">
        <f t="shared" si="37"/>
        <v>6269861</v>
      </c>
      <c r="AB44" s="176">
        <f t="shared" si="37"/>
        <v>6580720</v>
      </c>
      <c r="AC44" s="176">
        <f t="shared" si="37"/>
        <v>6688453.3454328058</v>
      </c>
      <c r="AD44" s="176">
        <f t="shared" si="37"/>
        <v>8840823.2241999991</v>
      </c>
      <c r="AE44" s="176">
        <f t="shared" si="37"/>
        <v>10037305</v>
      </c>
      <c r="AF44" s="176">
        <f t="shared" si="37"/>
        <v>11060436.160845967</v>
      </c>
      <c r="AG44" s="176">
        <f t="shared" si="37"/>
        <v>11968869</v>
      </c>
      <c r="AH44" s="176">
        <f t="shared" si="37"/>
        <v>12525670</v>
      </c>
      <c r="AI44" s="176">
        <f t="shared" si="37"/>
        <v>15972220</v>
      </c>
      <c r="AJ44" s="176">
        <f t="shared" si="37"/>
        <v>19636732.952218961</v>
      </c>
      <c r="AK44" s="176">
        <f t="shared" si="37"/>
        <v>20424996</v>
      </c>
      <c r="AL44" s="176">
        <f t="shared" si="37"/>
        <v>25623115</v>
      </c>
      <c r="AM44" s="176">
        <f t="shared" ref="AM44" si="38">SUM(AM42,AM26)</f>
        <v>25991952</v>
      </c>
      <c r="AN44" s="176">
        <f t="shared" si="37"/>
        <v>28521683</v>
      </c>
      <c r="AO44" s="176">
        <f t="shared" si="37"/>
        <v>28310932</v>
      </c>
      <c r="AP44" s="176">
        <f t="shared" si="37"/>
        <v>30779118</v>
      </c>
      <c r="AQ44" s="176">
        <f t="shared" ref="AQ44:AS44" si="39">SUM(AQ42,AQ26)</f>
        <v>37293930</v>
      </c>
      <c r="AR44" s="176">
        <f t="shared" ref="AR44" si="40">SUM(AR42,AR26)</f>
        <v>43300018</v>
      </c>
      <c r="AS44" s="176">
        <f t="shared" si="39"/>
        <v>55746165</v>
      </c>
      <c r="AT44" s="176">
        <f t="shared" ref="AT44:AU44" si="41">SUM(AT42,AT26)</f>
        <v>54726865</v>
      </c>
      <c r="AU44" s="176">
        <f t="shared" si="41"/>
        <v>55437714</v>
      </c>
      <c r="AV44" s="176">
        <f t="shared" ref="AV44" si="42">SUM(AV42,AV26)</f>
        <v>59729709</v>
      </c>
      <c r="AW44" s="176">
        <f>SUM(AW42,AW26)</f>
        <v>64179605</v>
      </c>
      <c r="AX44" s="176">
        <f>SUM(AX42,AX26)</f>
        <v>63548709</v>
      </c>
      <c r="AY44" s="176">
        <f>SUM(AY42,AY26)</f>
        <v>63510624</v>
      </c>
      <c r="BA44" s="57" t="s">
        <v>138</v>
      </c>
      <c r="BB44" s="60"/>
      <c r="BC44" s="60"/>
      <c r="BD44" s="60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70">
        <v>0</v>
      </c>
      <c r="CH44" s="70">
        <v>255381</v>
      </c>
      <c r="CI44" s="70">
        <v>255381</v>
      </c>
      <c r="CJ44" s="70">
        <v>255381.64638999998</v>
      </c>
      <c r="CK44" s="70"/>
      <c r="CL44" s="70">
        <v>3682453</v>
      </c>
      <c r="CM44" s="70">
        <v>3256052</v>
      </c>
      <c r="CN44" s="70">
        <v>3256052</v>
      </c>
      <c r="CO44" s="70">
        <v>8801741</v>
      </c>
      <c r="CP44" s="70">
        <v>6601741</v>
      </c>
      <c r="CQ44" s="70">
        <v>6601741</v>
      </c>
      <c r="CR44" s="70">
        <v>6601741</v>
      </c>
      <c r="CS44" s="70">
        <v>13903347</v>
      </c>
      <c r="CT44" s="70">
        <v>11103347</v>
      </c>
      <c r="CU44" s="70">
        <v>11103347</v>
      </c>
      <c r="CV44" s="70">
        <v>11103347</v>
      </c>
      <c r="CW44" s="70">
        <v>11354826</v>
      </c>
      <c r="CX44" s="70">
        <v>11354826</v>
      </c>
      <c r="CY44" s="70">
        <v>11354826</v>
      </c>
    </row>
    <row r="45" spans="1:103">
      <c r="BA45" s="57" t="s">
        <v>140</v>
      </c>
      <c r="BB45" s="60"/>
      <c r="BC45" s="60"/>
      <c r="BD45" s="60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70">
        <v>0</v>
      </c>
      <c r="CH45" s="70">
        <v>-275672</v>
      </c>
      <c r="CI45" s="70">
        <v>517614</v>
      </c>
      <c r="CJ45" s="70">
        <v>820165.79069891735</v>
      </c>
      <c r="CK45" s="70">
        <v>-89310</v>
      </c>
      <c r="CL45" s="70">
        <v>281265</v>
      </c>
      <c r="CM45" s="70">
        <v>-237675</v>
      </c>
      <c r="CN45" s="70">
        <v>272333</v>
      </c>
      <c r="CO45" s="70">
        <v>-184660</v>
      </c>
      <c r="CP45" s="70">
        <v>299387</v>
      </c>
      <c r="CQ45" s="70">
        <v>2048937</v>
      </c>
      <c r="CR45" s="70">
        <v>1655513</v>
      </c>
      <c r="CS45" s="70">
        <v>3908900</v>
      </c>
      <c r="CT45" s="70">
        <v>1906029</v>
      </c>
      <c r="CU45" s="70">
        <v>548649</v>
      </c>
      <c r="CV45" s="70">
        <v>-134646</v>
      </c>
      <c r="CW45" s="70">
        <v>753455</v>
      </c>
      <c r="CX45" s="70">
        <v>-610671</v>
      </c>
      <c r="CY45" s="70">
        <v>-775403</v>
      </c>
    </row>
    <row r="46" spans="1:103">
      <c r="BA46" s="57" t="s">
        <v>141</v>
      </c>
      <c r="BB46" s="60">
        <v>-2974476</v>
      </c>
      <c r="BC46" s="60">
        <v>-2963034</v>
      </c>
      <c r="BD46" s="60">
        <v>-2953498</v>
      </c>
      <c r="BE46" s="61">
        <v>-2976264</v>
      </c>
      <c r="BF46" s="61">
        <v>-3977549</v>
      </c>
      <c r="BG46" s="61">
        <v>-2950672</v>
      </c>
      <c r="BH46" s="61">
        <v>-2950671.7960300012</v>
      </c>
      <c r="BI46" s="61">
        <v>-2950672</v>
      </c>
      <c r="BJ46" s="61">
        <v>-2840250</v>
      </c>
      <c r="BK46" s="61">
        <v>-2840250.4091999996</v>
      </c>
      <c r="BL46" s="61">
        <v>-2840250.4092000006</v>
      </c>
      <c r="BM46" s="61">
        <v>-2840250.4091999996</v>
      </c>
      <c r="BN46" s="61">
        <v>-2598629</v>
      </c>
      <c r="BO46" s="61">
        <v>-2598629</v>
      </c>
      <c r="BP46" s="61">
        <v>-2598628.5164900003</v>
      </c>
      <c r="BQ46" s="61">
        <v>-2598629</v>
      </c>
      <c r="BR46" s="61">
        <v>-2547777</v>
      </c>
      <c r="BS46" s="61">
        <v>-2547777</v>
      </c>
      <c r="BT46" s="61">
        <v>-2547777</v>
      </c>
      <c r="BU46" s="61">
        <v>-2579073</v>
      </c>
      <c r="BV46" s="61">
        <v>-2372777</v>
      </c>
      <c r="BW46" s="61">
        <v>-2372777</v>
      </c>
      <c r="BX46" s="61">
        <v>-2372777</v>
      </c>
      <c r="BY46" s="61">
        <v>-2372777</v>
      </c>
      <c r="BZ46" s="61">
        <v>-1530431</v>
      </c>
      <c r="CA46" s="61">
        <v>-1530431</v>
      </c>
      <c r="CB46" s="61">
        <v>-1530431</v>
      </c>
      <c r="CC46" s="61">
        <v>-1530431</v>
      </c>
      <c r="CD46" s="61">
        <v>-1077664</v>
      </c>
      <c r="CE46" s="61">
        <v>-1077664</v>
      </c>
      <c r="CF46" s="61">
        <f>+'[18]BP ANEXO'!AD35</f>
        <v>-1077664.4610999997</v>
      </c>
      <c r="CG46" s="70">
        <v>0</v>
      </c>
      <c r="CH46" s="70">
        <v>0</v>
      </c>
      <c r="CI46" s="70">
        <v>0</v>
      </c>
      <c r="CJ46" s="70">
        <v>0</v>
      </c>
      <c r="CK46" s="70">
        <v>0</v>
      </c>
      <c r="CL46" s="70"/>
      <c r="CM46" s="70">
        <v>101088</v>
      </c>
      <c r="CN46" s="70"/>
      <c r="CO46" s="70">
        <v>0</v>
      </c>
      <c r="CP46" s="70">
        <v>0</v>
      </c>
      <c r="CQ46" s="70">
        <v>0</v>
      </c>
      <c r="CR46" s="70">
        <v>0</v>
      </c>
      <c r="CS46" s="70">
        <v>0</v>
      </c>
      <c r="CT46" s="70">
        <v>0</v>
      </c>
      <c r="CU46" s="70">
        <v>0</v>
      </c>
      <c r="CV46" s="70">
        <v>0</v>
      </c>
      <c r="CW46" s="70">
        <v>0</v>
      </c>
      <c r="CX46" s="70">
        <v>0</v>
      </c>
      <c r="CY46" s="70">
        <v>0</v>
      </c>
    </row>
    <row r="47" spans="1:103" ht="16.2" thickBot="1">
      <c r="U47" s="59"/>
      <c r="V47" s="59"/>
      <c r="W47" s="59"/>
      <c r="X47" s="59"/>
      <c r="Y47" s="59"/>
      <c r="Z47" s="5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BA47" s="158" t="s">
        <v>144</v>
      </c>
      <c r="BB47" s="177">
        <v>1699</v>
      </c>
      <c r="BC47" s="177">
        <v>0</v>
      </c>
      <c r="BD47" s="177">
        <v>0</v>
      </c>
      <c r="BE47" s="165">
        <v>-1003073</v>
      </c>
      <c r="BF47" s="165">
        <v>-53539</v>
      </c>
      <c r="BG47" s="165">
        <v>-69774</v>
      </c>
      <c r="BH47" s="165">
        <v>-69739.051926522807</v>
      </c>
      <c r="BI47" s="165">
        <v>110421</v>
      </c>
      <c r="BJ47" s="165">
        <v>-80815</v>
      </c>
      <c r="BK47" s="165">
        <v>-116409.47511564448</v>
      </c>
      <c r="BL47" s="165">
        <v>-44938.242325003725</v>
      </c>
      <c r="BM47" s="165">
        <v>241621.89271409367</v>
      </c>
      <c r="BN47" s="165">
        <v>4019</v>
      </c>
      <c r="BO47" s="165">
        <v>51125</v>
      </c>
      <c r="BP47" s="165">
        <v>67507.264668180709</v>
      </c>
      <c r="BQ47" s="165">
        <v>50851</v>
      </c>
      <c r="BR47" s="165">
        <v>2694</v>
      </c>
      <c r="BS47" s="165">
        <v>73254</v>
      </c>
      <c r="BT47" s="165">
        <v>144712</v>
      </c>
      <c r="BU47" s="165">
        <v>206296</v>
      </c>
      <c r="BV47" s="165">
        <v>-122904</v>
      </c>
      <c r="BW47" s="165">
        <v>41858</v>
      </c>
      <c r="BX47" s="165">
        <v>-22283</v>
      </c>
      <c r="BY47" s="165">
        <v>842346</v>
      </c>
      <c r="BZ47" s="165">
        <v>-61461</v>
      </c>
      <c r="CA47" s="165">
        <v>-161263</v>
      </c>
      <c r="CB47" s="165">
        <v>-271861</v>
      </c>
      <c r="CC47" s="165">
        <v>452766.28942674911</v>
      </c>
      <c r="CD47" s="165">
        <v>-65792</v>
      </c>
      <c r="CE47" s="165">
        <v>355110</v>
      </c>
      <c r="CF47" s="165">
        <f>+'[18]BP ANEXO'!AD36</f>
        <v>452214</v>
      </c>
      <c r="CG47" s="298">
        <v>712338</v>
      </c>
      <c r="CH47" s="298">
        <v>1068970</v>
      </c>
      <c r="CI47" s="298">
        <v>1708050</v>
      </c>
      <c r="CJ47" s="298">
        <v>2500364.4184810845</v>
      </c>
      <c r="CK47" s="298">
        <v>601773</v>
      </c>
      <c r="CL47" s="298">
        <v>1162065</v>
      </c>
      <c r="CM47" s="298">
        <v>2003034</v>
      </c>
      <c r="CN47" s="298">
        <v>3631858</v>
      </c>
      <c r="CO47" s="298">
        <v>0</v>
      </c>
      <c r="CP47" s="298">
        <v>1045553</v>
      </c>
      <c r="CQ47" s="298">
        <v>2465562</v>
      </c>
      <c r="CR47" s="298">
        <v>3352711</v>
      </c>
      <c r="CS47" s="298">
        <v>0</v>
      </c>
      <c r="CT47" s="298">
        <v>2072659</v>
      </c>
      <c r="CU47" s="298">
        <v>2753333</v>
      </c>
      <c r="CV47" s="298">
        <v>3102038</v>
      </c>
      <c r="CW47" s="298">
        <v>0</v>
      </c>
      <c r="CX47" s="298">
        <v>2410883</v>
      </c>
      <c r="CY47" s="298">
        <v>4370747</v>
      </c>
    </row>
    <row r="48" spans="1:103">
      <c r="U48" s="59"/>
      <c r="V48" s="59"/>
      <c r="W48" s="59"/>
      <c r="X48" s="59"/>
      <c r="Y48" s="59"/>
      <c r="Z48" s="5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BA48" s="65" t="s">
        <v>145</v>
      </c>
      <c r="BB48" s="107">
        <f t="shared" ref="BB48:CJ48" si="43">SUM(BB40:BB47)</f>
        <v>1470098</v>
      </c>
      <c r="BC48" s="107">
        <f t="shared" si="43"/>
        <v>1470858</v>
      </c>
      <c r="BD48" s="107">
        <f t="shared" si="43"/>
        <v>1515186</v>
      </c>
      <c r="BE48" s="107">
        <f t="shared" si="43"/>
        <v>621733</v>
      </c>
      <c r="BF48" s="107">
        <f t="shared" si="43"/>
        <v>627568</v>
      </c>
      <c r="BG48" s="107">
        <f t="shared" si="43"/>
        <v>606134</v>
      </c>
      <c r="BH48" s="107">
        <f t="shared" si="43"/>
        <v>678864.42538619344</v>
      </c>
      <c r="BI48" s="107">
        <f t="shared" si="43"/>
        <v>914105</v>
      </c>
      <c r="BJ48" s="107">
        <f t="shared" si="43"/>
        <v>819565</v>
      </c>
      <c r="BK48" s="107">
        <f t="shared" si="43"/>
        <v>774525.42108951998</v>
      </c>
      <c r="BL48" s="107">
        <f t="shared" si="43"/>
        <v>847551.62319534319</v>
      </c>
      <c r="BM48" s="107">
        <f t="shared" si="43"/>
        <v>834150.92297441955</v>
      </c>
      <c r="BN48" s="107">
        <f t="shared" si="43"/>
        <v>904659</v>
      </c>
      <c r="BO48" s="107">
        <f t="shared" si="43"/>
        <v>930824</v>
      </c>
      <c r="BP48" s="107">
        <f t="shared" si="43"/>
        <v>970108.9078044655</v>
      </c>
      <c r="BQ48" s="107">
        <f t="shared" si="43"/>
        <v>883130</v>
      </c>
      <c r="BR48" s="107">
        <f t="shared" si="43"/>
        <v>881116</v>
      </c>
      <c r="BS48" s="107">
        <f t="shared" si="43"/>
        <v>941004</v>
      </c>
      <c r="BT48" s="107">
        <f t="shared" si="43"/>
        <v>959645.29292827891</v>
      </c>
      <c r="BU48" s="107">
        <f t="shared" si="43"/>
        <v>982174</v>
      </c>
      <c r="BV48" s="107">
        <f t="shared" si="43"/>
        <v>966706</v>
      </c>
      <c r="BW48" s="107">
        <f t="shared" si="43"/>
        <v>1198604</v>
      </c>
      <c r="BX48" s="107">
        <f t="shared" si="43"/>
        <v>1234687</v>
      </c>
      <c r="BY48" s="107">
        <f t="shared" si="43"/>
        <v>2164342</v>
      </c>
      <c r="BZ48" s="107">
        <f t="shared" si="43"/>
        <v>2561678</v>
      </c>
      <c r="CA48" s="107">
        <f t="shared" si="43"/>
        <v>2580173</v>
      </c>
      <c r="CB48" s="107">
        <f t="shared" si="43"/>
        <v>2541814</v>
      </c>
      <c r="CC48" s="107">
        <f t="shared" si="43"/>
        <v>3150414.2396174311</v>
      </c>
      <c r="CD48" s="107">
        <f t="shared" si="43"/>
        <v>5335225</v>
      </c>
      <c r="CE48" s="107">
        <f t="shared" si="43"/>
        <v>5421757</v>
      </c>
      <c r="CF48" s="107">
        <f t="shared" si="43"/>
        <v>5686919.0973753976</v>
      </c>
      <c r="CG48" s="107">
        <f t="shared" si="43"/>
        <v>6620249</v>
      </c>
      <c r="CH48" s="107">
        <f t="shared" si="43"/>
        <v>6722946</v>
      </c>
      <c r="CI48" s="107">
        <f t="shared" si="43"/>
        <v>8171627</v>
      </c>
      <c r="CJ48" s="107">
        <f t="shared" si="43"/>
        <v>9237922.2020417564</v>
      </c>
      <c r="CK48" s="107">
        <f t="shared" ref="CK48:CP48" si="44">SUM(CK40:CK47)</f>
        <v>9892017</v>
      </c>
      <c r="CL48" s="107">
        <f t="shared" si="44"/>
        <v>10628965</v>
      </c>
      <c r="CM48" s="107">
        <f t="shared" si="44"/>
        <v>10753888</v>
      </c>
      <c r="CN48" s="107">
        <f t="shared" si="44"/>
        <v>12901104</v>
      </c>
      <c r="CO48" s="107">
        <f t="shared" si="44"/>
        <v>13878280</v>
      </c>
      <c r="CP48" s="107">
        <f t="shared" si="44"/>
        <v>15396530</v>
      </c>
      <c r="CQ48" s="107">
        <f t="shared" ref="CQ48:CR48" si="45">SUM(CQ40:CQ47)</f>
        <v>17766782</v>
      </c>
      <c r="CR48" s="107">
        <f t="shared" si="45"/>
        <v>18191409</v>
      </c>
      <c r="CS48" s="107">
        <f t="shared" ref="CS48:CT48" si="46">SUM(CS40:CS47)</f>
        <v>25924192</v>
      </c>
      <c r="CT48" s="107">
        <f t="shared" si="46"/>
        <v>26603165</v>
      </c>
      <c r="CU48" s="330">
        <f t="shared" ref="CU48:CV48" si="47">SUM(CU40:CU47)</f>
        <v>26180888</v>
      </c>
      <c r="CV48" s="330">
        <f t="shared" si="47"/>
        <v>25946993</v>
      </c>
      <c r="CW48" s="330">
        <f t="shared" ref="CW48" si="48">SUM(CW40:CW47)</f>
        <v>25779881</v>
      </c>
      <c r="CX48" s="330">
        <f>SUM(CX40:CX47)</f>
        <v>26630573</v>
      </c>
      <c r="CY48" s="330">
        <f>SUM(CY40:CY47)</f>
        <v>28214097</v>
      </c>
    </row>
    <row r="49" spans="2:103" ht="16.2" thickBot="1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59"/>
      <c r="V49" s="59"/>
      <c r="W49" s="59"/>
      <c r="X49" s="59"/>
      <c r="Y49" s="59"/>
      <c r="Z49" s="5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BA49" s="173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331"/>
      <c r="CV49" s="331"/>
      <c r="CW49" s="331"/>
      <c r="CX49" s="331"/>
      <c r="CY49" s="331"/>
    </row>
    <row r="50" spans="2:103" ht="16.2" thickBot="1">
      <c r="U50" s="59"/>
      <c r="V50" s="59"/>
      <c r="W50" s="59"/>
      <c r="X50" s="59"/>
      <c r="Y50" s="59"/>
      <c r="Z50" s="5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BA50" s="175" t="s">
        <v>146</v>
      </c>
      <c r="BB50" s="179">
        <f t="shared" ref="BB50:CB50" si="49">SUM(BB48,BB37,BB35,BB18)</f>
        <v>1942225</v>
      </c>
      <c r="BC50" s="179">
        <f t="shared" si="49"/>
        <v>1931284</v>
      </c>
      <c r="BD50" s="179">
        <f t="shared" si="49"/>
        <v>1981903</v>
      </c>
      <c r="BE50" s="179">
        <f t="shared" si="49"/>
        <v>1059854</v>
      </c>
      <c r="BF50" s="179">
        <f t="shared" si="49"/>
        <v>1133728</v>
      </c>
      <c r="BG50" s="179">
        <f t="shared" si="49"/>
        <v>1043268</v>
      </c>
      <c r="BH50" s="179">
        <f t="shared" si="49"/>
        <v>1233805.5342123995</v>
      </c>
      <c r="BI50" s="179">
        <f t="shared" si="49"/>
        <v>1177038</v>
      </c>
      <c r="BJ50" s="179">
        <f t="shared" si="49"/>
        <v>1092537</v>
      </c>
      <c r="BK50" s="179">
        <f t="shared" si="49"/>
        <v>998455.95458963548</v>
      </c>
      <c r="BL50" s="179">
        <f t="shared" si="49"/>
        <v>1087134.7859313996</v>
      </c>
      <c r="BM50" s="179">
        <f t="shared" si="49"/>
        <v>1082366.7611202407</v>
      </c>
      <c r="BN50" s="179">
        <f t="shared" si="49"/>
        <v>1400312</v>
      </c>
      <c r="BO50" s="179">
        <f t="shared" si="49"/>
        <v>1379460</v>
      </c>
      <c r="BP50" s="179">
        <f t="shared" si="49"/>
        <v>1377661.4600245494</v>
      </c>
      <c r="BQ50" s="179">
        <f t="shared" si="49"/>
        <v>1251764</v>
      </c>
      <c r="BR50" s="179">
        <f t="shared" si="49"/>
        <v>1228425.0339046959</v>
      </c>
      <c r="BS50" s="179">
        <f t="shared" si="49"/>
        <v>1459603.514651774</v>
      </c>
      <c r="BT50" s="179">
        <f t="shared" si="49"/>
        <v>1279988.0066722608</v>
      </c>
      <c r="BU50" s="179">
        <f t="shared" si="49"/>
        <v>1516180</v>
      </c>
      <c r="BV50" s="179">
        <f t="shared" si="49"/>
        <v>4137351</v>
      </c>
      <c r="BW50" s="179">
        <f t="shared" si="49"/>
        <v>4387144</v>
      </c>
      <c r="BX50" s="179">
        <f t="shared" si="49"/>
        <v>4520076</v>
      </c>
      <c r="BY50" s="179">
        <f t="shared" si="49"/>
        <v>5489751</v>
      </c>
      <c r="BZ50" s="179">
        <f t="shared" si="49"/>
        <v>6984388</v>
      </c>
      <c r="CA50" s="179">
        <f t="shared" si="49"/>
        <v>6660586</v>
      </c>
      <c r="CB50" s="179">
        <f t="shared" si="49"/>
        <v>7055431</v>
      </c>
      <c r="CC50" s="179">
        <f t="shared" ref="CC50:CJ50" si="50">SUM(CC48,CC37,CC35,CC22)</f>
        <v>7007440.4559703134</v>
      </c>
      <c r="CD50" s="179">
        <f t="shared" si="50"/>
        <v>9341747.9086000007</v>
      </c>
      <c r="CE50" s="179">
        <f t="shared" si="50"/>
        <v>10504500</v>
      </c>
      <c r="CF50" s="179">
        <f t="shared" si="50"/>
        <v>11445166.185225453</v>
      </c>
      <c r="CG50" s="179">
        <f t="shared" si="50"/>
        <v>12221416</v>
      </c>
      <c r="CH50" s="179">
        <f t="shared" si="50"/>
        <v>12862921</v>
      </c>
      <c r="CI50" s="179">
        <f t="shared" si="50"/>
        <v>16292271</v>
      </c>
      <c r="CJ50" s="179">
        <f t="shared" si="50"/>
        <v>20022251.460528847</v>
      </c>
      <c r="CK50" s="179">
        <f t="shared" ref="CK50:CP50" si="51">SUM(CK48,CK37,CK35,CK22)</f>
        <v>20424996</v>
      </c>
      <c r="CL50" s="179">
        <f t="shared" si="51"/>
        <v>25623115</v>
      </c>
      <c r="CM50" s="179">
        <f t="shared" si="51"/>
        <v>25991952</v>
      </c>
      <c r="CN50" s="179">
        <f t="shared" si="51"/>
        <v>28521683</v>
      </c>
      <c r="CO50" s="179">
        <f t="shared" si="51"/>
        <v>28310932</v>
      </c>
      <c r="CP50" s="179">
        <f t="shared" si="51"/>
        <v>30779118</v>
      </c>
      <c r="CQ50" s="179">
        <f>SUM(CQ48,CQ37,CQ35,CQ22)</f>
        <v>37293930</v>
      </c>
      <c r="CR50" s="179">
        <f t="shared" ref="CR50" si="52">SUM(CR48,CR37,CR35,CR22)</f>
        <v>43300018</v>
      </c>
      <c r="CS50" s="179">
        <f t="shared" ref="CS50:CT50" si="53">SUM(CS48,CS37,CS35,CS22)</f>
        <v>55746165</v>
      </c>
      <c r="CT50" s="179">
        <f t="shared" si="53"/>
        <v>54789865</v>
      </c>
      <c r="CU50" s="225">
        <f t="shared" ref="CU50:CV50" si="54">SUM(CU48,CU37,CU35,CU22)</f>
        <v>55437713</v>
      </c>
      <c r="CV50" s="225">
        <f t="shared" si="54"/>
        <v>59729709</v>
      </c>
      <c r="CW50" s="225">
        <f t="shared" ref="CW50" si="55">SUM(CW48,CW37,CW35,CW22)</f>
        <v>64179605</v>
      </c>
      <c r="CX50" s="225">
        <f t="shared" ref="CX50" si="56">SUM(CX48,CX37,CX35,CX22)</f>
        <v>63548709</v>
      </c>
      <c r="CY50" s="225">
        <f>SUM(CY48,CY37,CY35,CY22)</f>
        <v>63510624</v>
      </c>
    </row>
    <row r="51" spans="2:10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9"/>
      <c r="V51" s="59"/>
      <c r="W51" s="59"/>
      <c r="X51" s="59"/>
      <c r="Y51" s="59"/>
      <c r="Z51" s="5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CH51" s="25">
        <f>+CH50-AH44</f>
        <v>337251</v>
      </c>
      <c r="CI51" s="25">
        <f>+CI50-AI44</f>
        <v>320051</v>
      </c>
      <c r="CP51" s="297"/>
    </row>
    <row r="52" spans="2:10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9"/>
      <c r="V52" s="59"/>
      <c r="W52" s="59"/>
      <c r="X52" s="59"/>
      <c r="Y52" s="59"/>
      <c r="Z52" s="5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BA52" s="18"/>
      <c r="BI52" s="18"/>
      <c r="BJ52" s="26"/>
      <c r="BK52" s="26"/>
      <c r="BL52" s="18"/>
      <c r="BM52" s="18"/>
      <c r="BN52" s="18"/>
      <c r="BO52" s="18"/>
      <c r="BP52" s="18"/>
      <c r="BQ52" s="18"/>
    </row>
    <row r="53" spans="2:103">
      <c r="U53" s="59"/>
      <c r="V53" s="59"/>
      <c r="W53" s="59"/>
      <c r="X53" s="59"/>
      <c r="Y53" s="59"/>
      <c r="Z53" s="5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BE53" s="26"/>
      <c r="BF53" s="26"/>
      <c r="BG53" s="26"/>
      <c r="BH53" s="27"/>
    </row>
    <row r="54" spans="2:103">
      <c r="U54" s="59"/>
      <c r="V54" s="59"/>
      <c r="W54" s="59"/>
      <c r="X54" s="59"/>
      <c r="Y54" s="59"/>
      <c r="Z54" s="5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BB54" s="18"/>
      <c r="BC54" s="18"/>
      <c r="BD54" s="18"/>
    </row>
    <row r="55" spans="2:103">
      <c r="U55" s="64"/>
      <c r="V55" s="64"/>
      <c r="W55" s="64"/>
      <c r="X55" s="64"/>
      <c r="Y55" s="64"/>
      <c r="Z55" s="64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</row>
    <row r="57" spans="2:103">
      <c r="BB57" s="29"/>
      <c r="BC57" s="29"/>
      <c r="BD57" s="29"/>
      <c r="BE57" s="29"/>
      <c r="BF57" s="29"/>
      <c r="BG57" s="29"/>
      <c r="BH57" s="30"/>
      <c r="BI57" s="29"/>
      <c r="BJ57" s="29"/>
      <c r="BK57" s="29"/>
      <c r="BL57" s="29"/>
      <c r="BM57" s="29"/>
      <c r="BN57" s="29"/>
      <c r="BQ57" s="29"/>
    </row>
    <row r="58" spans="2:103">
      <c r="BB58" s="25"/>
      <c r="BC58" s="25"/>
      <c r="BD58" s="25"/>
      <c r="BE58" s="25"/>
      <c r="BF58" s="25"/>
      <c r="BG58" s="25"/>
      <c r="BH58" s="31"/>
      <c r="BI58" s="25"/>
      <c r="BJ58" s="25"/>
      <c r="BK58" s="25"/>
      <c r="BL58" s="25"/>
      <c r="BM58" s="25"/>
      <c r="BN58" s="25"/>
      <c r="BQ58" s="25"/>
    </row>
    <row r="59" spans="2:103">
      <c r="BB59" s="25"/>
      <c r="BC59" s="25"/>
      <c r="BD59" s="25"/>
      <c r="BE59" s="25"/>
      <c r="BF59" s="25"/>
      <c r="BG59" s="25"/>
      <c r="BH59" s="31"/>
      <c r="BI59" s="25"/>
      <c r="BJ59" s="25"/>
      <c r="BK59" s="25"/>
      <c r="BL59" s="25"/>
      <c r="BM59" s="25"/>
      <c r="BN59" s="25"/>
      <c r="BQ59" s="25"/>
    </row>
    <row r="66" spans="21:60">
      <c r="U66" s="59"/>
      <c r="V66" s="59"/>
      <c r="W66" s="59"/>
      <c r="X66" s="59"/>
      <c r="Y66" s="59"/>
      <c r="Z66" s="5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</row>
    <row r="67" spans="21:60">
      <c r="U67" s="59"/>
      <c r="V67" s="59"/>
      <c r="W67" s="59"/>
      <c r="X67" s="59"/>
      <c r="Y67" s="59"/>
      <c r="Z67" s="5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</row>
    <row r="68" spans="21:60">
      <c r="U68" s="59"/>
      <c r="V68" s="59"/>
      <c r="W68" s="59"/>
      <c r="X68" s="59"/>
      <c r="Y68" s="59"/>
      <c r="Z68" s="5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</row>
    <row r="74" spans="21:60">
      <c r="BH74" s="23"/>
    </row>
    <row r="75" spans="21:60">
      <c r="BH75" s="23"/>
    </row>
    <row r="76" spans="21:60">
      <c r="BH76" s="23"/>
    </row>
    <row r="84" spans="2:11">
      <c r="B84" s="362"/>
      <c r="C84" s="362"/>
      <c r="D84" s="362"/>
      <c r="E84" s="362"/>
      <c r="F84" s="362"/>
      <c r="G84" s="362"/>
      <c r="H84" s="362"/>
      <c r="I84" s="362"/>
      <c r="J84" s="362"/>
      <c r="K84" s="362"/>
    </row>
    <row r="92" spans="2:11">
      <c r="B92" s="362"/>
      <c r="C92" s="362"/>
      <c r="D92" s="362"/>
      <c r="E92" s="362"/>
      <c r="F92" s="362"/>
      <c r="G92" s="362"/>
      <c r="H92" s="362"/>
      <c r="I92" s="362"/>
      <c r="J92" s="362"/>
      <c r="K92" s="362"/>
    </row>
  </sheetData>
  <mergeCells count="2">
    <mergeCell ref="B84:K84"/>
    <mergeCell ref="B92:K92"/>
  </mergeCells>
  <phoneticPr fontId="81" type="noConversion"/>
  <pageMargins left="0.51181102362204722" right="0.51181102362204722" top="0.78740157480314965" bottom="0.78740157480314965" header="0.31496062992125984" footer="0.31496062992125984"/>
  <pageSetup paperSize="9" scale="2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AB79-52BE-4162-8326-1EB1F4D5B7FB}">
  <dimension ref="A3:L94"/>
  <sheetViews>
    <sheetView showGridLines="0" zoomScaleNormal="100" workbookViewId="0">
      <pane xSplit="2" ySplit="5" topLeftCell="C6" activePane="bottomRight" state="frozen"/>
      <selection pane="topRight" activeCell="AR7" sqref="AR7"/>
      <selection pane="bottomLeft" activeCell="AR7" sqref="AR7"/>
      <selection pane="bottomRight" activeCell="K4" sqref="K4"/>
    </sheetView>
  </sheetViews>
  <sheetFormatPr defaultColWidth="9.33203125" defaultRowHeight="16.8"/>
  <cols>
    <col min="1" max="1" width="9.33203125" style="255" customWidth="1"/>
    <col min="2" max="2" width="65.6640625" style="255" bestFit="1" customWidth="1"/>
    <col min="3" max="5" width="14.44140625" style="255" customWidth="1"/>
    <col min="6" max="6" width="15.33203125" style="255" bestFit="1" customWidth="1"/>
    <col min="7" max="7" width="14.44140625" style="255" bestFit="1" customWidth="1"/>
    <col min="8" max="11" width="14.33203125" style="255" bestFit="1" customWidth="1"/>
    <col min="12" max="18" width="9.33203125" style="255"/>
    <col min="19" max="19" width="31.6640625" style="255" customWidth="1"/>
    <col min="20" max="16384" width="9.33203125" style="255"/>
  </cols>
  <sheetData>
    <row r="3" spans="1:11">
      <c r="E3" s="363"/>
      <c r="F3" s="363"/>
    </row>
    <row r="4" spans="1:11" ht="18" customHeight="1" thickBot="1">
      <c r="A4" s="256"/>
      <c r="B4" s="257"/>
      <c r="C4" s="258">
        <v>43435</v>
      </c>
      <c r="D4" s="258">
        <v>43800</v>
      </c>
      <c r="E4" s="258">
        <v>44166</v>
      </c>
      <c r="F4" s="258">
        <v>44531</v>
      </c>
      <c r="G4" s="258">
        <v>44896</v>
      </c>
      <c r="H4" s="258">
        <v>45261</v>
      </c>
      <c r="I4" s="258">
        <v>45627</v>
      </c>
      <c r="J4" s="258">
        <v>45992</v>
      </c>
      <c r="K4" s="354">
        <v>46174</v>
      </c>
    </row>
    <row r="5" spans="1:11" ht="18" hidden="1" customHeight="1" thickBot="1">
      <c r="A5" s="256"/>
      <c r="B5" s="257"/>
      <c r="C5" s="259"/>
      <c r="D5" s="259"/>
      <c r="E5" s="259">
        <v>2020</v>
      </c>
      <c r="F5" s="259">
        <v>2021</v>
      </c>
      <c r="G5" s="259"/>
    </row>
    <row r="6" spans="1:11" ht="18" customHeight="1">
      <c r="A6" s="256"/>
      <c r="B6" s="260" t="s">
        <v>147</v>
      </c>
      <c r="C6" s="256"/>
      <c r="D6" s="256"/>
      <c r="E6" s="256"/>
      <c r="F6" s="256"/>
      <c r="G6" s="256"/>
      <c r="H6" s="256"/>
    </row>
    <row r="7" spans="1:11">
      <c r="A7" s="261"/>
      <c r="B7" s="262" t="s">
        <v>148</v>
      </c>
      <c r="C7" s="263">
        <v>237485</v>
      </c>
      <c r="D7" s="263">
        <v>541002</v>
      </c>
      <c r="E7" s="263">
        <v>484080</v>
      </c>
      <c r="F7" s="263">
        <v>1499121</v>
      </c>
      <c r="G7" s="263">
        <v>3661820</v>
      </c>
      <c r="H7" s="263">
        <v>6104672</v>
      </c>
      <c r="I7" s="263">
        <v>6361119</v>
      </c>
      <c r="J7" s="337">
        <v>-232613</v>
      </c>
      <c r="K7" s="337">
        <v>3819165</v>
      </c>
    </row>
    <row r="8" spans="1:11">
      <c r="A8" s="264"/>
      <c r="B8" s="255" t="s">
        <v>149</v>
      </c>
      <c r="C8" s="265">
        <v>72462</v>
      </c>
      <c r="D8" s="265">
        <v>508958</v>
      </c>
      <c r="E8" s="265">
        <v>843800</v>
      </c>
      <c r="F8" s="265">
        <v>881271</v>
      </c>
      <c r="G8" s="265">
        <v>854256</v>
      </c>
      <c r="H8" s="265">
        <v>2054585</v>
      </c>
      <c r="I8" s="265">
        <v>2494296</v>
      </c>
      <c r="J8" s="334">
        <v>5855918</v>
      </c>
      <c r="K8" s="334">
        <v>3575458</v>
      </c>
    </row>
    <row r="9" spans="1:11">
      <c r="A9" s="264"/>
      <c r="B9" s="255" t="s">
        <v>280</v>
      </c>
      <c r="C9" s="265">
        <v>-51400</v>
      </c>
      <c r="D9" s="265">
        <v>323082</v>
      </c>
      <c r="E9" s="265">
        <v>670384</v>
      </c>
      <c r="F9" s="265">
        <v>533817</v>
      </c>
      <c r="G9" s="265">
        <v>330950</v>
      </c>
      <c r="H9" s="265">
        <v>1683473</v>
      </c>
      <c r="I9" s="265">
        <v>975760</v>
      </c>
      <c r="J9" s="265">
        <v>1926770</v>
      </c>
      <c r="K9" s="265">
        <v>1448239</v>
      </c>
    </row>
    <row r="10" spans="1:11">
      <c r="A10" s="264"/>
      <c r="B10" s="255" t="s">
        <v>150</v>
      </c>
      <c r="C10" s="265">
        <v>17612</v>
      </c>
      <c r="D10" s="265">
        <v>13333</v>
      </c>
      <c r="E10" s="265">
        <v>7545</v>
      </c>
      <c r="F10" s="265">
        <v>27527</v>
      </c>
      <c r="G10" s="265">
        <v>36008</v>
      </c>
      <c r="H10" s="265">
        <v>90001</v>
      </c>
      <c r="I10" s="265">
        <v>70870</v>
      </c>
      <c r="J10" s="334">
        <v>70762</v>
      </c>
      <c r="K10" s="334">
        <v>54874</v>
      </c>
    </row>
    <row r="11" spans="1:11">
      <c r="A11" s="264"/>
      <c r="B11" s="272" t="s">
        <v>151</v>
      </c>
      <c r="C11" s="265">
        <v>119</v>
      </c>
      <c r="D11" s="265">
        <v>0</v>
      </c>
      <c r="E11" s="265">
        <v>0</v>
      </c>
      <c r="F11" s="265">
        <v>0</v>
      </c>
      <c r="G11" s="265">
        <v>0</v>
      </c>
      <c r="H11" s="265">
        <v>0</v>
      </c>
      <c r="I11" s="265">
        <v>0</v>
      </c>
      <c r="J11" s="265">
        <v>0</v>
      </c>
      <c r="K11" s="265">
        <v>0</v>
      </c>
    </row>
    <row r="12" spans="1:11">
      <c r="A12" s="264"/>
      <c r="B12" s="272" t="s">
        <v>152</v>
      </c>
      <c r="C12" s="265">
        <v>1321</v>
      </c>
      <c r="D12" s="265">
        <v>0</v>
      </c>
      <c r="E12" s="265">
        <v>0</v>
      </c>
      <c r="F12" s="265">
        <v>0</v>
      </c>
      <c r="G12" s="265">
        <v>0</v>
      </c>
      <c r="H12" s="265">
        <v>0</v>
      </c>
      <c r="I12" s="265">
        <v>0</v>
      </c>
      <c r="J12" s="265">
        <v>0</v>
      </c>
      <c r="K12" s="265">
        <v>0</v>
      </c>
    </row>
    <row r="13" spans="1:11">
      <c r="A13" s="264"/>
      <c r="B13" s="272" t="s">
        <v>153</v>
      </c>
      <c r="C13" s="265">
        <v>0</v>
      </c>
      <c r="D13" s="265">
        <v>0</v>
      </c>
      <c r="E13" s="265">
        <v>0</v>
      </c>
      <c r="F13" s="265">
        <v>0</v>
      </c>
      <c r="G13" s="265">
        <v>0</v>
      </c>
      <c r="H13" s="265">
        <v>0</v>
      </c>
      <c r="I13" s="265">
        <v>0</v>
      </c>
      <c r="J13" s="265">
        <v>0</v>
      </c>
      <c r="K13" s="265">
        <v>0</v>
      </c>
    </row>
    <row r="14" spans="1:11">
      <c r="A14" s="264"/>
      <c r="B14" s="272" t="s">
        <v>154</v>
      </c>
      <c r="C14" s="265">
        <v>14354</v>
      </c>
      <c r="D14" s="265">
        <v>19545</v>
      </c>
      <c r="E14" s="265">
        <v>-13621</v>
      </c>
      <c r="F14" s="265">
        <v>88418</v>
      </c>
      <c r="G14" s="265">
        <v>38402</v>
      </c>
      <c r="H14" s="265">
        <v>-65173</v>
      </c>
      <c r="I14" s="265">
        <v>-90512</v>
      </c>
      <c r="J14" s="334">
        <v>-41689</v>
      </c>
      <c r="K14" s="334">
        <v>12805</v>
      </c>
    </row>
    <row r="15" spans="1:11">
      <c r="A15" s="264"/>
      <c r="B15" s="255" t="s">
        <v>155</v>
      </c>
      <c r="C15" s="265">
        <v>0</v>
      </c>
      <c r="D15" s="265">
        <v>-74784</v>
      </c>
      <c r="E15" s="265">
        <v>0</v>
      </c>
      <c r="F15" s="265">
        <v>0</v>
      </c>
      <c r="G15" s="265">
        <v>0</v>
      </c>
      <c r="H15" s="265">
        <v>0</v>
      </c>
      <c r="I15" s="265">
        <v>0</v>
      </c>
      <c r="J15" s="334">
        <v>0</v>
      </c>
      <c r="K15" s="334">
        <v>0</v>
      </c>
    </row>
    <row r="16" spans="1:11">
      <c r="A16" s="264"/>
      <c r="B16" s="255" t="s">
        <v>202</v>
      </c>
      <c r="C16" s="265">
        <v>-14591</v>
      </c>
      <c r="D16" s="265">
        <v>-13201</v>
      </c>
      <c r="E16" s="265">
        <v>-602310</v>
      </c>
      <c r="F16" s="265">
        <v>-153195</v>
      </c>
      <c r="G16" s="265">
        <v>-329856</v>
      </c>
      <c r="H16" s="265">
        <v>-89275</v>
      </c>
      <c r="I16" s="265">
        <v>-68409</v>
      </c>
      <c r="J16" s="334">
        <v>-178745</v>
      </c>
      <c r="K16" s="334">
        <v>-87954</v>
      </c>
    </row>
    <row r="17" spans="1:11">
      <c r="A17" s="264"/>
      <c r="B17" s="255" t="s">
        <v>157</v>
      </c>
      <c r="C17" s="265">
        <v>644</v>
      </c>
      <c r="D17" s="265">
        <v>-568370</v>
      </c>
      <c r="E17" s="265">
        <v>0</v>
      </c>
      <c r="F17" s="265">
        <v>0</v>
      </c>
      <c r="G17" s="265">
        <v>0</v>
      </c>
      <c r="H17" s="265">
        <v>-31849</v>
      </c>
      <c r="I17" s="265">
        <v>0</v>
      </c>
      <c r="J17" s="334">
        <v>0</v>
      </c>
      <c r="K17" s="334">
        <v>0</v>
      </c>
    </row>
    <row r="18" spans="1:11">
      <c r="A18" s="264"/>
      <c r="B18" s="255" t="s">
        <v>158</v>
      </c>
      <c r="C18" s="265">
        <v>89</v>
      </c>
      <c r="D18" s="265">
        <v>27651</v>
      </c>
      <c r="E18" s="265">
        <v>0</v>
      </c>
      <c r="F18" s="265">
        <v>0</v>
      </c>
      <c r="G18" s="265">
        <v>0</v>
      </c>
      <c r="H18" s="265">
        <v>0</v>
      </c>
      <c r="I18" s="265">
        <v>0</v>
      </c>
      <c r="J18" s="334">
        <v>0</v>
      </c>
      <c r="K18" s="334">
        <v>0</v>
      </c>
    </row>
    <row r="19" spans="1:11">
      <c r="A19" s="264"/>
      <c r="B19" s="255" t="s">
        <v>159</v>
      </c>
      <c r="C19" s="265">
        <f>[19]FCxI!$H$15</f>
        <v>0</v>
      </c>
      <c r="D19" s="265">
        <f>[19]FCxI!$H$15</f>
        <v>0</v>
      </c>
      <c r="E19" s="265">
        <v>0</v>
      </c>
      <c r="F19" s="265">
        <v>0</v>
      </c>
      <c r="G19" s="265">
        <v>0</v>
      </c>
      <c r="H19" s="265">
        <v>0</v>
      </c>
      <c r="I19" s="265">
        <v>0</v>
      </c>
      <c r="J19" s="334">
        <v>0</v>
      </c>
      <c r="K19" s="334">
        <v>0</v>
      </c>
    </row>
    <row r="20" spans="1:11">
      <c r="A20" s="264"/>
      <c r="B20" s="255" t="s">
        <v>160</v>
      </c>
      <c r="C20" s="265">
        <v>0</v>
      </c>
      <c r="D20" s="265">
        <v>0</v>
      </c>
      <c r="E20" s="265">
        <v>0</v>
      </c>
      <c r="F20" s="265">
        <v>0</v>
      </c>
      <c r="G20" s="265">
        <v>0</v>
      </c>
      <c r="H20" s="265">
        <v>0</v>
      </c>
      <c r="I20" s="265">
        <v>-58412</v>
      </c>
      <c r="J20" s="334">
        <v>0</v>
      </c>
      <c r="K20" s="334">
        <v>0</v>
      </c>
    </row>
    <row r="21" spans="1:11" ht="17.399999999999999" thickBot="1">
      <c r="A21" s="264"/>
      <c r="B21" s="266"/>
      <c r="C21" s="267"/>
      <c r="D21" s="267"/>
      <c r="E21" s="267"/>
      <c r="F21" s="267"/>
      <c r="G21" s="267"/>
      <c r="H21" s="267"/>
      <c r="I21" s="267"/>
      <c r="J21" s="338"/>
      <c r="K21" s="338"/>
    </row>
    <row r="22" spans="1:11">
      <c r="A22" s="261"/>
      <c r="C22" s="263">
        <f t="shared" ref="C22:K22" si="0">+SUM(C7:C20)</f>
        <v>278095</v>
      </c>
      <c r="D22" s="263">
        <f t="shared" si="0"/>
        <v>777216</v>
      </c>
      <c r="E22" s="263">
        <f t="shared" si="0"/>
        <v>1389878</v>
      </c>
      <c r="F22" s="263">
        <f t="shared" si="0"/>
        <v>2876959</v>
      </c>
      <c r="G22" s="263">
        <f t="shared" si="0"/>
        <v>4591580</v>
      </c>
      <c r="H22" s="263">
        <f t="shared" si="0"/>
        <v>9746434</v>
      </c>
      <c r="I22" s="263">
        <f t="shared" si="0"/>
        <v>9684712</v>
      </c>
      <c r="J22" s="337">
        <f t="shared" si="0"/>
        <v>7400403</v>
      </c>
      <c r="K22" s="337">
        <f t="shared" si="0"/>
        <v>8822587</v>
      </c>
    </row>
    <row r="23" spans="1:11">
      <c r="A23" s="261"/>
      <c r="B23" s="262" t="s">
        <v>161</v>
      </c>
      <c r="C23" s="263"/>
      <c r="D23" s="263"/>
      <c r="E23" s="263"/>
      <c r="F23" s="263"/>
      <c r="G23" s="263"/>
      <c r="H23" s="263"/>
      <c r="I23" s="263"/>
      <c r="J23" s="337"/>
      <c r="K23" s="337"/>
    </row>
    <row r="24" spans="1:11">
      <c r="A24" s="264"/>
      <c r="B24" s="255" t="s">
        <v>99</v>
      </c>
      <c r="C24" s="265">
        <v>-5615</v>
      </c>
      <c r="D24" s="265">
        <v>-335770</v>
      </c>
      <c r="E24" s="265">
        <v>31557</v>
      </c>
      <c r="F24" s="265">
        <v>-503581</v>
      </c>
      <c r="G24" s="265">
        <v>731806</v>
      </c>
      <c r="H24" s="265">
        <v>-1459931</v>
      </c>
      <c r="I24" s="265">
        <v>1321427</v>
      </c>
      <c r="J24" s="334">
        <v>-872444</v>
      </c>
      <c r="K24" s="334">
        <v>-2581491</v>
      </c>
    </row>
    <row r="25" spans="1:11">
      <c r="A25" s="264"/>
      <c r="B25" s="255" t="s">
        <v>128</v>
      </c>
      <c r="C25" s="265">
        <v>20278</v>
      </c>
      <c r="D25" s="265">
        <v>-25354</v>
      </c>
      <c r="E25" s="265">
        <v>8571</v>
      </c>
      <c r="F25" s="265">
        <v>-8616</v>
      </c>
      <c r="G25" s="265">
        <v>22309</v>
      </c>
      <c r="H25" s="265">
        <v>-280224</v>
      </c>
      <c r="I25" s="265">
        <v>-330100</v>
      </c>
      <c r="J25" s="334">
        <v>343269</v>
      </c>
      <c r="K25" s="334">
        <v>-290144</v>
      </c>
    </row>
    <row r="26" spans="1:11">
      <c r="A26" s="264"/>
      <c r="B26" s="255" t="s">
        <v>111</v>
      </c>
      <c r="C26" s="265">
        <v>1421</v>
      </c>
      <c r="D26" s="265">
        <v>-4985</v>
      </c>
      <c r="E26" s="265">
        <v>-17078</v>
      </c>
      <c r="F26" s="265">
        <v>16174</v>
      </c>
      <c r="G26" s="265">
        <v>-3265</v>
      </c>
      <c r="H26" s="265">
        <v>-9468</v>
      </c>
      <c r="I26" s="265">
        <v>-1472</v>
      </c>
      <c r="J26" s="334">
        <v>-6302</v>
      </c>
      <c r="K26" s="334">
        <v>-17679</v>
      </c>
    </row>
    <row r="27" spans="1:11">
      <c r="A27" s="264"/>
      <c r="B27" s="255" t="s">
        <v>107</v>
      </c>
      <c r="C27" s="265">
        <v>-5928</v>
      </c>
      <c r="D27" s="265">
        <v>-13213</v>
      </c>
      <c r="E27" s="265">
        <v>885</v>
      </c>
      <c r="F27" s="265">
        <v>-36849</v>
      </c>
      <c r="G27" s="265">
        <v>-14629</v>
      </c>
      <c r="H27" s="265">
        <v>43789</v>
      </c>
      <c r="I27" s="265">
        <v>-484764</v>
      </c>
      <c r="J27" s="334">
        <v>72530</v>
      </c>
      <c r="K27" s="334">
        <v>318572</v>
      </c>
    </row>
    <row r="28" spans="1:11">
      <c r="A28" s="264"/>
      <c r="B28" s="255" t="s">
        <v>278</v>
      </c>
      <c r="C28" s="265">
        <v>-14499</v>
      </c>
      <c r="D28" s="265">
        <v>59465</v>
      </c>
      <c r="E28" s="265">
        <v>-31345</v>
      </c>
      <c r="F28" s="265">
        <v>-51033</v>
      </c>
      <c r="G28" s="265">
        <v>-223015</v>
      </c>
      <c r="H28" s="265">
        <v>213845</v>
      </c>
      <c r="I28" s="265">
        <v>-326239</v>
      </c>
      <c r="J28" s="265">
        <v>-89625</v>
      </c>
      <c r="K28" s="265">
        <v>659811</v>
      </c>
    </row>
    <row r="29" spans="1:11">
      <c r="A29" s="264"/>
      <c r="B29" s="255" t="s">
        <v>162</v>
      </c>
      <c r="C29" s="265">
        <v>0</v>
      </c>
      <c r="D29" s="265">
        <v>0</v>
      </c>
      <c r="E29" s="265">
        <v>0</v>
      </c>
      <c r="F29" s="265">
        <v>0</v>
      </c>
      <c r="G29" s="265">
        <v>0</v>
      </c>
      <c r="H29" s="265">
        <v>0</v>
      </c>
      <c r="I29" s="265">
        <v>0</v>
      </c>
      <c r="J29" s="334">
        <v>0</v>
      </c>
      <c r="K29" s="334">
        <v>0</v>
      </c>
    </row>
    <row r="30" spans="1:11">
      <c r="A30" s="264"/>
      <c r="B30" s="255" t="s">
        <v>163</v>
      </c>
      <c r="C30" s="265">
        <v>787</v>
      </c>
      <c r="D30" s="265">
        <v>-12604</v>
      </c>
      <c r="E30" s="265">
        <v>233630</v>
      </c>
      <c r="F30" s="265">
        <v>44724</v>
      </c>
      <c r="G30" s="265">
        <v>6614</v>
      </c>
      <c r="H30" s="265">
        <v>-127778</v>
      </c>
      <c r="I30" s="265">
        <v>136078</v>
      </c>
      <c r="J30" s="334">
        <v>64421</v>
      </c>
      <c r="K30" s="334">
        <v>165600</v>
      </c>
    </row>
    <row r="31" spans="1:11">
      <c r="A31" s="264"/>
      <c r="B31" s="255" t="s">
        <v>126</v>
      </c>
      <c r="C31" s="265">
        <v>-3124</v>
      </c>
      <c r="D31" s="265">
        <v>-5622</v>
      </c>
      <c r="E31" s="265">
        <v>-16786</v>
      </c>
      <c r="F31" s="265">
        <v>9680</v>
      </c>
      <c r="G31" s="265">
        <v>607</v>
      </c>
      <c r="H31" s="265">
        <v>4266</v>
      </c>
      <c r="I31" s="265">
        <v>-7115</v>
      </c>
      <c r="J31" s="334">
        <v>937</v>
      </c>
      <c r="K31" s="334">
        <v>92</v>
      </c>
    </row>
    <row r="32" spans="1:11">
      <c r="A32" s="264"/>
      <c r="B32" s="255" t="s">
        <v>113</v>
      </c>
      <c r="C32" s="265">
        <v>262</v>
      </c>
      <c r="D32" s="265">
        <v>1292</v>
      </c>
      <c r="E32" s="265">
        <v>139</v>
      </c>
      <c r="F32" s="265">
        <v>-513</v>
      </c>
      <c r="G32" s="265">
        <v>584</v>
      </c>
      <c r="H32" s="265">
        <v>586</v>
      </c>
      <c r="I32" s="265">
        <v>-226</v>
      </c>
      <c r="J32" s="334">
        <v>32448</v>
      </c>
      <c r="K32" s="334">
        <v>-712</v>
      </c>
    </row>
    <row r="33" spans="1:11">
      <c r="A33" s="264"/>
      <c r="B33" s="262" t="s">
        <v>164</v>
      </c>
      <c r="C33" s="265"/>
      <c r="D33" s="265"/>
      <c r="E33" s="265"/>
      <c r="F33" s="265"/>
      <c r="G33" s="265"/>
      <c r="H33" s="265"/>
      <c r="I33" s="265"/>
      <c r="J33" s="334"/>
      <c r="K33" s="334"/>
    </row>
    <row r="34" spans="1:11">
      <c r="A34" s="264"/>
      <c r="B34" s="255" t="s">
        <v>93</v>
      </c>
      <c r="C34" s="265">
        <v>-3614</v>
      </c>
      <c r="D34" s="265">
        <v>-35543</v>
      </c>
      <c r="E34" s="265">
        <v>80863</v>
      </c>
      <c r="F34" s="265">
        <v>63670</v>
      </c>
      <c r="G34" s="265">
        <v>396785</v>
      </c>
      <c r="H34" s="265">
        <v>-79935</v>
      </c>
      <c r="I34" s="265">
        <v>220982</v>
      </c>
      <c r="J34" s="334">
        <v>1719209</v>
      </c>
      <c r="K34" s="334">
        <v>-1245846</v>
      </c>
    </row>
    <row r="35" spans="1:11">
      <c r="A35" s="264"/>
      <c r="B35" s="255" t="s">
        <v>95</v>
      </c>
      <c r="C35" s="265">
        <v>4870</v>
      </c>
      <c r="D35" s="265">
        <v>13080</v>
      </c>
      <c r="E35" s="265">
        <v>15912</v>
      </c>
      <c r="F35" s="265">
        <v>76468</v>
      </c>
      <c r="G35" s="265">
        <v>11209</v>
      </c>
      <c r="H35" s="265">
        <v>109214</v>
      </c>
      <c r="I35" s="265">
        <v>49856</v>
      </c>
      <c r="J35" s="334">
        <v>261252</v>
      </c>
      <c r="K35" s="334">
        <v>-118729</v>
      </c>
    </row>
    <row r="36" spans="1:11">
      <c r="A36" s="264"/>
      <c r="B36" s="255" t="s">
        <v>98</v>
      </c>
      <c r="C36" s="265">
        <v>-31327</v>
      </c>
      <c r="D36" s="265">
        <v>3147</v>
      </c>
      <c r="E36" s="265">
        <v>-82564</v>
      </c>
      <c r="F36" s="265">
        <v>-196901</v>
      </c>
      <c r="G36" s="265">
        <v>-597001</v>
      </c>
      <c r="H36" s="265">
        <v>-453939</v>
      </c>
      <c r="I36" s="265">
        <v>-672365</v>
      </c>
      <c r="J36" s="334">
        <v>-794885</v>
      </c>
      <c r="K36" s="334">
        <v>97651</v>
      </c>
    </row>
    <row r="37" spans="1:11" ht="17.25" customHeight="1">
      <c r="A37" s="264"/>
      <c r="B37" s="255" t="s">
        <v>162</v>
      </c>
      <c r="C37" s="265">
        <v>0</v>
      </c>
      <c r="D37" s="265">
        <v>0</v>
      </c>
      <c r="E37" s="265">
        <v>0</v>
      </c>
      <c r="F37" s="265">
        <v>0</v>
      </c>
      <c r="G37" s="265">
        <v>0</v>
      </c>
      <c r="H37" s="265">
        <v>0</v>
      </c>
      <c r="I37" s="265">
        <v>0</v>
      </c>
      <c r="J37" s="334">
        <v>0</v>
      </c>
      <c r="K37" s="334">
        <v>0</v>
      </c>
    </row>
    <row r="38" spans="1:11">
      <c r="A38" s="264"/>
      <c r="B38" s="255" t="s">
        <v>165</v>
      </c>
      <c r="C38" s="265">
        <v>1109</v>
      </c>
      <c r="D38" s="265">
        <v>19589</v>
      </c>
      <c r="E38" s="265">
        <v>16218</v>
      </c>
      <c r="F38" s="265">
        <v>-105848</v>
      </c>
      <c r="G38" s="265">
        <v>-3</v>
      </c>
      <c r="H38" s="265">
        <v>0</v>
      </c>
      <c r="I38" s="265">
        <v>0</v>
      </c>
      <c r="J38" s="334">
        <v>0</v>
      </c>
      <c r="K38" s="334">
        <v>0</v>
      </c>
    </row>
    <row r="39" spans="1:11">
      <c r="A39" s="264"/>
      <c r="B39" s="255" t="s">
        <v>163</v>
      </c>
      <c r="C39" s="265">
        <v>-3171</v>
      </c>
      <c r="D39" s="265">
        <v>1214</v>
      </c>
      <c r="E39" s="265">
        <v>4</v>
      </c>
      <c r="F39" s="265">
        <v>0</v>
      </c>
      <c r="G39" s="265">
        <v>0</v>
      </c>
      <c r="H39" s="265">
        <v>0</v>
      </c>
      <c r="I39" s="265">
        <v>0</v>
      </c>
      <c r="J39" s="334">
        <v>0</v>
      </c>
      <c r="K39" s="334">
        <v>0</v>
      </c>
    </row>
    <row r="40" spans="1:11">
      <c r="A40" s="264"/>
      <c r="B40" s="255" t="s">
        <v>166</v>
      </c>
      <c r="C40" s="265">
        <v>-6741</v>
      </c>
      <c r="D40" s="265">
        <v>-1472</v>
      </c>
      <c r="E40" s="265">
        <v>-1</v>
      </c>
      <c r="F40" s="265">
        <v>-2782</v>
      </c>
      <c r="G40" s="265">
        <v>1236</v>
      </c>
      <c r="H40" s="265">
        <v>0</v>
      </c>
      <c r="I40" s="265">
        <v>0</v>
      </c>
      <c r="J40" s="334">
        <v>-4511</v>
      </c>
      <c r="K40" s="334">
        <v>0</v>
      </c>
    </row>
    <row r="41" spans="1:11" ht="17.399999999999999" thickBot="1">
      <c r="A41" s="264"/>
      <c r="B41" s="266" t="s">
        <v>167</v>
      </c>
      <c r="C41" s="267">
        <v>3760</v>
      </c>
      <c r="D41" s="267">
        <v>-2863</v>
      </c>
      <c r="E41" s="267">
        <v>-12338</v>
      </c>
      <c r="F41" s="267">
        <v>-598</v>
      </c>
      <c r="G41" s="267">
        <v>3577</v>
      </c>
      <c r="H41" s="267">
        <v>33428</v>
      </c>
      <c r="I41" s="267">
        <v>78711</v>
      </c>
      <c r="J41" s="338">
        <v>44867</v>
      </c>
      <c r="K41" s="338">
        <v>50680</v>
      </c>
    </row>
    <row r="42" spans="1:11">
      <c r="A42" s="261"/>
      <c r="B42" s="262" t="s">
        <v>168</v>
      </c>
      <c r="C42" s="263">
        <f t="shared" ref="C42:K42" si="1">+C22+SUM(C24:C41)</f>
        <v>236563</v>
      </c>
      <c r="D42" s="263">
        <f t="shared" si="1"/>
        <v>437577</v>
      </c>
      <c r="E42" s="263">
        <f t="shared" si="1"/>
        <v>1617545</v>
      </c>
      <c r="F42" s="263">
        <f t="shared" si="1"/>
        <v>2180954</v>
      </c>
      <c r="G42" s="263">
        <f t="shared" si="1"/>
        <v>4928394</v>
      </c>
      <c r="H42" s="263">
        <f t="shared" si="1"/>
        <v>7740287</v>
      </c>
      <c r="I42" s="263">
        <f t="shared" si="1"/>
        <v>9669485</v>
      </c>
      <c r="J42" s="337">
        <f t="shared" si="1"/>
        <v>8171569</v>
      </c>
      <c r="K42" s="337">
        <f t="shared" si="1"/>
        <v>5860392</v>
      </c>
    </row>
    <row r="43" spans="1:11">
      <c r="A43" s="264"/>
    </row>
    <row r="44" spans="1:11">
      <c r="A44" s="264"/>
      <c r="B44" s="260" t="s">
        <v>169</v>
      </c>
    </row>
    <row r="45" spans="1:11">
      <c r="A45" s="264"/>
      <c r="B45" s="255" t="s">
        <v>170</v>
      </c>
      <c r="C45" s="265">
        <v>-109094</v>
      </c>
      <c r="D45" s="265">
        <v>431531</v>
      </c>
      <c r="E45" s="265">
        <v>206491</v>
      </c>
      <c r="F45" s="265">
        <v>-3461400</v>
      </c>
      <c r="G45" s="265">
        <v>3554357</v>
      </c>
      <c r="H45" s="265">
        <v>0</v>
      </c>
      <c r="I45" s="265">
        <v>0</v>
      </c>
      <c r="J45" s="334">
        <v>0</v>
      </c>
      <c r="K45" s="334">
        <v>0</v>
      </c>
    </row>
    <row r="46" spans="1:11">
      <c r="A46" s="264"/>
      <c r="B46" s="255" t="s">
        <v>171</v>
      </c>
      <c r="C46" s="265">
        <v>6491</v>
      </c>
      <c r="D46" s="265">
        <v>-34986</v>
      </c>
      <c r="E46" s="265">
        <v>65950</v>
      </c>
      <c r="F46" s="265">
        <v>33476</v>
      </c>
      <c r="G46" s="265">
        <v>0</v>
      </c>
      <c r="H46" s="265">
        <v>0</v>
      </c>
      <c r="I46" s="265">
        <v>0</v>
      </c>
      <c r="J46" s="334">
        <v>0</v>
      </c>
      <c r="K46" s="334">
        <v>0</v>
      </c>
    </row>
    <row r="47" spans="1:11">
      <c r="A47" s="264"/>
      <c r="B47" s="255" t="s">
        <v>117</v>
      </c>
      <c r="C47" s="265">
        <v>6587</v>
      </c>
      <c r="D47" s="265">
        <v>0</v>
      </c>
      <c r="E47" s="265">
        <v>0</v>
      </c>
      <c r="F47" s="265">
        <v>-2</v>
      </c>
      <c r="G47" s="265">
        <v>0</v>
      </c>
      <c r="H47" s="265">
        <v>78881</v>
      </c>
      <c r="I47" s="265">
        <v>0</v>
      </c>
      <c r="J47" s="334">
        <v>0</v>
      </c>
      <c r="K47" s="334">
        <v>0</v>
      </c>
    </row>
    <row r="48" spans="1:11">
      <c r="A48" s="264"/>
      <c r="B48" s="255" t="s">
        <v>172</v>
      </c>
      <c r="C48" s="265">
        <v>-199685</v>
      </c>
      <c r="D48" s="265">
        <v>-148162</v>
      </c>
      <c r="E48" s="265">
        <v>-163123</v>
      </c>
      <c r="F48" s="265">
        <v>-632296</v>
      </c>
      <c r="G48" s="265">
        <v>-1900535</v>
      </c>
      <c r="H48" s="265">
        <v>-4247114</v>
      </c>
      <c r="I48" s="265">
        <v>-3603021</v>
      </c>
      <c r="J48" s="334">
        <v>-5428983</v>
      </c>
      <c r="K48" s="334">
        <v>-2754771</v>
      </c>
    </row>
    <row r="49" spans="1:11">
      <c r="A49" s="264"/>
      <c r="B49" s="255" t="s">
        <v>173</v>
      </c>
      <c r="C49" s="265">
        <v>24133</v>
      </c>
      <c r="D49" s="265">
        <v>-40643</v>
      </c>
      <c r="E49" s="265">
        <v>-90967</v>
      </c>
      <c r="F49" s="265">
        <v>-368950</v>
      </c>
      <c r="G49" s="265">
        <v>-862</v>
      </c>
      <c r="H49" s="265">
        <v>-395</v>
      </c>
      <c r="I49" s="265">
        <v>-12764</v>
      </c>
      <c r="J49" s="334">
        <v>0</v>
      </c>
      <c r="K49" s="334">
        <v>0</v>
      </c>
    </row>
    <row r="50" spans="1:11">
      <c r="A50" s="264"/>
      <c r="B50" s="255" t="s">
        <v>174</v>
      </c>
      <c r="C50" s="265">
        <v>0</v>
      </c>
      <c r="D50" s="265">
        <v>0</v>
      </c>
      <c r="E50" s="265">
        <v>0</v>
      </c>
      <c r="F50" s="265">
        <v>0</v>
      </c>
      <c r="G50" s="265">
        <v>0</v>
      </c>
      <c r="H50" s="265">
        <v>0</v>
      </c>
      <c r="I50" s="265">
        <v>0</v>
      </c>
      <c r="J50" s="334">
        <v>0</v>
      </c>
      <c r="K50" s="334">
        <v>0</v>
      </c>
    </row>
    <row r="51" spans="1:11" ht="17.399999999999999" thickBot="1">
      <c r="A51" s="264"/>
      <c r="B51" s="266" t="s">
        <v>175</v>
      </c>
      <c r="C51" s="267">
        <v>0</v>
      </c>
      <c r="D51" s="267">
        <v>-1583954</v>
      </c>
      <c r="E51" s="267">
        <v>-603492</v>
      </c>
      <c r="F51" s="267">
        <v>-311366</v>
      </c>
      <c r="G51" s="267">
        <v>-1830159</v>
      </c>
      <c r="H51" s="267">
        <v>-9076128</v>
      </c>
      <c r="I51" s="267">
        <v>-11198500</v>
      </c>
      <c r="J51" s="338">
        <v>-11766046</v>
      </c>
      <c r="K51" s="338">
        <v>0</v>
      </c>
    </row>
    <row r="52" spans="1:11">
      <c r="A52" s="261"/>
      <c r="B52" s="262" t="s">
        <v>176</v>
      </c>
      <c r="C52" s="263">
        <f t="shared" ref="C52:H52" si="2">+SUM(C45:C51)</f>
        <v>-271568</v>
      </c>
      <c r="D52" s="263">
        <f t="shared" si="2"/>
        <v>-1376214</v>
      </c>
      <c r="E52" s="263">
        <f t="shared" si="2"/>
        <v>-585141</v>
      </c>
      <c r="F52" s="263">
        <f t="shared" si="2"/>
        <v>-4740538</v>
      </c>
      <c r="G52" s="263">
        <f t="shared" si="2"/>
        <v>-177199</v>
      </c>
      <c r="H52" s="263">
        <f t="shared" si="2"/>
        <v>-13244756</v>
      </c>
      <c r="I52" s="263">
        <f>+SUM(I45:I51)</f>
        <v>-14814285</v>
      </c>
      <c r="J52" s="337">
        <f>+SUM(J45:J51)</f>
        <v>-17195029</v>
      </c>
      <c r="K52" s="337">
        <f>+SUM(K45:K51)</f>
        <v>-2754771</v>
      </c>
    </row>
    <row r="53" spans="1:11">
      <c r="A53" s="264"/>
    </row>
    <row r="54" spans="1:11">
      <c r="A54" s="264"/>
      <c r="B54" s="260" t="s">
        <v>177</v>
      </c>
    </row>
    <row r="55" spans="1:11">
      <c r="A55" s="264"/>
      <c r="B55" s="255" t="s">
        <v>178</v>
      </c>
      <c r="C55" s="265">
        <v>171708</v>
      </c>
      <c r="D55" s="265">
        <v>1298886</v>
      </c>
      <c r="E55" s="265">
        <v>1250509</v>
      </c>
      <c r="F55" s="265">
        <v>4191053</v>
      </c>
      <c r="G55" s="265">
        <v>2347901</v>
      </c>
      <c r="H55" s="265">
        <v>1711425</v>
      </c>
      <c r="I55" s="265">
        <v>7048364</v>
      </c>
      <c r="J55" s="334">
        <v>10444688</v>
      </c>
      <c r="K55" s="334">
        <v>2668748</v>
      </c>
    </row>
    <row r="56" spans="1:11">
      <c r="A56" s="264"/>
      <c r="B56" s="255" t="s">
        <v>179</v>
      </c>
      <c r="C56" s="265">
        <v>0</v>
      </c>
      <c r="D56" s="265">
        <v>0</v>
      </c>
      <c r="E56" s="265">
        <v>-1581802</v>
      </c>
      <c r="F56" s="265">
        <v>-2973134</v>
      </c>
      <c r="G56" s="265">
        <v>0</v>
      </c>
      <c r="H56" s="265">
        <v>-1322323</v>
      </c>
      <c r="I56" s="265">
        <v>-2549014</v>
      </c>
      <c r="J56" s="334">
        <v>-4248013</v>
      </c>
      <c r="K56" s="334">
        <v>-3606755</v>
      </c>
    </row>
    <row r="57" spans="1:11">
      <c r="A57" s="264"/>
      <c r="B57" s="255" t="s">
        <v>181</v>
      </c>
      <c r="C57" s="265">
        <v>0</v>
      </c>
      <c r="D57" s="265">
        <v>0</v>
      </c>
      <c r="E57" s="265">
        <v>-78144</v>
      </c>
      <c r="F57" s="265">
        <v>-267565</v>
      </c>
      <c r="G57" s="265">
        <v>-230139</v>
      </c>
      <c r="H57" s="265">
        <v>-344138</v>
      </c>
      <c r="I57" s="265">
        <v>-469038</v>
      </c>
      <c r="J57" s="334">
        <v>-569515</v>
      </c>
      <c r="K57" s="334">
        <v>-486643</v>
      </c>
    </row>
    <row r="58" spans="1:11">
      <c r="B58" s="255" t="s">
        <v>203</v>
      </c>
      <c r="C58" s="264">
        <v>0</v>
      </c>
      <c r="D58" s="264">
        <v>-96713</v>
      </c>
      <c r="E58" s="264">
        <v>-198701</v>
      </c>
      <c r="F58" s="264">
        <v>-138922</v>
      </c>
      <c r="G58" s="264">
        <v>-65662</v>
      </c>
      <c r="H58" s="264">
        <v>-72543</v>
      </c>
      <c r="I58" s="265">
        <v>-74087</v>
      </c>
      <c r="J58" s="334">
        <v>-269411</v>
      </c>
      <c r="K58" s="334">
        <v>-228415</v>
      </c>
    </row>
    <row r="59" spans="1:11">
      <c r="A59" s="264"/>
      <c r="B59" s="255" t="s">
        <v>204</v>
      </c>
      <c r="C59" s="264">
        <v>0</v>
      </c>
      <c r="D59" s="264">
        <v>-61782</v>
      </c>
      <c r="E59" s="264">
        <v>-45473</v>
      </c>
      <c r="F59" s="264">
        <v>-45000</v>
      </c>
      <c r="G59" s="264">
        <v>-56957</v>
      </c>
      <c r="H59" s="264">
        <v>-148861</v>
      </c>
      <c r="I59" s="264">
        <v>-211420</v>
      </c>
      <c r="J59" s="339">
        <v>-50005</v>
      </c>
      <c r="K59" s="339">
        <v>-30875</v>
      </c>
    </row>
    <row r="60" spans="1:11">
      <c r="A60" s="264"/>
      <c r="B60" s="255" t="s">
        <v>118</v>
      </c>
      <c r="C60" s="265">
        <v>-23162</v>
      </c>
      <c r="D60" s="265">
        <v>-1182</v>
      </c>
      <c r="E60" s="265">
        <v>0</v>
      </c>
      <c r="F60" s="265">
        <v>0</v>
      </c>
      <c r="G60" s="265">
        <v>2038922</v>
      </c>
      <c r="H60" s="265">
        <v>0</v>
      </c>
      <c r="I60" s="265">
        <v>3189707</v>
      </c>
      <c r="J60" s="339">
        <v>4184148</v>
      </c>
      <c r="K60" s="339">
        <v>0</v>
      </c>
    </row>
    <row r="61" spans="1:11">
      <c r="A61" s="264"/>
      <c r="B61" s="255" t="s">
        <v>180</v>
      </c>
      <c r="C61" s="265"/>
      <c r="D61" s="265"/>
      <c r="E61" s="265"/>
      <c r="F61" s="265"/>
      <c r="G61" s="265"/>
      <c r="H61" s="265">
        <v>-182522</v>
      </c>
      <c r="I61" s="265">
        <v>-235949</v>
      </c>
      <c r="J61" s="334">
        <v>-301069</v>
      </c>
      <c r="K61" s="334">
        <v>-275473</v>
      </c>
    </row>
    <row r="62" spans="1:11">
      <c r="A62" s="264"/>
      <c r="B62" s="255" t="s">
        <v>184</v>
      </c>
      <c r="C62" s="265">
        <v>-2024</v>
      </c>
      <c r="D62" s="265">
        <v>-4988</v>
      </c>
      <c r="E62" s="265">
        <v>-155960</v>
      </c>
      <c r="F62" s="265">
        <v>-115081</v>
      </c>
      <c r="G62" s="265">
        <v>-21544</v>
      </c>
      <c r="H62" s="265">
        <v>0</v>
      </c>
      <c r="I62" s="265">
        <v>18699</v>
      </c>
      <c r="J62" s="334">
        <v>26302</v>
      </c>
      <c r="K62" s="334">
        <v>135331</v>
      </c>
    </row>
    <row r="63" spans="1:11">
      <c r="A63" s="264"/>
      <c r="B63" s="255" t="s">
        <v>186</v>
      </c>
      <c r="C63" s="265">
        <v>7709</v>
      </c>
      <c r="D63" s="265">
        <v>12055</v>
      </c>
      <c r="E63" s="265">
        <v>10489</v>
      </c>
      <c r="F63" s="265">
        <v>1976744</v>
      </c>
      <c r="G63" s="265">
        <v>16030</v>
      </c>
      <c r="H63" s="265">
        <v>33118</v>
      </c>
      <c r="I63" s="265">
        <v>58595</v>
      </c>
      <c r="J63" s="334">
        <v>98995</v>
      </c>
      <c r="K63" s="334">
        <v>91033</v>
      </c>
    </row>
    <row r="64" spans="1:11">
      <c r="A64" s="264"/>
      <c r="B64" s="255" t="s">
        <v>185</v>
      </c>
      <c r="C64" s="265">
        <v>-33198</v>
      </c>
      <c r="D64" s="265">
        <v>43480</v>
      </c>
      <c r="E64" s="265">
        <v>85787</v>
      </c>
      <c r="F64" s="265">
        <v>0</v>
      </c>
      <c r="G64" s="265">
        <v>0</v>
      </c>
      <c r="H64" s="265">
        <v>-530641</v>
      </c>
      <c r="I64" s="265">
        <v>-945077</v>
      </c>
      <c r="J64" s="334">
        <v>-442819</v>
      </c>
      <c r="K64" s="334">
        <v>-876222</v>
      </c>
    </row>
    <row r="65" spans="1:11">
      <c r="A65" s="264"/>
      <c r="B65" s="255" t="s">
        <v>205</v>
      </c>
      <c r="C65" s="265"/>
      <c r="D65" s="265"/>
      <c r="E65" s="265"/>
      <c r="F65" s="265"/>
      <c r="G65" s="265"/>
      <c r="H65" s="265">
        <v>-60618</v>
      </c>
      <c r="I65" s="265">
        <v>0</v>
      </c>
      <c r="J65" s="334">
        <v>0</v>
      </c>
      <c r="K65" s="334">
        <v>0</v>
      </c>
    </row>
    <row r="66" spans="1:11" ht="17.399999999999999" thickBot="1">
      <c r="A66" s="264"/>
      <c r="B66" s="266" t="s">
        <v>187</v>
      </c>
      <c r="C66" s="267">
        <v>0</v>
      </c>
      <c r="D66" s="267">
        <v>0</v>
      </c>
      <c r="E66" s="267">
        <v>0</v>
      </c>
      <c r="F66" s="267">
        <v>-666</v>
      </c>
      <c r="G66" s="267">
        <v>-18633</v>
      </c>
      <c r="H66" s="267">
        <v>0</v>
      </c>
      <c r="I66" s="267">
        <v>0</v>
      </c>
      <c r="J66" s="338">
        <v>0</v>
      </c>
      <c r="K66" s="338">
        <v>0</v>
      </c>
    </row>
    <row r="67" spans="1:11">
      <c r="A67" s="261"/>
      <c r="B67" s="262" t="s">
        <v>188</v>
      </c>
      <c r="C67" s="263">
        <f t="shared" ref="C67:I67" si="3">SUM(C55:C66)</f>
        <v>121033</v>
      </c>
      <c r="D67" s="263">
        <f t="shared" si="3"/>
        <v>1189756</v>
      </c>
      <c r="E67" s="263">
        <f t="shared" si="3"/>
        <v>-713295</v>
      </c>
      <c r="F67" s="263">
        <f t="shared" si="3"/>
        <v>2627429</v>
      </c>
      <c r="G67" s="263">
        <f t="shared" si="3"/>
        <v>4009918</v>
      </c>
      <c r="H67" s="263">
        <f t="shared" si="3"/>
        <v>-917103</v>
      </c>
      <c r="I67" s="263">
        <f t="shared" si="3"/>
        <v>5830780</v>
      </c>
      <c r="J67" s="337">
        <f>SUM(J55:J66)</f>
        <v>8873301</v>
      </c>
      <c r="K67" s="337">
        <f>SUM(K55:K66)</f>
        <v>-2609271</v>
      </c>
    </row>
    <row r="68" spans="1:11" ht="17.399999999999999" thickBot="1">
      <c r="A68" s="264"/>
      <c r="B68" s="266" t="s">
        <v>189</v>
      </c>
      <c r="C68" s="267">
        <v>8520</v>
      </c>
      <c r="D68" s="267">
        <v>21285</v>
      </c>
      <c r="E68" s="267">
        <v>30767</v>
      </c>
      <c r="F68" s="267">
        <v>93563</v>
      </c>
      <c r="G68" s="267">
        <v>-118833</v>
      </c>
      <c r="H68" s="267">
        <v>-855986</v>
      </c>
      <c r="I68" s="267">
        <v>971976</v>
      </c>
      <c r="J68" s="338">
        <v>-444909</v>
      </c>
      <c r="K68" s="338">
        <v>0</v>
      </c>
    </row>
    <row r="69" spans="1:11" ht="17.399999999999999" thickBot="1">
      <c r="A69" s="261"/>
      <c r="B69" s="268" t="s">
        <v>190</v>
      </c>
      <c r="C69" s="269">
        <f t="shared" ref="C69:I69" si="4">+C42+C52+C67+C68</f>
        <v>94548</v>
      </c>
      <c r="D69" s="269">
        <f t="shared" si="4"/>
        <v>272404</v>
      </c>
      <c r="E69" s="269">
        <f t="shared" si="4"/>
        <v>349876</v>
      </c>
      <c r="F69" s="269">
        <f t="shared" si="4"/>
        <v>161408</v>
      </c>
      <c r="G69" s="269">
        <f t="shared" si="4"/>
        <v>8642280</v>
      </c>
      <c r="H69" s="269">
        <f t="shared" si="4"/>
        <v>-7277558</v>
      </c>
      <c r="I69" s="269">
        <f t="shared" si="4"/>
        <v>1657956</v>
      </c>
      <c r="J69" s="340">
        <f>+J42+J52+J67+J68</f>
        <v>-595068</v>
      </c>
      <c r="K69" s="340">
        <f>+K42+K52+K67</f>
        <v>496350</v>
      </c>
    </row>
    <row r="70" spans="1:11">
      <c r="A70" s="264"/>
    </row>
    <row r="71" spans="1:11">
      <c r="A71" s="264"/>
      <c r="B71" s="255" t="s">
        <v>191</v>
      </c>
      <c r="C71" s="265">
        <v>92445</v>
      </c>
      <c r="D71" s="265">
        <v>186993</v>
      </c>
      <c r="E71" s="265">
        <v>459397</v>
      </c>
      <c r="F71" s="265">
        <v>809273</v>
      </c>
      <c r="G71" s="270">
        <v>970681</v>
      </c>
      <c r="H71" s="270">
        <v>9612961</v>
      </c>
      <c r="I71" s="270">
        <v>2335403</v>
      </c>
      <c r="J71" s="270">
        <v>3993359</v>
      </c>
      <c r="K71" s="270">
        <v>3398291</v>
      </c>
    </row>
    <row r="72" spans="1:11">
      <c r="A72" s="264"/>
      <c r="B72" s="255" t="s">
        <v>290</v>
      </c>
      <c r="C72" s="334">
        <v>0</v>
      </c>
      <c r="D72" s="334">
        <v>0</v>
      </c>
      <c r="E72" s="334">
        <v>0</v>
      </c>
      <c r="F72" s="334">
        <v>0</v>
      </c>
      <c r="G72" s="334">
        <v>0</v>
      </c>
      <c r="H72" s="334">
        <v>0</v>
      </c>
      <c r="I72" s="334">
        <v>0</v>
      </c>
      <c r="J72" s="334">
        <v>0</v>
      </c>
      <c r="K72" s="334">
        <v>-201215</v>
      </c>
    </row>
    <row r="73" spans="1:11" ht="17.399999999999999" thickBot="1">
      <c r="A73" s="264"/>
      <c r="B73" s="266" t="s">
        <v>192</v>
      </c>
      <c r="C73" s="270">
        <v>186993</v>
      </c>
      <c r="D73" s="270">
        <v>459397</v>
      </c>
      <c r="E73" s="270">
        <v>809273</v>
      </c>
      <c r="F73" s="270">
        <v>970681</v>
      </c>
      <c r="G73" s="270">
        <v>9612961</v>
      </c>
      <c r="H73" s="270">
        <v>2335403</v>
      </c>
      <c r="I73" s="270">
        <v>3993359</v>
      </c>
      <c r="J73" s="270">
        <v>3398291</v>
      </c>
      <c r="K73" s="270">
        <v>3693426</v>
      </c>
    </row>
    <row r="74" spans="1:11" ht="17.399999999999999" thickBot="1">
      <c r="A74" s="261"/>
      <c r="B74" s="268" t="s">
        <v>190</v>
      </c>
      <c r="C74" s="269">
        <f t="shared" ref="C74:E74" si="5">C73-C71</f>
        <v>94548</v>
      </c>
      <c r="D74" s="269">
        <f>D73-D71</f>
        <v>272404</v>
      </c>
      <c r="E74" s="269">
        <f t="shared" si="5"/>
        <v>349876</v>
      </c>
      <c r="F74" s="269">
        <f>F73-F71</f>
        <v>161408</v>
      </c>
      <c r="G74" s="269">
        <f>G73-G71</f>
        <v>8642280</v>
      </c>
      <c r="H74" s="269">
        <f>H73-H71</f>
        <v>-7277558</v>
      </c>
      <c r="I74" s="269">
        <f>I73-I71</f>
        <v>1657956</v>
      </c>
      <c r="J74" s="340">
        <f>J73-J71</f>
        <v>-595068</v>
      </c>
      <c r="K74" s="340">
        <f>K73-K71-K72</f>
        <v>496350</v>
      </c>
    </row>
    <row r="75" spans="1:11">
      <c r="C75" s="271"/>
      <c r="D75" s="271"/>
      <c r="E75" s="271"/>
      <c r="F75" s="271"/>
    </row>
    <row r="76" spans="1:11">
      <c r="D76" s="282"/>
      <c r="E76" s="271"/>
      <c r="F76" s="271"/>
      <c r="G76" s="271"/>
    </row>
    <row r="77" spans="1:11">
      <c r="C77" s="282"/>
      <c r="D77" s="282"/>
    </row>
    <row r="86" spans="2:12">
      <c r="B86" s="363"/>
      <c r="C86" s="363"/>
      <c r="D86" s="363"/>
      <c r="E86" s="363"/>
      <c r="F86" s="363"/>
      <c r="G86" s="363"/>
      <c r="H86" s="363"/>
      <c r="I86" s="363"/>
      <c r="J86" s="363"/>
      <c r="K86" s="363"/>
      <c r="L86" s="363"/>
    </row>
    <row r="94" spans="2:12">
      <c r="B94" s="363"/>
      <c r="C94" s="363"/>
      <c r="D94" s="363"/>
      <c r="E94" s="363"/>
      <c r="F94" s="363"/>
      <c r="G94" s="363"/>
      <c r="H94" s="363"/>
      <c r="I94" s="363"/>
      <c r="J94" s="363"/>
      <c r="K94" s="363"/>
      <c r="L94" s="363"/>
    </row>
  </sheetData>
  <mergeCells count="3">
    <mergeCell ref="E3:F3"/>
    <mergeCell ref="B86:L86"/>
    <mergeCell ref="B94:L94"/>
  </mergeCells>
  <hyperlinks>
    <hyperlink ref="B13" r:id="rId1" display="https://www.linguee.com.br/ingles-portugues/traducao/equity+equivalence.html" xr:uid="{3EE5D21D-046A-41B0-A819-55C55628D06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1667-2FB5-4AAB-9A5D-1F2D2BBFC8AD}">
  <dimension ref="A4:XFA104"/>
  <sheetViews>
    <sheetView showGridLines="0" zoomScale="93" zoomScaleNormal="93" workbookViewId="0">
      <pane xSplit="1" topLeftCell="AU1" activePane="topRight" state="frozen"/>
      <selection activeCell="AR7" sqref="AR7"/>
      <selection pane="topRight" activeCell="AU6" sqref="AU6"/>
    </sheetView>
  </sheetViews>
  <sheetFormatPr defaultColWidth="9.33203125" defaultRowHeight="15" customHeight="1"/>
  <cols>
    <col min="1" max="1" width="98" style="116" customWidth="1"/>
    <col min="2" max="2" width="18" style="116" customWidth="1"/>
    <col min="3" max="17" width="9.6640625" style="116" bestFit="1" customWidth="1"/>
    <col min="18" max="18" width="10.5546875" style="116" customWidth="1"/>
    <col min="19" max="19" width="10.6640625" style="116" customWidth="1"/>
    <col min="20" max="20" width="9.5546875" style="116" customWidth="1"/>
    <col min="21" max="22" width="10.6640625" style="116" customWidth="1"/>
    <col min="23" max="24" width="10.109375" style="116" bestFit="1" customWidth="1"/>
    <col min="25" max="28" width="9.33203125" style="116"/>
    <col min="29" max="29" width="10.109375" style="116" bestFit="1" customWidth="1"/>
    <col min="30" max="30" width="9.33203125" style="116"/>
    <col min="31" max="31" width="11.5546875" style="116" customWidth="1"/>
    <col min="32" max="32" width="13.6640625" style="116" bestFit="1" customWidth="1"/>
    <col min="33" max="35" width="9.33203125" style="116"/>
    <col min="36" max="36" width="10.5546875" style="116" customWidth="1"/>
    <col min="37" max="37" width="10.109375" style="116" bestFit="1" customWidth="1"/>
    <col min="38" max="38" width="9.33203125" style="116" customWidth="1"/>
    <col min="39" max="39" width="9.33203125" style="116" bestFit="1" customWidth="1"/>
    <col min="40" max="42" width="9.33203125" style="116"/>
    <col min="43" max="43" width="10" style="116" customWidth="1"/>
    <col min="44" max="49" width="10.6640625" style="116" customWidth="1"/>
    <col min="50" max="16384" width="9.33203125" style="116"/>
  </cols>
  <sheetData>
    <row r="4" spans="1:49" s="227" customFormat="1" ht="15" customHeight="1">
      <c r="A4" s="72"/>
    </row>
    <row r="6" spans="1:49" ht="15" customHeight="1">
      <c r="O6" s="226"/>
    </row>
    <row r="7" spans="1:49" ht="15" customHeight="1">
      <c r="A7" s="115" t="s">
        <v>206</v>
      </c>
    </row>
    <row r="8" spans="1:49" s="230" customFormat="1" ht="15" customHeight="1">
      <c r="B8" s="231">
        <v>91</v>
      </c>
      <c r="C8" s="231">
        <v>92</v>
      </c>
      <c r="D8" s="231">
        <v>90</v>
      </c>
      <c r="E8" s="231">
        <v>91</v>
      </c>
      <c r="F8" s="231">
        <v>92</v>
      </c>
      <c r="G8" s="231">
        <v>92</v>
      </c>
      <c r="H8" s="231">
        <v>91</v>
      </c>
      <c r="I8" s="231">
        <v>91</v>
      </c>
      <c r="J8" s="231">
        <v>92</v>
      </c>
      <c r="K8" s="231">
        <v>92</v>
      </c>
      <c r="L8" s="231">
        <v>90</v>
      </c>
      <c r="M8" s="231">
        <v>91</v>
      </c>
      <c r="N8" s="231">
        <v>92</v>
      </c>
      <c r="O8" s="231">
        <v>92</v>
      </c>
      <c r="P8" s="230">
        <v>90</v>
      </c>
      <c r="Q8" s="230">
        <v>91</v>
      </c>
      <c r="R8" s="230">
        <v>92</v>
      </c>
      <c r="S8" s="230">
        <v>92</v>
      </c>
      <c r="T8" s="230">
        <v>92</v>
      </c>
      <c r="U8" s="230">
        <v>91</v>
      </c>
      <c r="V8" s="230">
        <v>92</v>
      </c>
      <c r="W8" s="230">
        <v>92</v>
      </c>
      <c r="X8" s="230">
        <v>92</v>
      </c>
      <c r="Y8" s="230">
        <v>91</v>
      </c>
      <c r="Z8" s="230">
        <v>92</v>
      </c>
      <c r="AA8" s="230">
        <v>92</v>
      </c>
      <c r="AB8" s="230">
        <v>92</v>
      </c>
      <c r="AC8" s="230">
        <v>91</v>
      </c>
      <c r="AD8" s="230">
        <v>92</v>
      </c>
      <c r="AE8" s="230">
        <v>92</v>
      </c>
      <c r="AF8" s="230">
        <v>92</v>
      </c>
      <c r="AG8" s="230">
        <v>91</v>
      </c>
      <c r="AH8" s="230">
        <v>92</v>
      </c>
      <c r="AI8" s="230">
        <v>92</v>
      </c>
      <c r="AJ8" s="230">
        <v>90</v>
      </c>
      <c r="AK8" s="230">
        <v>91</v>
      </c>
      <c r="AL8" s="230">
        <v>92</v>
      </c>
      <c r="AM8" s="230">
        <v>92</v>
      </c>
    </row>
    <row r="9" spans="1:49" s="232" customFormat="1" ht="15" customHeight="1">
      <c r="A9" s="121" t="s">
        <v>207</v>
      </c>
      <c r="B9" s="122" t="s">
        <v>2</v>
      </c>
      <c r="C9" s="122" t="s">
        <v>4</v>
      </c>
      <c r="D9" s="122" t="s">
        <v>5</v>
      </c>
      <c r="E9" s="122" t="s">
        <v>6</v>
      </c>
      <c r="F9" s="122" t="s">
        <v>7</v>
      </c>
      <c r="G9" s="122" t="s">
        <v>8</v>
      </c>
      <c r="H9" s="122" t="s">
        <v>9</v>
      </c>
      <c r="I9" s="122" t="s">
        <v>10</v>
      </c>
      <c r="J9" s="122" t="s">
        <v>11</v>
      </c>
      <c r="K9" s="122" t="s">
        <v>12</v>
      </c>
      <c r="L9" s="122" t="s">
        <v>13</v>
      </c>
      <c r="M9" s="122" t="s">
        <v>14</v>
      </c>
      <c r="N9" s="122" t="s">
        <v>15</v>
      </c>
      <c r="O9" s="122" t="s">
        <v>16</v>
      </c>
      <c r="P9" s="122" t="s">
        <v>17</v>
      </c>
      <c r="Q9" s="122" t="s">
        <v>18</v>
      </c>
      <c r="R9" s="122" t="s">
        <v>19</v>
      </c>
      <c r="S9" s="122" t="s">
        <v>20</v>
      </c>
      <c r="T9" s="122" t="s">
        <v>21</v>
      </c>
      <c r="U9" s="122" t="s">
        <v>22</v>
      </c>
      <c r="V9" s="122" t="s">
        <v>23</v>
      </c>
      <c r="W9" s="122" t="s">
        <v>24</v>
      </c>
      <c r="X9" s="122" t="s">
        <v>25</v>
      </c>
      <c r="Y9" s="122" t="s">
        <v>26</v>
      </c>
      <c r="Z9" s="122" t="s">
        <v>27</v>
      </c>
      <c r="AA9" s="122" t="s">
        <v>28</v>
      </c>
      <c r="AB9" s="122" t="s">
        <v>29</v>
      </c>
      <c r="AC9" s="122" t="s">
        <v>30</v>
      </c>
      <c r="AD9" s="122" t="s">
        <v>31</v>
      </c>
      <c r="AE9" s="122" t="s">
        <v>32</v>
      </c>
      <c r="AF9" s="122" t="s">
        <v>33</v>
      </c>
      <c r="AG9" s="122" t="s">
        <v>34</v>
      </c>
      <c r="AH9" s="122" t="s">
        <v>35</v>
      </c>
      <c r="AI9" s="122" t="s">
        <v>36</v>
      </c>
      <c r="AJ9" s="122" t="s">
        <v>37</v>
      </c>
      <c r="AK9" s="122" t="s">
        <v>38</v>
      </c>
      <c r="AL9" s="122" t="s">
        <v>39</v>
      </c>
      <c r="AM9" s="122" t="s">
        <v>40</v>
      </c>
      <c r="AN9" s="122" t="s">
        <v>41</v>
      </c>
      <c r="AO9" s="122" t="s">
        <v>42</v>
      </c>
      <c r="AP9" s="122" t="s">
        <v>43</v>
      </c>
      <c r="AQ9" s="122" t="s">
        <v>44</v>
      </c>
      <c r="AR9" s="122" t="s">
        <v>45</v>
      </c>
      <c r="AS9" s="122" t="s">
        <v>46</v>
      </c>
      <c r="AT9" s="122" t="s">
        <v>47</v>
      </c>
      <c r="AU9" s="122" t="s">
        <v>48</v>
      </c>
      <c r="AV9" s="122" t="s">
        <v>279</v>
      </c>
      <c r="AW9" s="122" t="s">
        <v>292</v>
      </c>
    </row>
    <row r="10" spans="1:49" s="114" customFormat="1" ht="15" customHeight="1">
      <c r="A10" s="123" t="s">
        <v>208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</row>
    <row r="11" spans="1:49" s="114" customFormat="1" ht="15" customHeight="1">
      <c r="A11" s="118" t="s">
        <v>209</v>
      </c>
      <c r="B11" s="119">
        <v>940937.13</v>
      </c>
      <c r="C11" s="119">
        <v>793898.63000000012</v>
      </c>
      <c r="D11" s="119">
        <v>841342.49</v>
      </c>
      <c r="E11" s="119">
        <v>812720.14999999991</v>
      </c>
      <c r="F11" s="119">
        <v>679989.02</v>
      </c>
      <c r="G11" s="119">
        <v>721483.9</v>
      </c>
      <c r="H11" s="119">
        <v>650474.80000000005</v>
      </c>
      <c r="I11" s="119">
        <v>799334.77</v>
      </c>
      <c r="J11" s="119">
        <v>771564.46</v>
      </c>
      <c r="K11" s="119">
        <v>751408.16999999993</v>
      </c>
      <c r="L11" s="119">
        <f t="shared" ref="L11:O11" si="0">+L12*L8</f>
        <v>739170</v>
      </c>
      <c r="M11" s="119">
        <f t="shared" si="0"/>
        <v>731640</v>
      </c>
      <c r="N11" s="119">
        <f t="shared" si="0"/>
        <v>704168</v>
      </c>
      <c r="O11" s="119">
        <f t="shared" si="0"/>
        <v>676513.76</v>
      </c>
      <c r="P11" s="119">
        <f t="shared" ref="P11" si="1">+P12*P8</f>
        <v>553770</v>
      </c>
      <c r="Q11" s="119">
        <f t="shared" ref="Q11:V11" si="2">+Q12*Q8</f>
        <v>742287</v>
      </c>
      <c r="R11" s="119">
        <f t="shared" si="2"/>
        <v>927452</v>
      </c>
      <c r="S11" s="119">
        <f t="shared" si="2"/>
        <v>925060</v>
      </c>
      <c r="T11" s="119">
        <f t="shared" si="2"/>
        <v>880164</v>
      </c>
      <c r="U11" s="119">
        <f t="shared" si="2"/>
        <v>775593</v>
      </c>
      <c r="V11" s="119">
        <f t="shared" si="2"/>
        <v>742440</v>
      </c>
      <c r="W11" s="119">
        <f t="shared" ref="W11:AC11" si="3">+W12*W8</f>
        <v>687976</v>
      </c>
      <c r="X11" s="119">
        <f t="shared" si="3"/>
        <v>793040</v>
      </c>
      <c r="Y11" s="119">
        <f t="shared" si="3"/>
        <v>859586</v>
      </c>
      <c r="Z11" s="119">
        <f t="shared" si="3"/>
        <v>916741.07708828896</v>
      </c>
      <c r="AA11" s="119">
        <f t="shared" si="3"/>
        <v>804679.63122583984</v>
      </c>
      <c r="AB11" s="119">
        <f t="shared" si="3"/>
        <v>737748</v>
      </c>
      <c r="AC11" s="119">
        <f t="shared" si="3"/>
        <v>804711.71440768137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</row>
    <row r="12" spans="1:49" s="114" customFormat="1" ht="15" customHeight="1">
      <c r="A12" s="118" t="s">
        <v>210</v>
      </c>
      <c r="B12" s="120">
        <f t="shared" ref="B12:K12" si="4">B11/B8</f>
        <v>10339.968461538461</v>
      </c>
      <c r="C12" s="120">
        <f t="shared" si="4"/>
        <v>8629.3329347826093</v>
      </c>
      <c r="D12" s="120">
        <f t="shared" si="4"/>
        <v>9348.2498888888895</v>
      </c>
      <c r="E12" s="120">
        <f t="shared" si="4"/>
        <v>8930.9906593406577</v>
      </c>
      <c r="F12" s="120">
        <f t="shared" si="4"/>
        <v>7391.1850000000004</v>
      </c>
      <c r="G12" s="120">
        <f t="shared" si="4"/>
        <v>7842.2163043478267</v>
      </c>
      <c r="H12" s="120">
        <f t="shared" si="4"/>
        <v>7148.074725274726</v>
      </c>
      <c r="I12" s="120">
        <f t="shared" si="4"/>
        <v>8783.8985714285718</v>
      </c>
      <c r="J12" s="120">
        <f t="shared" si="4"/>
        <v>8386.5702173913032</v>
      </c>
      <c r="K12" s="120">
        <f t="shared" si="4"/>
        <v>8167.4801086956513</v>
      </c>
      <c r="L12" s="120">
        <v>8213</v>
      </c>
      <c r="M12" s="120">
        <v>8040</v>
      </c>
      <c r="N12" s="120">
        <v>7654</v>
      </c>
      <c r="O12" s="120">
        <v>7353.4104347826087</v>
      </c>
      <c r="P12" s="120">
        <v>6153</v>
      </c>
      <c r="Q12" s="120">
        <v>8157</v>
      </c>
      <c r="R12" s="120">
        <v>10081</v>
      </c>
      <c r="S12" s="120">
        <v>10055</v>
      </c>
      <c r="T12" s="120">
        <v>9567</v>
      </c>
      <c r="U12" s="120">
        <v>8523</v>
      </c>
      <c r="V12" s="120">
        <v>8070</v>
      </c>
      <c r="W12" s="120">
        <v>7478</v>
      </c>
      <c r="X12" s="120">
        <v>8620</v>
      </c>
      <c r="Y12" s="120">
        <v>9446</v>
      </c>
      <c r="Z12" s="120">
        <v>9964.5769248727065</v>
      </c>
      <c r="AA12" s="120">
        <v>8746.51773071565</v>
      </c>
      <c r="AB12" s="120">
        <v>8019</v>
      </c>
      <c r="AC12" s="120">
        <v>8842.9858726118837</v>
      </c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</row>
    <row r="13" spans="1:49" s="114" customFormat="1" ht="15" customHeight="1"/>
    <row r="14" spans="1:49" ht="15" customHeight="1">
      <c r="A14" s="123" t="s">
        <v>211</v>
      </c>
    </row>
    <row r="15" spans="1:49" ht="15" customHeight="1">
      <c r="A15" s="118" t="s">
        <v>209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>
        <v>440401.51465844963</v>
      </c>
      <c r="AA15" s="119">
        <v>646746.37628864031</v>
      </c>
      <c r="AB15" s="119">
        <v>551520</v>
      </c>
      <c r="AC15" s="119">
        <v>472520.02045988321</v>
      </c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</row>
    <row r="16" spans="1:49" ht="15" customHeight="1">
      <c r="A16" s="118" t="s">
        <v>210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>
        <v>4786.9729854179304</v>
      </c>
      <c r="AA16" s="119">
        <v>7029.8519161808736</v>
      </c>
      <c r="AB16" s="119">
        <v>6128</v>
      </c>
      <c r="AC16" s="119">
        <v>5250.2224495542578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</row>
    <row r="18" spans="1:49" ht="15" customHeight="1">
      <c r="A18" s="123" t="s">
        <v>282</v>
      </c>
    </row>
    <row r="19" spans="1:49" ht="15" customHeight="1">
      <c r="A19" s="118" t="s">
        <v>209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>
        <f t="shared" ref="AD19" si="5">+AD20*$R$8</f>
        <v>1228714.3460585135</v>
      </c>
      <c r="AE19" s="119">
        <f>+AE20*S$8</f>
        <v>1411900.5879418759</v>
      </c>
      <c r="AF19" s="119">
        <f>+AF20*T$8</f>
        <v>1613446.1278650879</v>
      </c>
      <c r="AG19" s="119">
        <f>+AG20*U$8</f>
        <v>1525342</v>
      </c>
      <c r="AH19" s="119">
        <f>+AH20*V$8</f>
        <v>1499784</v>
      </c>
      <c r="AI19" s="119">
        <f>+AI20*W$8</f>
        <v>1346328</v>
      </c>
      <c r="AJ19" s="119">
        <v>1122750</v>
      </c>
      <c r="AK19" s="119">
        <v>1603187.2379409701</v>
      </c>
      <c r="AL19" s="119">
        <v>1486213.2726835946</v>
      </c>
      <c r="AM19" s="119">
        <v>1522768.457915348</v>
      </c>
      <c r="AN19" s="119">
        <v>1443725.3455781485</v>
      </c>
      <c r="AO19" s="119">
        <v>1376786.3484097633</v>
      </c>
      <c r="AP19" s="119">
        <v>945354.82838382456</v>
      </c>
      <c r="AQ19" s="119">
        <v>1092807.02</v>
      </c>
      <c r="AR19" s="119">
        <v>976251.22219999996</v>
      </c>
      <c r="AS19" s="119">
        <v>1002729.44</v>
      </c>
      <c r="AT19" s="119">
        <v>1276037.4099999999</v>
      </c>
      <c r="AU19" s="119">
        <v>1362719.1762738999</v>
      </c>
      <c r="AV19" s="119">
        <v>1425545.5649260902</v>
      </c>
      <c r="AW19" s="119">
        <v>1303562.4934999999</v>
      </c>
    </row>
    <row r="20" spans="1:49" ht="15" customHeight="1">
      <c r="A20" s="118" t="s">
        <v>210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>
        <v>13355.590718027321</v>
      </c>
      <c r="AE20" s="119">
        <v>15346.745521107347</v>
      </c>
      <c r="AF20" s="119">
        <v>17537.457911577043</v>
      </c>
      <c r="AG20" s="119">
        <v>16762</v>
      </c>
      <c r="AH20" s="119">
        <v>16302</v>
      </c>
      <c r="AI20" s="119">
        <v>14634</v>
      </c>
      <c r="AJ20" s="119">
        <v>12475</v>
      </c>
      <c r="AK20" s="119">
        <v>17616.347155712632</v>
      </c>
      <c r="AL20" s="119">
        <v>16154.492094386898</v>
      </c>
      <c r="AM20" s="119">
        <v>16551.831064297261</v>
      </c>
      <c r="AN20" s="119">
        <v>15865.113687671961</v>
      </c>
      <c r="AO20" s="119">
        <v>15129.520312195202</v>
      </c>
      <c r="AP20" s="119">
        <v>10275.595960693745</v>
      </c>
      <c r="AQ20" s="119">
        <v>11878.337157079186</v>
      </c>
      <c r="AR20" s="119">
        <v>10847.235802222222</v>
      </c>
      <c r="AS20" s="119">
        <v>11019.004784395605</v>
      </c>
      <c r="AT20" s="119">
        <v>13869.971845772609</v>
      </c>
      <c r="AU20" s="119">
        <v>14812.164959498912</v>
      </c>
      <c r="AV20" s="119">
        <v>15839.395165845446</v>
      </c>
      <c r="AW20" s="119">
        <v>14324.862565934065</v>
      </c>
    </row>
    <row r="22" spans="1:49" ht="15" customHeight="1">
      <c r="A22" s="123" t="s">
        <v>212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</row>
    <row r="23" spans="1:49" ht="15" customHeight="1">
      <c r="A23" s="118" t="s">
        <v>213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>
        <v>236645.38597401232</v>
      </c>
      <c r="M23" s="119">
        <v>254799.73413530897</v>
      </c>
      <c r="N23" s="119">
        <v>304330.85919146112</v>
      </c>
      <c r="O23" s="119">
        <v>322866.9189998582</v>
      </c>
      <c r="P23" s="119">
        <v>242010</v>
      </c>
      <c r="Q23" s="119">
        <v>278460</v>
      </c>
      <c r="R23" s="119">
        <v>278760</v>
      </c>
      <c r="S23" s="119">
        <v>301024</v>
      </c>
      <c r="T23" s="119">
        <v>187036</v>
      </c>
      <c r="U23" s="119">
        <v>161616</v>
      </c>
      <c r="V23" s="119">
        <v>222006</v>
      </c>
      <c r="W23" s="119">
        <v>263039</v>
      </c>
      <c r="X23" s="119">
        <v>114114</v>
      </c>
      <c r="Y23" s="119">
        <v>64337</v>
      </c>
      <c r="Z23" s="119">
        <v>160094.40631650406</v>
      </c>
      <c r="AA23" s="119">
        <v>210224.03849121052</v>
      </c>
      <c r="AB23" s="119">
        <v>187560</v>
      </c>
      <c r="AC23" s="119">
        <v>197190.27256780787</v>
      </c>
      <c r="AD23" s="119">
        <v>171862.39007795372</v>
      </c>
      <c r="AE23" s="119">
        <v>176965.07475919399</v>
      </c>
      <c r="AF23" s="119">
        <v>176000.71415541405</v>
      </c>
      <c r="AG23" s="119">
        <v>162270.75577080413</v>
      </c>
      <c r="AH23" s="119">
        <v>134136.3989558559</v>
      </c>
      <c r="AI23" s="119">
        <v>67436</v>
      </c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</row>
    <row r="24" spans="1:49" ht="15" customHeight="1">
      <c r="A24" s="118" t="s">
        <v>214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>
        <v>2799.9970784099887</v>
      </c>
      <c r="N24" s="119">
        <v>3307.9441216463165</v>
      </c>
      <c r="O24" s="119">
        <v>3509.4230326071543</v>
      </c>
      <c r="P24" s="119">
        <v>2689</v>
      </c>
      <c r="Q24" s="119">
        <v>3060</v>
      </c>
      <c r="R24" s="119">
        <v>3030</v>
      </c>
      <c r="S24" s="119">
        <v>3272</v>
      </c>
      <c r="T24" s="119">
        <v>2033</v>
      </c>
      <c r="U24" s="119">
        <v>1776</v>
      </c>
      <c r="V24" s="119">
        <v>2413</v>
      </c>
      <c r="W24" s="119">
        <v>2859</v>
      </c>
      <c r="X24" s="119">
        <v>1254</v>
      </c>
      <c r="Y24" s="119">
        <v>707</v>
      </c>
      <c r="Z24" s="119">
        <v>1740.1565903967833</v>
      </c>
      <c r="AA24" s="119">
        <v>2285.0438966435927</v>
      </c>
      <c r="AB24" s="119">
        <v>2084</v>
      </c>
      <c r="AC24" s="119">
        <v>2191.0030285311987</v>
      </c>
      <c r="AD24" s="119">
        <v>1868.0694573690623</v>
      </c>
      <c r="AE24" s="119">
        <v>1923.5334212955868</v>
      </c>
      <c r="AF24" s="119">
        <v>1913.051240819718</v>
      </c>
      <c r="AG24" s="119">
        <v>1783.1951183604849</v>
      </c>
      <c r="AH24" s="119">
        <v>1458.0043364766946</v>
      </c>
      <c r="AI24" s="119">
        <v>733</v>
      </c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</row>
    <row r="26" spans="1:49" ht="15" customHeight="1">
      <c r="A26" s="123" t="s">
        <v>281</v>
      </c>
    </row>
    <row r="27" spans="1:49" ht="15" customHeight="1">
      <c r="A27" s="118" t="s">
        <v>215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>
        <f>SUM(T29+T31)</f>
        <v>301770</v>
      </c>
      <c r="U27" s="119">
        <f t="shared" ref="U27:AT27" si="6">SUM(U29+U31)</f>
        <v>893984</v>
      </c>
      <c r="V27" s="119">
        <f t="shared" si="6"/>
        <v>907580</v>
      </c>
      <c r="W27" s="119">
        <f t="shared" si="6"/>
        <v>1254788</v>
      </c>
      <c r="X27" s="119">
        <f t="shared" si="6"/>
        <v>1234233</v>
      </c>
      <c r="Y27" s="119">
        <f t="shared" si="6"/>
        <v>1217580</v>
      </c>
      <c r="Z27" s="119">
        <f t="shared" si="6"/>
        <v>1181083.130362106</v>
      </c>
      <c r="AA27" s="119">
        <f t="shared" si="6"/>
        <v>1097397.7797173175</v>
      </c>
      <c r="AB27" s="119">
        <f t="shared" si="6"/>
        <v>1357740</v>
      </c>
      <c r="AC27" s="119">
        <f t="shared" si="6"/>
        <v>1359647.9340985892</v>
      </c>
      <c r="AD27" s="119">
        <f t="shared" si="6"/>
        <v>1508579.4477305806</v>
      </c>
      <c r="AE27" s="119">
        <f t="shared" si="6"/>
        <v>1382586.3362425312</v>
      </c>
      <c r="AF27" s="119">
        <f t="shared" si="6"/>
        <v>1416495.5012501983</v>
      </c>
      <c r="AG27" s="119">
        <f t="shared" si="6"/>
        <v>1343051.4862060766</v>
      </c>
      <c r="AH27" s="119">
        <f t="shared" si="6"/>
        <v>2576555.7265432463</v>
      </c>
      <c r="AI27" s="119">
        <f t="shared" si="6"/>
        <v>2967368</v>
      </c>
      <c r="AJ27" s="119">
        <f t="shared" si="6"/>
        <v>3044970</v>
      </c>
      <c r="AK27" s="119">
        <f t="shared" si="6"/>
        <v>4625075</v>
      </c>
      <c r="AL27" s="345">
        <f>AL28*(31+30+31)</f>
        <v>5211156</v>
      </c>
      <c r="AM27" s="119">
        <f t="shared" si="6"/>
        <v>5091703.5463238331</v>
      </c>
      <c r="AN27" s="119">
        <f t="shared" si="6"/>
        <v>4226913.1179666827</v>
      </c>
      <c r="AO27" s="119">
        <f t="shared" si="6"/>
        <v>4297174.0218722038</v>
      </c>
      <c r="AP27" s="119">
        <f t="shared" si="6"/>
        <v>3617003.621192473</v>
      </c>
      <c r="AQ27" s="119">
        <f t="shared" si="6"/>
        <v>3740932.943391026</v>
      </c>
      <c r="AR27" s="119">
        <f t="shared" si="6"/>
        <v>3444632.8398938728</v>
      </c>
      <c r="AS27" s="119">
        <f t="shared" si="6"/>
        <v>2097691.3889585487</v>
      </c>
      <c r="AT27" s="119">
        <f t="shared" si="6"/>
        <v>3026054.9263253519</v>
      </c>
      <c r="AU27" s="119">
        <f t="shared" ref="AU27:AW28" si="7">SUM(AU29+AU31)</f>
        <v>2905055.6508795889</v>
      </c>
      <c r="AV27" s="119">
        <f t="shared" si="7"/>
        <v>2947037.0423841397</v>
      </c>
      <c r="AW27" s="119">
        <f t="shared" si="7"/>
        <v>5561909.4319730466</v>
      </c>
    </row>
    <row r="28" spans="1:49" ht="15" customHeight="1">
      <c r="A28" s="118" t="s">
        <v>216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>
        <f t="shared" ref="T28:AT28" si="8">SUM(T30+T32)</f>
        <v>3353</v>
      </c>
      <c r="U28" s="119">
        <f>SUM(U30+U32)</f>
        <v>9824</v>
      </c>
      <c r="V28" s="119">
        <f t="shared" si="8"/>
        <v>9865</v>
      </c>
      <c r="W28" s="119">
        <f t="shared" si="8"/>
        <v>13639</v>
      </c>
      <c r="X28" s="119">
        <f t="shared" si="8"/>
        <v>13563</v>
      </c>
      <c r="Y28" s="119">
        <f t="shared" si="8"/>
        <v>13380</v>
      </c>
      <c r="Z28" s="119">
        <f t="shared" si="8"/>
        <v>12837.860112631586</v>
      </c>
      <c r="AA28" s="119">
        <f t="shared" si="8"/>
        <v>11928.236736057801</v>
      </c>
      <c r="AB28" s="119">
        <f t="shared" si="8"/>
        <v>15086</v>
      </c>
      <c r="AC28" s="119">
        <f t="shared" si="8"/>
        <v>14941.186088995484</v>
      </c>
      <c r="AD28" s="119">
        <f t="shared" si="8"/>
        <v>16397.6026927237</v>
      </c>
      <c r="AE28" s="119">
        <f t="shared" si="8"/>
        <v>15028.112350462296</v>
      </c>
      <c r="AF28" s="119">
        <f t="shared" si="8"/>
        <v>15738.83890277998</v>
      </c>
      <c r="AG28" s="119">
        <f t="shared" si="8"/>
        <v>14758.807540726115</v>
      </c>
      <c r="AH28" s="119">
        <f t="shared" si="8"/>
        <v>28006.04050590485</v>
      </c>
      <c r="AI28" s="119">
        <f t="shared" si="8"/>
        <v>32254</v>
      </c>
      <c r="AJ28" s="119">
        <f t="shared" si="8"/>
        <v>33833</v>
      </c>
      <c r="AK28" s="119">
        <f t="shared" si="8"/>
        <v>50825</v>
      </c>
      <c r="AL28" s="119">
        <f t="shared" si="8"/>
        <v>56643</v>
      </c>
      <c r="AM28" s="119">
        <f t="shared" si="8"/>
        <v>55344.603764389489</v>
      </c>
      <c r="AN28" s="119">
        <f t="shared" si="8"/>
        <v>46449.594702930575</v>
      </c>
      <c r="AO28" s="119">
        <f t="shared" si="8"/>
        <v>47221.692548046194</v>
      </c>
      <c r="AP28" s="119">
        <f t="shared" si="8"/>
        <v>39315.256752092093</v>
      </c>
      <c r="AQ28" s="119">
        <f t="shared" si="8"/>
        <v>40662.314602076367</v>
      </c>
      <c r="AR28" s="119">
        <f t="shared" si="8"/>
        <v>38273.698221043029</v>
      </c>
      <c r="AS28" s="119">
        <f t="shared" si="8"/>
        <v>23051.553724819219</v>
      </c>
      <c r="AT28" s="119">
        <f t="shared" si="8"/>
        <v>32891.901373101653</v>
      </c>
      <c r="AU28" s="119">
        <f t="shared" si="7"/>
        <v>31576.691857386835</v>
      </c>
      <c r="AV28" s="119">
        <f t="shared" si="7"/>
        <v>32744.856026490441</v>
      </c>
      <c r="AW28" s="119">
        <f t="shared" si="7"/>
        <v>61119.883867835677</v>
      </c>
    </row>
    <row r="29" spans="1:49" s="347" customFormat="1" ht="15" customHeight="1">
      <c r="A29" s="344" t="s">
        <v>209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>
        <v>300522.83811246796</v>
      </c>
      <c r="U29" s="345">
        <v>878331.17522800004</v>
      </c>
      <c r="V29" s="345">
        <v>895407.37465399993</v>
      </c>
      <c r="W29" s="345">
        <v>1236077.304</v>
      </c>
      <c r="X29" s="345">
        <v>1212434.51</v>
      </c>
      <c r="Y29" s="345">
        <v>1192466.5237629102</v>
      </c>
      <c r="Z29" s="345">
        <v>1164794.0079999999</v>
      </c>
      <c r="AA29" s="345">
        <v>1089626.9512073002</v>
      </c>
      <c r="AB29" s="345">
        <v>1350609.0810000002</v>
      </c>
      <c r="AC29" s="345">
        <v>1356216.9334531752</v>
      </c>
      <c r="AD29" s="345">
        <v>1507374.112377838</v>
      </c>
      <c r="AE29" s="345">
        <v>1382973.321152159</v>
      </c>
      <c r="AF29" s="345">
        <v>1414204.3708156811</v>
      </c>
      <c r="AG29" s="345">
        <v>1342535.9701051388</v>
      </c>
      <c r="AH29" s="345">
        <v>2502473.8464661506</v>
      </c>
      <c r="AI29" s="345">
        <v>2879935.4501808751</v>
      </c>
      <c r="AJ29" s="345">
        <v>2965002.76</v>
      </c>
      <c r="AK29" s="345">
        <v>4575412.1810808908</v>
      </c>
      <c r="AL29" s="345">
        <v>5142724.2569679497</v>
      </c>
      <c r="AM29" s="345">
        <v>5031453.1863238337</v>
      </c>
      <c r="AN29" s="345">
        <v>4175050.1179666831</v>
      </c>
      <c r="AO29" s="345">
        <v>4252144.0218722038</v>
      </c>
      <c r="AP29" s="345">
        <v>3577974.6211924725</v>
      </c>
      <c r="AQ29" s="345">
        <v>3712443.9433910255</v>
      </c>
      <c r="AR29" s="345">
        <v>3407153.8398938733</v>
      </c>
      <c r="AS29" s="345">
        <v>2075311.3889585491</v>
      </c>
      <c r="AT29" s="345">
        <v>3001184.9263253519</v>
      </c>
      <c r="AU29" s="345">
        <v>2886858.6508795889</v>
      </c>
      <c r="AV29" s="345">
        <v>2874811.2495979266</v>
      </c>
      <c r="AW29" s="345">
        <v>5145025.0548339598</v>
      </c>
    </row>
    <row r="30" spans="1:49" s="347" customFormat="1" ht="15" customHeight="1">
      <c r="A30" s="344" t="s">
        <v>210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>
        <v>3339.1426456940885</v>
      </c>
      <c r="U30" s="345">
        <v>9651.9909365714284</v>
      </c>
      <c r="V30" s="345">
        <v>9732.6888549347823</v>
      </c>
      <c r="W30" s="345">
        <v>13435.622869565217</v>
      </c>
      <c r="X30" s="345">
        <v>13323.456153846155</v>
      </c>
      <c r="Y30" s="345">
        <v>13104.027733658353</v>
      </c>
      <c r="Z30" s="345">
        <v>12660.804434782607</v>
      </c>
      <c r="AA30" s="345">
        <v>11843.771208775002</v>
      </c>
      <c r="AB30" s="345">
        <v>15006.767566666669</v>
      </c>
      <c r="AC30" s="345">
        <v>14903.482785199727</v>
      </c>
      <c r="AD30" s="345">
        <v>16384.501221498238</v>
      </c>
      <c r="AE30" s="345">
        <v>15032.318708175642</v>
      </c>
      <c r="AF30" s="345">
        <v>15713.381897952011</v>
      </c>
      <c r="AG30" s="345">
        <v>14753.142528627899</v>
      </c>
      <c r="AH30" s="345">
        <v>27200.802678979897</v>
      </c>
      <c r="AI30" s="345">
        <v>31303.646197618207</v>
      </c>
      <c r="AJ30" s="345">
        <v>32944.475111111111</v>
      </c>
      <c r="AK30" s="345">
        <v>50279.254737152645</v>
      </c>
      <c r="AL30" s="345">
        <v>55899.176706173363</v>
      </c>
      <c r="AM30" s="345">
        <v>54689.70854699819</v>
      </c>
      <c r="AN30" s="345">
        <v>45879.671626007505</v>
      </c>
      <c r="AO30" s="345">
        <v>46726.857383211034</v>
      </c>
      <c r="AP30" s="345">
        <v>38891.028491222525</v>
      </c>
      <c r="AQ30" s="345">
        <v>40352.651558598103</v>
      </c>
      <c r="AR30" s="345">
        <v>37857.264887709702</v>
      </c>
      <c r="AS30" s="345">
        <v>22805.619658885156</v>
      </c>
      <c r="AT30" s="345">
        <v>32621.575286145129</v>
      </c>
      <c r="AU30" s="345">
        <v>31378.898379125967</v>
      </c>
      <c r="AV30" s="345">
        <v>31942.347217754741</v>
      </c>
      <c r="AW30" s="345">
        <v>56538.736866307248</v>
      </c>
    </row>
    <row r="31" spans="1:49" s="347" customFormat="1" ht="15" customHeight="1">
      <c r="A31" s="344" t="s">
        <v>213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>
        <v>1247.1618875320337</v>
      </c>
      <c r="U31" s="345">
        <v>15652.824772000016</v>
      </c>
      <c r="V31" s="345">
        <v>12172.62534600003</v>
      </c>
      <c r="W31" s="345">
        <v>18710.696000000025</v>
      </c>
      <c r="X31" s="345">
        <v>21798.489999999911</v>
      </c>
      <c r="Y31" s="345">
        <v>25113.476237089868</v>
      </c>
      <c r="Z31" s="345">
        <v>16289.122362106071</v>
      </c>
      <c r="AA31" s="345">
        <v>7770.8285100174689</v>
      </c>
      <c r="AB31" s="345">
        <v>7130.9189999997761</v>
      </c>
      <c r="AC31" s="345">
        <v>3431.000645413902</v>
      </c>
      <c r="AD31" s="345">
        <v>1205.3353527424915</v>
      </c>
      <c r="AE31" s="345">
        <v>-386.98490962789947</v>
      </c>
      <c r="AF31" s="345">
        <v>2291.1304345172357</v>
      </c>
      <c r="AG31" s="345">
        <v>515.51610093763884</v>
      </c>
      <c r="AH31" s="345">
        <v>74081.880077095673</v>
      </c>
      <c r="AI31" s="345">
        <v>87432.549819124935</v>
      </c>
      <c r="AJ31" s="345">
        <v>79967.24000000002</v>
      </c>
      <c r="AK31" s="345">
        <v>49662.818919109282</v>
      </c>
      <c r="AL31" s="345">
        <v>68431.743032050639</v>
      </c>
      <c r="AM31" s="345">
        <v>60250.359999999462</v>
      </c>
      <c r="AN31" s="345">
        <v>51862.99999999944</v>
      </c>
      <c r="AO31" s="345">
        <v>45029.999999999556</v>
      </c>
      <c r="AP31" s="345">
        <v>39029.000000000233</v>
      </c>
      <c r="AQ31" s="345">
        <v>28489.000000000262</v>
      </c>
      <c r="AR31" s="345">
        <v>37478.999999999432</v>
      </c>
      <c r="AS31" s="345">
        <v>22379.999999999756</v>
      </c>
      <c r="AT31" s="345">
        <v>24870.000000000189</v>
      </c>
      <c r="AU31" s="345">
        <v>18196.999999999869</v>
      </c>
      <c r="AV31" s="345">
        <v>72225.792786212987</v>
      </c>
      <c r="AW31" s="345">
        <v>416884.37713908689</v>
      </c>
    </row>
    <row r="32" spans="1:49" s="347" customFormat="1" ht="15" customHeight="1">
      <c r="A32" s="344" t="s">
        <v>214</v>
      </c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>
        <v>13.857354305911485</v>
      </c>
      <c r="U32" s="345">
        <v>172.00906342857161</v>
      </c>
      <c r="V32" s="345">
        <v>132.31114506521772</v>
      </c>
      <c r="W32" s="345">
        <v>203.37713043478288</v>
      </c>
      <c r="X32" s="345">
        <v>239.54384615384515</v>
      </c>
      <c r="Y32" s="345">
        <v>275.9722663416469</v>
      </c>
      <c r="Z32" s="345">
        <v>177.05567784897903</v>
      </c>
      <c r="AA32" s="345">
        <v>84.465527282798575</v>
      </c>
      <c r="AB32" s="345">
        <v>79.232433333330846</v>
      </c>
      <c r="AC32" s="345">
        <v>37.703303795757165</v>
      </c>
      <c r="AD32" s="345">
        <v>13.101471225461864</v>
      </c>
      <c r="AE32" s="345">
        <v>-4.2063577133467334</v>
      </c>
      <c r="AF32" s="345">
        <v>25.457004827969286</v>
      </c>
      <c r="AG32" s="345">
        <v>5.6650120982158114</v>
      </c>
      <c r="AH32" s="345">
        <v>805.23782692495297</v>
      </c>
      <c r="AI32" s="345">
        <v>950.35380238179278</v>
      </c>
      <c r="AJ32" s="345">
        <v>888.52488888888911</v>
      </c>
      <c r="AK32" s="345">
        <v>545.74526284735475</v>
      </c>
      <c r="AL32" s="345">
        <v>743.82329382663738</v>
      </c>
      <c r="AM32" s="345">
        <v>654.8952173912985</v>
      </c>
      <c r="AN32" s="345">
        <v>569.92307692307077</v>
      </c>
      <c r="AO32" s="345">
        <v>494.83516483515996</v>
      </c>
      <c r="AP32" s="345">
        <v>424.22826086956775</v>
      </c>
      <c r="AQ32" s="345">
        <v>309.66304347826372</v>
      </c>
      <c r="AR32" s="345">
        <v>416.43333333332703</v>
      </c>
      <c r="AS32" s="345">
        <v>245.93406593406326</v>
      </c>
      <c r="AT32" s="345">
        <v>270.3260869565238</v>
      </c>
      <c r="AU32" s="345">
        <v>197.79347826086814</v>
      </c>
      <c r="AV32" s="345">
        <v>802.50880873569986</v>
      </c>
      <c r="AW32" s="345">
        <v>4581.1470015284276</v>
      </c>
    </row>
    <row r="34" spans="1:16381" ht="15" customHeight="1">
      <c r="A34" s="123" t="s">
        <v>217</v>
      </c>
    </row>
    <row r="35" spans="1:16381" s="227" customFormat="1" ht="15" customHeight="1">
      <c r="A35" s="118" t="s">
        <v>215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>
        <v>1325834.7282350888</v>
      </c>
      <c r="AK35" s="119">
        <v>2061232</v>
      </c>
      <c r="AL35" s="119">
        <v>2494396</v>
      </c>
      <c r="AM35" s="119">
        <v>2613904.0598476143</v>
      </c>
      <c r="AN35" s="119">
        <v>2340414.6125611458</v>
      </c>
      <c r="AO35" s="119">
        <v>2505677.602321947</v>
      </c>
      <c r="AP35" s="119">
        <v>1902759.457058805</v>
      </c>
      <c r="AQ35" s="119">
        <v>2213711.9700000002</v>
      </c>
      <c r="AR35" s="119">
        <v>1973322.1012300423</v>
      </c>
      <c r="AS35" s="119">
        <v>2439723.2599999998</v>
      </c>
      <c r="AT35" s="119">
        <v>2458243.11</v>
      </c>
      <c r="AU35" s="119">
        <v>2318151.957139045</v>
      </c>
      <c r="AV35" s="119">
        <f>AV37+AV39</f>
        <v>2378421.0834824909</v>
      </c>
      <c r="AW35" s="119">
        <f>AW37+AW39</f>
        <v>2012391.049665042</v>
      </c>
    </row>
    <row r="36" spans="1:16381" s="227" customFormat="1" ht="15" customHeight="1">
      <c r="A36" s="118" t="s">
        <v>216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>
        <v>14731.496980389875</v>
      </c>
      <c r="AK36" s="119">
        <v>22651</v>
      </c>
      <c r="AL36" s="119">
        <v>27113</v>
      </c>
      <c r="AM36" s="119">
        <v>28412.000650517548</v>
      </c>
      <c r="AN36" s="119">
        <v>26011.484572622281</v>
      </c>
      <c r="AO36" s="119">
        <v>27534.918706834582</v>
      </c>
      <c r="AP36" s="119">
        <v>20682.168011508751</v>
      </c>
      <c r="AQ36" s="119">
        <v>24062.086637746546</v>
      </c>
      <c r="AR36" s="119">
        <v>21925.801124778249</v>
      </c>
      <c r="AS36" s="119">
        <v>26810.145711977711</v>
      </c>
      <c r="AT36" s="119">
        <v>26768.750194037606</v>
      </c>
      <c r="AU36" s="119">
        <v>25197.30388194614</v>
      </c>
      <c r="AV36" s="119">
        <f>AV38+AV40</f>
        <v>26426.900927583232</v>
      </c>
      <c r="AW36" s="119">
        <f>AW38+AW40</f>
        <v>22114.187358956508</v>
      </c>
    </row>
    <row r="37" spans="1:16381" s="346" customFormat="1" ht="15" customHeight="1">
      <c r="A37" s="344" t="s">
        <v>209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>
        <v>1287283.6386512651</v>
      </c>
      <c r="AK37" s="345">
        <v>2010070.9718191489</v>
      </c>
      <c r="AL37" s="345">
        <v>2443759.5306647457</v>
      </c>
      <c r="AM37" s="345">
        <v>2541432.0598476143</v>
      </c>
      <c r="AN37" s="345">
        <v>2334341.0961086275</v>
      </c>
      <c r="AO37" s="345">
        <v>2443511.602321947</v>
      </c>
      <c r="AP37" s="345">
        <v>1878796.457058805</v>
      </c>
      <c r="AQ37" s="345">
        <v>2183424.9706726824</v>
      </c>
      <c r="AR37" s="345">
        <v>1951832.1012300425</v>
      </c>
      <c r="AS37" s="345">
        <v>2403450.2597899716</v>
      </c>
      <c r="AT37" s="345">
        <v>2458236.0178514598</v>
      </c>
      <c r="AU37" s="345">
        <v>2260546.495229396</v>
      </c>
      <c r="AV37" s="345">
        <v>2361215.848641362</v>
      </c>
      <c r="AW37" s="345">
        <v>2002137.7883818676</v>
      </c>
    </row>
    <row r="38" spans="1:16381" s="346" customFormat="1" ht="15" customHeight="1">
      <c r="A38" s="344" t="s">
        <v>210</v>
      </c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>
        <v>14303.151540569612</v>
      </c>
      <c r="AK38" s="345">
        <v>22088.691998012626</v>
      </c>
      <c r="AL38" s="345">
        <f>(('Monthly Data'!BE11*31)+('Monthly Data'!BF11*31)+('Monthly Data'!BG11*30))/(31+31+30)</f>
        <v>26562.603594182019</v>
      </c>
      <c r="AM38" s="345">
        <v>27624.261520082764</v>
      </c>
      <c r="AN38" s="345">
        <v>25652.099957237664</v>
      </c>
      <c r="AO38" s="345">
        <v>26851.775849691727</v>
      </c>
      <c r="AP38" s="345">
        <v>20421.700620204403</v>
      </c>
      <c r="AQ38" s="345">
        <v>23732.880116007418</v>
      </c>
      <c r="AR38" s="345">
        <v>21687.023347000471</v>
      </c>
      <c r="AS38" s="345">
        <v>26411.541316373314</v>
      </c>
      <c r="AT38" s="345">
        <v>26719.956715776738</v>
      </c>
      <c r="AU38" s="345">
        <v>24571.157556841263</v>
      </c>
      <c r="AV38" s="345">
        <v>26235.731651570688</v>
      </c>
      <c r="AW38" s="345">
        <v>22001.514158042501</v>
      </c>
    </row>
    <row r="39" spans="1:16381" s="346" customFormat="1" ht="15" customHeight="1">
      <c r="A39" s="344" t="s">
        <v>213</v>
      </c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>
        <v>38551.089583823683</v>
      </c>
      <c r="AK39" s="345">
        <v>49483.104174888926</v>
      </c>
      <c r="AL39" s="345">
        <v>50636.469335254238</v>
      </c>
      <c r="AM39" s="345">
        <v>72472.000000000116</v>
      </c>
      <c r="AN39" s="345">
        <v>32704.000000000153</v>
      </c>
      <c r="AO39" s="345">
        <v>62165.999999999811</v>
      </c>
      <c r="AP39" s="345">
        <v>23963.000000000015</v>
      </c>
      <c r="AQ39" s="345">
        <v>30286.999999999796</v>
      </c>
      <c r="AR39" s="345">
        <v>21489.999999999964</v>
      </c>
      <c r="AS39" s="345">
        <v>36273.000000000189</v>
      </c>
      <c r="AT39" s="345">
        <v>4488.999999999869</v>
      </c>
      <c r="AU39" s="345">
        <v>57605.4619096487</v>
      </c>
      <c r="AV39" s="345">
        <v>17205.234841128975</v>
      </c>
      <c r="AW39" s="345">
        <v>10253.261283174505</v>
      </c>
    </row>
    <row r="40" spans="1:16381" s="346" customFormat="1" ht="15" customHeight="1">
      <c r="A40" s="344" t="s">
        <v>214</v>
      </c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>
        <v>428.34543982026315</v>
      </c>
      <c r="AK40" s="345">
        <v>562.30800198737415</v>
      </c>
      <c r="AL40" s="345">
        <f>(('Monthly Data'!BE12*31)+('Monthly Data'!BF12*31)+('Monthly Data'!BG12*30))/(31+31+30)</f>
        <v>550.41304347826087</v>
      </c>
      <c r="AM40" s="345">
        <v>787.73913043478387</v>
      </c>
      <c r="AN40" s="345">
        <v>359.38461538461706</v>
      </c>
      <c r="AO40" s="345">
        <v>683.14285714285506</v>
      </c>
      <c r="AP40" s="345">
        <v>260.46739130434798</v>
      </c>
      <c r="AQ40" s="345">
        <v>329.20652173912822</v>
      </c>
      <c r="AR40" s="345">
        <v>238.77777777777737</v>
      </c>
      <c r="AS40" s="345">
        <v>398.60439560439772</v>
      </c>
      <c r="AT40" s="345">
        <v>48.793478260868142</v>
      </c>
      <c r="AU40" s="345">
        <v>626.14632510487718</v>
      </c>
      <c r="AV40" s="345">
        <v>191.16927601254417</v>
      </c>
      <c r="AW40" s="345">
        <v>112.67320091400555</v>
      </c>
    </row>
    <row r="41" spans="1:16381" s="227" customFormat="1" ht="15" customHeight="1">
      <c r="A41" s="116"/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116"/>
      <c r="AK41" s="353"/>
    </row>
    <row r="42" spans="1:16381" ht="15" customHeight="1">
      <c r="A42" s="123" t="s">
        <v>218</v>
      </c>
    </row>
    <row r="43" spans="1:16381" s="227" customFormat="1" ht="15" customHeight="1">
      <c r="A43" s="118" t="s">
        <v>209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>
        <v>1010017.6897999999</v>
      </c>
      <c r="AR43" s="119">
        <v>3442118.648</v>
      </c>
      <c r="AS43" s="119">
        <v>3568521.18</v>
      </c>
      <c r="AT43" s="119">
        <v>1346640.77</v>
      </c>
      <c r="AU43" s="119">
        <v>5184960.210644545</v>
      </c>
      <c r="AV43" s="119">
        <v>7230905.583841037</v>
      </c>
      <c r="AW43" s="119">
        <v>6775632.1958011612</v>
      </c>
    </row>
    <row r="44" spans="1:16381" s="227" customFormat="1" ht="15" customHeight="1">
      <c r="A44" s="118" t="s">
        <v>210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>
        <v>10978.453149999999</v>
      </c>
      <c r="AR44" s="119">
        <v>38245.762755555559</v>
      </c>
      <c r="AS44" s="119">
        <v>39214.51850549451</v>
      </c>
      <c r="AT44" s="119">
        <v>14637.399695652175</v>
      </c>
      <c r="AU44" s="119">
        <v>56358.263159179834</v>
      </c>
      <c r="AV44" s="119">
        <f>'[20]Modelo com gás'!$J$8</f>
        <v>80343.395376011526</v>
      </c>
      <c r="AW44" s="119">
        <f>'[20]Modelo com gás'!$J$12</f>
        <v>74457.496657155614</v>
      </c>
    </row>
    <row r="45" spans="1:16381" s="227" customFormat="1" ht="15" customHeight="1"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4"/>
      <c r="CJ45" s="234"/>
      <c r="CK45" s="234"/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4"/>
      <c r="DL45" s="234"/>
      <c r="DM45" s="234"/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  <c r="EK45" s="234"/>
      <c r="EL45" s="234"/>
      <c r="EM45" s="234"/>
      <c r="EN45" s="234"/>
      <c r="EO45" s="234"/>
      <c r="EP45" s="234"/>
      <c r="EQ45" s="234"/>
      <c r="ER45" s="234"/>
      <c r="ES45" s="234"/>
      <c r="ET45" s="234"/>
      <c r="EU45" s="234"/>
      <c r="EV45" s="234"/>
      <c r="EW45" s="234"/>
      <c r="EX45" s="234"/>
      <c r="EY45" s="234"/>
      <c r="EZ45" s="234"/>
      <c r="FA45" s="234"/>
      <c r="FB45" s="234"/>
      <c r="FC45" s="234"/>
      <c r="FD45" s="234"/>
      <c r="FE45" s="234"/>
      <c r="FF45" s="234"/>
      <c r="FG45" s="234"/>
      <c r="FH45" s="234"/>
      <c r="FI45" s="234"/>
      <c r="FJ45" s="234"/>
      <c r="FK45" s="234"/>
      <c r="FL45" s="234"/>
      <c r="FM45" s="234"/>
      <c r="FN45" s="234"/>
      <c r="FO45" s="234"/>
      <c r="FP45" s="234"/>
      <c r="FQ45" s="234"/>
      <c r="FR45" s="234"/>
      <c r="FS45" s="234"/>
      <c r="FT45" s="234"/>
      <c r="FU45" s="234"/>
      <c r="FV45" s="234"/>
      <c r="FW45" s="234"/>
      <c r="FX45" s="234"/>
      <c r="FY45" s="234"/>
      <c r="FZ45" s="234"/>
      <c r="GA45" s="234"/>
      <c r="GB45" s="234"/>
      <c r="GC45" s="234"/>
      <c r="GD45" s="234"/>
      <c r="GE45" s="234"/>
      <c r="GF45" s="234"/>
      <c r="GG45" s="234"/>
      <c r="GH45" s="234"/>
      <c r="GI45" s="234"/>
      <c r="GJ45" s="234"/>
      <c r="GK45" s="234"/>
      <c r="GL45" s="234"/>
      <c r="GM45" s="234"/>
      <c r="GN45" s="234"/>
      <c r="GO45" s="234"/>
      <c r="GP45" s="234"/>
      <c r="GQ45" s="234"/>
      <c r="GR45" s="234"/>
      <c r="GS45" s="234"/>
      <c r="GT45" s="234"/>
      <c r="GU45" s="234"/>
      <c r="GV45" s="234"/>
      <c r="GW45" s="234"/>
      <c r="GX45" s="234"/>
      <c r="GY45" s="234"/>
      <c r="GZ45" s="234"/>
      <c r="HA45" s="234"/>
      <c r="HB45" s="234"/>
      <c r="HC45" s="234"/>
      <c r="HD45" s="234"/>
      <c r="HE45" s="234"/>
      <c r="HF45" s="234"/>
      <c r="HG45" s="234"/>
      <c r="HH45" s="234"/>
      <c r="HI45" s="234"/>
      <c r="HJ45" s="234"/>
      <c r="HK45" s="234"/>
      <c r="HL45" s="234"/>
      <c r="HM45" s="234"/>
      <c r="HN45" s="234"/>
      <c r="HO45" s="234"/>
      <c r="HP45" s="234"/>
      <c r="HQ45" s="234"/>
      <c r="HR45" s="234"/>
      <c r="HS45" s="234"/>
      <c r="HT45" s="234"/>
      <c r="HU45" s="234"/>
      <c r="HV45" s="234"/>
      <c r="HW45" s="234"/>
      <c r="HX45" s="234"/>
      <c r="HY45" s="234"/>
      <c r="HZ45" s="234"/>
      <c r="IA45" s="234"/>
      <c r="IB45" s="234"/>
      <c r="IC45" s="234"/>
      <c r="ID45" s="234"/>
      <c r="IE45" s="234"/>
      <c r="IF45" s="234"/>
      <c r="IG45" s="234"/>
      <c r="IH45" s="234"/>
      <c r="II45" s="234"/>
      <c r="IJ45" s="234"/>
      <c r="IK45" s="234"/>
      <c r="IL45" s="234"/>
      <c r="IM45" s="234"/>
      <c r="IN45" s="234"/>
      <c r="IO45" s="234"/>
      <c r="IP45" s="234"/>
      <c r="IQ45" s="234"/>
      <c r="IR45" s="234"/>
      <c r="IS45" s="234"/>
      <c r="IT45" s="234"/>
      <c r="IU45" s="234"/>
      <c r="IV45" s="234"/>
      <c r="IW45" s="234"/>
      <c r="IX45" s="234"/>
      <c r="IY45" s="234"/>
      <c r="IZ45" s="234"/>
      <c r="JA45" s="234"/>
      <c r="JB45" s="234"/>
      <c r="JC45" s="234"/>
      <c r="JD45" s="234"/>
      <c r="JE45" s="234"/>
      <c r="JF45" s="234"/>
      <c r="JG45" s="234"/>
      <c r="JH45" s="234"/>
      <c r="JI45" s="234"/>
      <c r="JJ45" s="234"/>
      <c r="JK45" s="234"/>
      <c r="JL45" s="234"/>
      <c r="JM45" s="234"/>
      <c r="JN45" s="234"/>
      <c r="JO45" s="234"/>
      <c r="JP45" s="234"/>
      <c r="JQ45" s="234"/>
      <c r="JR45" s="234"/>
      <c r="JS45" s="234"/>
      <c r="JT45" s="234"/>
      <c r="JU45" s="234"/>
      <c r="JV45" s="234"/>
      <c r="JW45" s="234"/>
      <c r="JX45" s="234"/>
      <c r="JY45" s="234"/>
      <c r="JZ45" s="234"/>
      <c r="KA45" s="234"/>
      <c r="KB45" s="234"/>
      <c r="KC45" s="234"/>
      <c r="KD45" s="234"/>
      <c r="KE45" s="234"/>
      <c r="KF45" s="234"/>
      <c r="KG45" s="234"/>
      <c r="KH45" s="234"/>
      <c r="KI45" s="234"/>
      <c r="KJ45" s="234"/>
      <c r="KK45" s="234"/>
      <c r="KL45" s="234"/>
      <c r="KM45" s="234"/>
      <c r="KN45" s="234"/>
      <c r="KO45" s="234"/>
      <c r="KP45" s="234"/>
      <c r="KQ45" s="234"/>
      <c r="KR45" s="234"/>
      <c r="KS45" s="234"/>
      <c r="KT45" s="234"/>
      <c r="KU45" s="234"/>
      <c r="KV45" s="234"/>
      <c r="KW45" s="234"/>
      <c r="KX45" s="234"/>
      <c r="KY45" s="234"/>
      <c r="KZ45" s="234"/>
      <c r="LA45" s="234"/>
      <c r="LB45" s="234"/>
      <c r="LC45" s="234"/>
      <c r="LD45" s="234"/>
      <c r="LE45" s="234"/>
      <c r="LF45" s="234"/>
      <c r="LG45" s="234"/>
      <c r="LH45" s="234"/>
      <c r="LI45" s="234"/>
      <c r="LJ45" s="234"/>
      <c r="LK45" s="234"/>
      <c r="LL45" s="234"/>
      <c r="LM45" s="234"/>
      <c r="LN45" s="234"/>
      <c r="LO45" s="234"/>
      <c r="LP45" s="234"/>
      <c r="LQ45" s="234"/>
      <c r="LR45" s="234"/>
      <c r="LS45" s="234"/>
      <c r="LT45" s="234"/>
      <c r="LU45" s="234"/>
      <c r="LV45" s="234"/>
      <c r="LW45" s="234"/>
      <c r="LX45" s="234"/>
      <c r="LY45" s="234"/>
      <c r="LZ45" s="234"/>
      <c r="MA45" s="234"/>
      <c r="MB45" s="234"/>
      <c r="MC45" s="234"/>
      <c r="MD45" s="234"/>
      <c r="ME45" s="234"/>
      <c r="MF45" s="234"/>
      <c r="MG45" s="234"/>
      <c r="MH45" s="234"/>
      <c r="MI45" s="234"/>
      <c r="MJ45" s="234"/>
      <c r="MK45" s="234"/>
      <c r="ML45" s="234"/>
      <c r="MM45" s="234"/>
      <c r="MN45" s="234"/>
      <c r="MO45" s="234"/>
      <c r="MP45" s="234"/>
      <c r="MQ45" s="234"/>
      <c r="MR45" s="234"/>
      <c r="MS45" s="234"/>
      <c r="MT45" s="234"/>
      <c r="MU45" s="234"/>
      <c r="MV45" s="234"/>
      <c r="MW45" s="234"/>
      <c r="MX45" s="234"/>
      <c r="MY45" s="234"/>
      <c r="MZ45" s="234"/>
      <c r="NA45" s="234"/>
      <c r="NB45" s="234"/>
      <c r="NC45" s="234"/>
      <c r="ND45" s="234"/>
      <c r="NE45" s="234"/>
      <c r="NF45" s="234"/>
      <c r="NG45" s="234"/>
      <c r="NH45" s="234"/>
      <c r="NI45" s="234"/>
      <c r="NJ45" s="234"/>
      <c r="NK45" s="234"/>
      <c r="NL45" s="234"/>
      <c r="NM45" s="234"/>
      <c r="NN45" s="234"/>
      <c r="NO45" s="234"/>
      <c r="NP45" s="234"/>
      <c r="NQ45" s="234"/>
      <c r="NR45" s="234"/>
      <c r="NS45" s="234"/>
      <c r="NT45" s="234"/>
      <c r="NU45" s="234"/>
      <c r="NV45" s="234"/>
      <c r="NW45" s="234"/>
      <c r="NX45" s="234"/>
      <c r="NY45" s="234"/>
      <c r="NZ45" s="234"/>
      <c r="OA45" s="234"/>
      <c r="OB45" s="234"/>
      <c r="OC45" s="234"/>
      <c r="OD45" s="234"/>
      <c r="OE45" s="234"/>
      <c r="OF45" s="234"/>
      <c r="OG45" s="234"/>
      <c r="OH45" s="234"/>
      <c r="OI45" s="234"/>
      <c r="OJ45" s="234"/>
      <c r="OK45" s="234"/>
      <c r="OL45" s="234"/>
      <c r="OM45" s="234"/>
      <c r="ON45" s="234"/>
      <c r="OO45" s="234"/>
      <c r="OP45" s="234"/>
      <c r="OQ45" s="234"/>
      <c r="OR45" s="234"/>
      <c r="OS45" s="234"/>
      <c r="OT45" s="234"/>
      <c r="OU45" s="234"/>
      <c r="OV45" s="234"/>
      <c r="OW45" s="234"/>
      <c r="OX45" s="234"/>
      <c r="OY45" s="234"/>
      <c r="OZ45" s="234"/>
      <c r="PA45" s="234"/>
      <c r="PB45" s="234"/>
      <c r="PC45" s="234"/>
      <c r="PD45" s="234"/>
      <c r="PE45" s="234"/>
      <c r="PF45" s="234"/>
      <c r="PG45" s="234"/>
      <c r="PH45" s="234"/>
      <c r="PI45" s="234"/>
      <c r="PJ45" s="234"/>
      <c r="PK45" s="234"/>
      <c r="PL45" s="234"/>
      <c r="PM45" s="234"/>
      <c r="PN45" s="234"/>
      <c r="PO45" s="234"/>
      <c r="PP45" s="234"/>
      <c r="PQ45" s="234"/>
      <c r="PR45" s="234"/>
      <c r="PS45" s="234"/>
      <c r="PT45" s="234"/>
      <c r="PU45" s="234"/>
      <c r="PV45" s="234"/>
      <c r="PW45" s="234"/>
      <c r="PX45" s="234"/>
      <c r="PY45" s="234"/>
      <c r="PZ45" s="234"/>
      <c r="QA45" s="234"/>
      <c r="QB45" s="234"/>
      <c r="QC45" s="234"/>
      <c r="QD45" s="234"/>
      <c r="QE45" s="234"/>
      <c r="QF45" s="234"/>
      <c r="QG45" s="234"/>
      <c r="QH45" s="234"/>
      <c r="QI45" s="234"/>
      <c r="QJ45" s="234"/>
      <c r="QK45" s="234"/>
      <c r="QL45" s="234"/>
      <c r="QM45" s="234"/>
      <c r="QN45" s="234"/>
      <c r="QO45" s="234"/>
      <c r="QP45" s="234"/>
      <c r="QQ45" s="234"/>
      <c r="QR45" s="234"/>
      <c r="QS45" s="234"/>
      <c r="QT45" s="234"/>
      <c r="QU45" s="234"/>
      <c r="QV45" s="234"/>
      <c r="QW45" s="234"/>
      <c r="QX45" s="234"/>
      <c r="QY45" s="234"/>
      <c r="QZ45" s="234"/>
      <c r="RA45" s="234"/>
      <c r="RB45" s="234"/>
      <c r="RC45" s="234"/>
      <c r="RD45" s="234"/>
      <c r="RE45" s="234"/>
      <c r="RF45" s="234"/>
      <c r="RG45" s="234"/>
      <c r="RH45" s="234"/>
      <c r="RI45" s="234"/>
      <c r="RJ45" s="234"/>
      <c r="RK45" s="234"/>
      <c r="RL45" s="234"/>
      <c r="RM45" s="234"/>
      <c r="RN45" s="234"/>
      <c r="RO45" s="234"/>
      <c r="RP45" s="234"/>
      <c r="RQ45" s="234"/>
      <c r="RR45" s="234"/>
      <c r="RS45" s="234"/>
      <c r="RT45" s="234"/>
      <c r="RU45" s="234"/>
      <c r="RV45" s="234"/>
      <c r="RW45" s="234"/>
      <c r="RX45" s="234"/>
      <c r="RY45" s="234"/>
      <c r="RZ45" s="234"/>
      <c r="SA45" s="234"/>
      <c r="SB45" s="234"/>
      <c r="SC45" s="234"/>
      <c r="SD45" s="234"/>
      <c r="SE45" s="234"/>
      <c r="SF45" s="234"/>
      <c r="SG45" s="234"/>
      <c r="SH45" s="234"/>
      <c r="SI45" s="234"/>
      <c r="SJ45" s="234"/>
      <c r="SK45" s="234"/>
      <c r="SL45" s="234"/>
      <c r="SM45" s="234"/>
      <c r="SN45" s="234"/>
      <c r="SO45" s="234"/>
      <c r="SP45" s="234"/>
      <c r="SQ45" s="234"/>
      <c r="SR45" s="234"/>
      <c r="SS45" s="234"/>
      <c r="ST45" s="234"/>
      <c r="SU45" s="234"/>
      <c r="SV45" s="234"/>
      <c r="SW45" s="234"/>
      <c r="SX45" s="234"/>
      <c r="SY45" s="234"/>
      <c r="SZ45" s="234"/>
      <c r="TA45" s="234"/>
      <c r="TB45" s="234"/>
      <c r="TC45" s="234"/>
      <c r="TD45" s="234"/>
      <c r="TE45" s="234"/>
      <c r="TF45" s="234"/>
      <c r="TG45" s="234"/>
      <c r="TH45" s="234"/>
      <c r="TI45" s="234"/>
      <c r="TJ45" s="234"/>
      <c r="TK45" s="234"/>
      <c r="TL45" s="234"/>
      <c r="TM45" s="234"/>
      <c r="TN45" s="234"/>
      <c r="TO45" s="234"/>
      <c r="TP45" s="234"/>
      <c r="TQ45" s="234"/>
      <c r="TR45" s="234"/>
      <c r="TS45" s="234"/>
      <c r="TT45" s="234"/>
      <c r="TU45" s="234"/>
      <c r="TV45" s="234"/>
      <c r="TW45" s="234"/>
      <c r="TX45" s="234"/>
      <c r="TY45" s="234"/>
      <c r="TZ45" s="234"/>
      <c r="UA45" s="234"/>
      <c r="UB45" s="234"/>
      <c r="UC45" s="234"/>
      <c r="UD45" s="234"/>
      <c r="UE45" s="234"/>
      <c r="UF45" s="234"/>
      <c r="UG45" s="234"/>
      <c r="UH45" s="234"/>
      <c r="UI45" s="234"/>
      <c r="UJ45" s="234"/>
      <c r="UK45" s="234"/>
      <c r="UL45" s="234"/>
      <c r="UM45" s="234"/>
      <c r="UN45" s="234"/>
      <c r="UO45" s="234"/>
      <c r="UP45" s="234"/>
      <c r="UQ45" s="234"/>
      <c r="UR45" s="234"/>
      <c r="US45" s="234"/>
      <c r="UT45" s="234"/>
      <c r="UU45" s="234"/>
      <c r="UV45" s="234"/>
      <c r="UW45" s="234"/>
      <c r="UX45" s="234"/>
      <c r="UY45" s="234"/>
      <c r="UZ45" s="234"/>
      <c r="VA45" s="234"/>
      <c r="VB45" s="234"/>
      <c r="VC45" s="234"/>
      <c r="VD45" s="234"/>
      <c r="VE45" s="234"/>
      <c r="VF45" s="234"/>
      <c r="VG45" s="234"/>
      <c r="VH45" s="234"/>
      <c r="VI45" s="234"/>
      <c r="VJ45" s="234"/>
      <c r="VK45" s="234"/>
      <c r="VL45" s="234"/>
      <c r="VM45" s="234"/>
      <c r="VN45" s="234"/>
      <c r="VO45" s="234"/>
      <c r="VP45" s="234"/>
      <c r="VQ45" s="234"/>
      <c r="VR45" s="234"/>
      <c r="VS45" s="234"/>
      <c r="VT45" s="234"/>
      <c r="VU45" s="234"/>
      <c r="VV45" s="234"/>
      <c r="VW45" s="234"/>
      <c r="VX45" s="234"/>
      <c r="VY45" s="234"/>
      <c r="VZ45" s="234"/>
      <c r="WA45" s="234"/>
      <c r="WB45" s="234"/>
      <c r="WC45" s="234"/>
      <c r="WD45" s="234"/>
      <c r="WE45" s="234"/>
      <c r="WF45" s="234"/>
      <c r="WG45" s="234"/>
      <c r="WH45" s="234"/>
      <c r="WI45" s="234"/>
      <c r="WJ45" s="234"/>
      <c r="WK45" s="234"/>
      <c r="WL45" s="234"/>
      <c r="WM45" s="234"/>
      <c r="WN45" s="234"/>
      <c r="WO45" s="234"/>
      <c r="WP45" s="234"/>
      <c r="WQ45" s="234"/>
      <c r="WR45" s="234"/>
      <c r="WS45" s="234"/>
      <c r="WT45" s="234"/>
      <c r="WU45" s="234"/>
      <c r="WV45" s="234"/>
      <c r="WW45" s="234"/>
      <c r="WX45" s="234"/>
      <c r="WY45" s="234"/>
      <c r="WZ45" s="234"/>
      <c r="XA45" s="234"/>
      <c r="XB45" s="234"/>
      <c r="XC45" s="234"/>
      <c r="XD45" s="234"/>
      <c r="XE45" s="234"/>
      <c r="XF45" s="234"/>
      <c r="XG45" s="234"/>
      <c r="XH45" s="234"/>
      <c r="XI45" s="234"/>
      <c r="XJ45" s="234"/>
      <c r="XK45" s="234"/>
      <c r="XL45" s="234"/>
      <c r="XM45" s="234"/>
      <c r="XN45" s="234"/>
      <c r="XO45" s="234"/>
      <c r="XP45" s="234"/>
      <c r="XQ45" s="234"/>
      <c r="XR45" s="234"/>
      <c r="XS45" s="234"/>
      <c r="XT45" s="234"/>
      <c r="XU45" s="234"/>
      <c r="XV45" s="234"/>
      <c r="XW45" s="234"/>
      <c r="XX45" s="234"/>
      <c r="XY45" s="234"/>
      <c r="XZ45" s="234"/>
      <c r="YA45" s="234"/>
      <c r="YB45" s="234"/>
      <c r="YC45" s="234"/>
      <c r="YD45" s="234"/>
      <c r="YE45" s="234"/>
      <c r="YF45" s="234"/>
      <c r="YG45" s="234"/>
      <c r="YH45" s="234"/>
      <c r="YI45" s="234"/>
      <c r="YJ45" s="234"/>
      <c r="YK45" s="234"/>
      <c r="YL45" s="234"/>
      <c r="YM45" s="234"/>
      <c r="YN45" s="234"/>
      <c r="YO45" s="234"/>
      <c r="YP45" s="234"/>
      <c r="YQ45" s="234"/>
      <c r="YR45" s="234"/>
      <c r="YS45" s="234"/>
      <c r="YT45" s="234"/>
      <c r="YU45" s="234"/>
      <c r="YV45" s="234"/>
      <c r="YW45" s="234"/>
      <c r="YX45" s="234"/>
      <c r="YY45" s="234"/>
      <c r="YZ45" s="234"/>
      <c r="ZA45" s="234"/>
      <c r="ZB45" s="234"/>
      <c r="ZC45" s="234"/>
      <c r="ZD45" s="234"/>
      <c r="ZE45" s="234"/>
      <c r="ZF45" s="234"/>
      <c r="ZG45" s="234"/>
      <c r="ZH45" s="234"/>
      <c r="ZI45" s="234"/>
      <c r="ZJ45" s="234"/>
      <c r="ZK45" s="234"/>
      <c r="ZL45" s="234"/>
      <c r="ZM45" s="234"/>
      <c r="ZN45" s="234"/>
      <c r="ZO45" s="234"/>
      <c r="ZP45" s="234"/>
      <c r="ZQ45" s="234"/>
      <c r="ZR45" s="234"/>
      <c r="ZS45" s="234"/>
      <c r="ZT45" s="234"/>
      <c r="ZU45" s="234"/>
      <c r="ZV45" s="234"/>
      <c r="ZW45" s="234"/>
      <c r="ZX45" s="234"/>
      <c r="ZY45" s="234"/>
      <c r="ZZ45" s="234"/>
      <c r="AAA45" s="234"/>
      <c r="AAB45" s="234"/>
      <c r="AAC45" s="234"/>
      <c r="AAD45" s="234"/>
      <c r="AAE45" s="234"/>
      <c r="AAF45" s="234"/>
      <c r="AAG45" s="234"/>
      <c r="AAH45" s="234"/>
      <c r="AAI45" s="234"/>
      <c r="AAJ45" s="234"/>
      <c r="AAK45" s="234"/>
      <c r="AAL45" s="234"/>
      <c r="AAM45" s="234"/>
      <c r="AAN45" s="234"/>
      <c r="AAO45" s="234"/>
      <c r="AAP45" s="234"/>
      <c r="AAQ45" s="234"/>
      <c r="AAR45" s="234"/>
      <c r="AAS45" s="234"/>
      <c r="AAT45" s="234"/>
      <c r="AAU45" s="234"/>
      <c r="AAV45" s="234"/>
      <c r="AAW45" s="234"/>
      <c r="AAX45" s="234"/>
      <c r="AAY45" s="234"/>
      <c r="AAZ45" s="234"/>
      <c r="ABA45" s="234"/>
      <c r="ABB45" s="234"/>
      <c r="ABC45" s="234"/>
      <c r="ABD45" s="234"/>
      <c r="ABE45" s="234"/>
      <c r="ABF45" s="234"/>
      <c r="ABG45" s="234"/>
      <c r="ABH45" s="234"/>
      <c r="ABI45" s="234"/>
      <c r="ABJ45" s="234"/>
      <c r="ABK45" s="234"/>
      <c r="ABL45" s="234"/>
      <c r="ABM45" s="234"/>
      <c r="ABN45" s="234"/>
      <c r="ABO45" s="234"/>
      <c r="ABP45" s="234"/>
      <c r="ABQ45" s="234"/>
      <c r="ABR45" s="234"/>
      <c r="ABS45" s="234"/>
      <c r="ABT45" s="234"/>
      <c r="ABU45" s="234"/>
      <c r="ABV45" s="234"/>
      <c r="ABW45" s="234"/>
      <c r="ABX45" s="234"/>
      <c r="ABY45" s="234"/>
      <c r="ABZ45" s="234"/>
      <c r="ACA45" s="234"/>
      <c r="ACB45" s="234"/>
      <c r="ACC45" s="234"/>
      <c r="ACD45" s="234"/>
      <c r="ACE45" s="234"/>
      <c r="ACF45" s="234"/>
      <c r="ACG45" s="234"/>
      <c r="ACH45" s="234"/>
      <c r="ACI45" s="234"/>
      <c r="ACJ45" s="234"/>
      <c r="ACK45" s="234"/>
      <c r="ACL45" s="234"/>
      <c r="ACM45" s="234"/>
      <c r="ACN45" s="234"/>
      <c r="ACO45" s="234"/>
      <c r="ACP45" s="234"/>
      <c r="ACQ45" s="234"/>
      <c r="ACR45" s="234"/>
      <c r="ACS45" s="234"/>
      <c r="ACT45" s="234"/>
      <c r="ACU45" s="234"/>
      <c r="ACV45" s="234"/>
      <c r="ACW45" s="234"/>
      <c r="ACX45" s="234"/>
      <c r="ACY45" s="234"/>
      <c r="ACZ45" s="234"/>
      <c r="ADA45" s="234"/>
      <c r="ADB45" s="234"/>
      <c r="ADC45" s="234"/>
      <c r="ADD45" s="234"/>
      <c r="ADE45" s="234"/>
      <c r="ADF45" s="234"/>
      <c r="ADG45" s="234"/>
      <c r="ADH45" s="234"/>
      <c r="ADI45" s="234"/>
      <c r="ADJ45" s="234"/>
      <c r="ADK45" s="234"/>
      <c r="ADL45" s="234"/>
      <c r="ADM45" s="234"/>
      <c r="ADN45" s="234"/>
      <c r="ADO45" s="234"/>
      <c r="ADP45" s="234"/>
      <c r="ADQ45" s="234"/>
      <c r="ADR45" s="234"/>
      <c r="ADS45" s="234"/>
      <c r="ADT45" s="234"/>
      <c r="ADU45" s="234"/>
      <c r="ADV45" s="234"/>
      <c r="ADW45" s="234"/>
      <c r="ADX45" s="234"/>
      <c r="ADY45" s="234"/>
      <c r="ADZ45" s="234"/>
      <c r="AEA45" s="234"/>
      <c r="AEB45" s="234"/>
      <c r="AEC45" s="234"/>
      <c r="AED45" s="234"/>
      <c r="AEE45" s="234"/>
      <c r="AEF45" s="234"/>
      <c r="AEG45" s="234"/>
      <c r="AEH45" s="234"/>
      <c r="AEI45" s="234"/>
      <c r="AEJ45" s="234"/>
      <c r="AEK45" s="234"/>
      <c r="AEL45" s="234"/>
      <c r="AEM45" s="234"/>
      <c r="AEN45" s="234"/>
      <c r="AEO45" s="234"/>
      <c r="AEP45" s="234"/>
      <c r="AEQ45" s="234"/>
      <c r="AER45" s="234"/>
      <c r="AES45" s="234"/>
      <c r="AET45" s="234"/>
      <c r="AEU45" s="234"/>
      <c r="AEV45" s="234"/>
      <c r="AEW45" s="234"/>
      <c r="AEX45" s="234"/>
      <c r="AEY45" s="234"/>
      <c r="AEZ45" s="234"/>
      <c r="AFA45" s="234"/>
      <c r="AFB45" s="234"/>
      <c r="AFC45" s="234"/>
      <c r="AFD45" s="234"/>
      <c r="AFE45" s="234"/>
      <c r="AFF45" s="234"/>
      <c r="AFG45" s="234"/>
      <c r="AFH45" s="234"/>
      <c r="AFI45" s="234"/>
      <c r="AFJ45" s="234"/>
      <c r="AFK45" s="234"/>
      <c r="AFL45" s="234"/>
      <c r="AFM45" s="234"/>
      <c r="AFN45" s="234"/>
      <c r="AFO45" s="234"/>
      <c r="AFP45" s="234"/>
      <c r="AFQ45" s="234"/>
      <c r="AFR45" s="234"/>
      <c r="AFS45" s="234"/>
      <c r="AFT45" s="234"/>
      <c r="AFU45" s="234"/>
      <c r="AFV45" s="234"/>
      <c r="AFW45" s="234"/>
      <c r="AFX45" s="234"/>
      <c r="AFY45" s="234"/>
      <c r="AFZ45" s="234"/>
      <c r="AGA45" s="234"/>
      <c r="AGB45" s="234"/>
      <c r="AGC45" s="234"/>
      <c r="AGD45" s="234"/>
      <c r="AGE45" s="234"/>
      <c r="AGF45" s="234"/>
      <c r="AGG45" s="234"/>
      <c r="AGH45" s="234"/>
      <c r="AGI45" s="234"/>
      <c r="AGJ45" s="234"/>
      <c r="AGK45" s="234"/>
      <c r="AGL45" s="234"/>
      <c r="AGM45" s="234"/>
      <c r="AGN45" s="234"/>
      <c r="AGO45" s="234"/>
      <c r="AGP45" s="234"/>
      <c r="AGQ45" s="234"/>
      <c r="AGR45" s="234"/>
      <c r="AGS45" s="234"/>
      <c r="AGT45" s="234"/>
      <c r="AGU45" s="234"/>
      <c r="AGV45" s="234"/>
      <c r="AGW45" s="234"/>
      <c r="AGX45" s="234"/>
      <c r="AGY45" s="234"/>
      <c r="AGZ45" s="234"/>
      <c r="AHA45" s="234"/>
      <c r="AHB45" s="234"/>
      <c r="AHC45" s="234"/>
      <c r="AHD45" s="234"/>
      <c r="AHE45" s="234"/>
      <c r="AHF45" s="234"/>
      <c r="AHG45" s="234"/>
      <c r="AHH45" s="234"/>
      <c r="AHI45" s="234"/>
      <c r="AHJ45" s="234"/>
      <c r="AHK45" s="234"/>
      <c r="AHL45" s="234"/>
      <c r="AHM45" s="234"/>
      <c r="AHN45" s="234"/>
      <c r="AHO45" s="234"/>
      <c r="AHP45" s="234"/>
      <c r="AHQ45" s="234"/>
      <c r="AHR45" s="234"/>
      <c r="AHS45" s="234"/>
      <c r="AHT45" s="234"/>
      <c r="AHU45" s="234"/>
      <c r="AHV45" s="234"/>
      <c r="AHW45" s="234"/>
      <c r="AHX45" s="234"/>
      <c r="AHY45" s="234"/>
      <c r="AHZ45" s="234"/>
      <c r="AIA45" s="234"/>
      <c r="AIB45" s="234"/>
      <c r="AIC45" s="234"/>
      <c r="AID45" s="234"/>
      <c r="AIE45" s="234"/>
      <c r="AIF45" s="234"/>
      <c r="AIG45" s="234"/>
      <c r="AIH45" s="234"/>
      <c r="AII45" s="234"/>
      <c r="AIJ45" s="234"/>
      <c r="AIK45" s="234"/>
      <c r="AIL45" s="234"/>
      <c r="AIM45" s="234"/>
      <c r="AIN45" s="234"/>
      <c r="AIO45" s="234"/>
      <c r="AIP45" s="234"/>
      <c r="AIQ45" s="234"/>
      <c r="AIR45" s="234"/>
      <c r="AIS45" s="234"/>
      <c r="AIT45" s="234"/>
      <c r="AIU45" s="234"/>
      <c r="AIV45" s="234"/>
      <c r="AIW45" s="234"/>
      <c r="AIX45" s="234"/>
      <c r="AIY45" s="234"/>
      <c r="AIZ45" s="234"/>
      <c r="AJA45" s="234"/>
      <c r="AJB45" s="234"/>
      <c r="AJC45" s="234"/>
      <c r="AJD45" s="234"/>
      <c r="AJE45" s="234"/>
      <c r="AJF45" s="234"/>
      <c r="AJG45" s="234"/>
      <c r="AJH45" s="234"/>
      <c r="AJI45" s="234"/>
      <c r="AJJ45" s="234"/>
      <c r="AJK45" s="234"/>
      <c r="AJL45" s="234"/>
      <c r="AJM45" s="234"/>
      <c r="AJN45" s="234"/>
      <c r="AJO45" s="234"/>
      <c r="AJP45" s="234"/>
      <c r="AJQ45" s="234"/>
      <c r="AJR45" s="234"/>
      <c r="AJS45" s="234"/>
      <c r="AJT45" s="234"/>
      <c r="AJU45" s="234"/>
      <c r="AJV45" s="234"/>
      <c r="AJW45" s="234"/>
      <c r="AJX45" s="234"/>
      <c r="AJY45" s="234"/>
      <c r="AJZ45" s="234"/>
      <c r="AKA45" s="234"/>
      <c r="AKB45" s="234"/>
      <c r="AKC45" s="234"/>
      <c r="AKD45" s="234"/>
      <c r="AKE45" s="234"/>
      <c r="AKF45" s="234"/>
      <c r="AKG45" s="234"/>
      <c r="AKH45" s="234"/>
      <c r="AKI45" s="234"/>
      <c r="AKJ45" s="234"/>
      <c r="AKK45" s="234"/>
      <c r="AKL45" s="234"/>
      <c r="AKM45" s="234"/>
      <c r="AKN45" s="234"/>
      <c r="AKO45" s="234"/>
      <c r="AKP45" s="234"/>
      <c r="AKQ45" s="234"/>
      <c r="AKR45" s="234"/>
      <c r="AKS45" s="234"/>
      <c r="AKT45" s="234"/>
      <c r="AKU45" s="234"/>
      <c r="AKV45" s="234"/>
      <c r="AKW45" s="234"/>
      <c r="AKX45" s="234"/>
      <c r="AKY45" s="234"/>
      <c r="AKZ45" s="234"/>
      <c r="ALA45" s="234"/>
      <c r="ALB45" s="234"/>
      <c r="ALC45" s="234"/>
      <c r="ALD45" s="234"/>
      <c r="ALE45" s="234"/>
      <c r="ALF45" s="234"/>
      <c r="ALG45" s="234"/>
      <c r="ALH45" s="234"/>
      <c r="ALI45" s="234"/>
      <c r="ALJ45" s="234"/>
      <c r="ALK45" s="234"/>
      <c r="ALL45" s="234"/>
      <c r="ALM45" s="234"/>
      <c r="ALN45" s="234"/>
      <c r="ALO45" s="234"/>
      <c r="ALP45" s="234"/>
      <c r="ALQ45" s="234"/>
      <c r="ALR45" s="234"/>
      <c r="ALS45" s="234"/>
      <c r="ALT45" s="234"/>
      <c r="ALU45" s="234"/>
      <c r="ALV45" s="234"/>
      <c r="ALW45" s="234"/>
      <c r="ALX45" s="234"/>
      <c r="ALY45" s="234"/>
      <c r="ALZ45" s="234"/>
      <c r="AMA45" s="234"/>
      <c r="AMB45" s="234"/>
      <c r="AMC45" s="234"/>
      <c r="AMD45" s="234"/>
      <c r="AME45" s="234"/>
      <c r="AMF45" s="234"/>
      <c r="AMG45" s="234"/>
      <c r="AMH45" s="234"/>
      <c r="AMI45" s="234"/>
      <c r="AMJ45" s="234"/>
      <c r="AMK45" s="234"/>
      <c r="AML45" s="234"/>
      <c r="AMM45" s="234"/>
      <c r="AMN45" s="234"/>
      <c r="AMO45" s="234"/>
      <c r="AMP45" s="234"/>
      <c r="AMQ45" s="234"/>
      <c r="AMR45" s="234"/>
      <c r="AMS45" s="234"/>
      <c r="AMT45" s="234"/>
      <c r="AMU45" s="234"/>
      <c r="AMV45" s="234"/>
      <c r="AMW45" s="234"/>
      <c r="AMX45" s="234"/>
      <c r="AMY45" s="234"/>
      <c r="AMZ45" s="234"/>
      <c r="ANA45" s="234"/>
      <c r="ANB45" s="234"/>
      <c r="ANC45" s="234"/>
      <c r="AND45" s="234"/>
      <c r="ANE45" s="234"/>
      <c r="ANF45" s="234"/>
      <c r="ANG45" s="234"/>
      <c r="ANH45" s="234"/>
      <c r="ANI45" s="234"/>
      <c r="ANJ45" s="234"/>
      <c r="ANK45" s="234"/>
      <c r="ANL45" s="234"/>
      <c r="ANM45" s="234"/>
      <c r="ANN45" s="234"/>
      <c r="ANO45" s="234"/>
      <c r="ANP45" s="234"/>
      <c r="ANQ45" s="234"/>
      <c r="ANR45" s="234"/>
      <c r="ANS45" s="234"/>
      <c r="ANT45" s="234"/>
      <c r="ANU45" s="234"/>
      <c r="ANV45" s="234"/>
      <c r="ANW45" s="234"/>
      <c r="ANX45" s="234"/>
      <c r="ANY45" s="234"/>
      <c r="ANZ45" s="234"/>
      <c r="AOA45" s="234"/>
      <c r="AOB45" s="234"/>
      <c r="AOC45" s="234"/>
      <c r="AOD45" s="234"/>
      <c r="AOE45" s="234"/>
      <c r="AOF45" s="234"/>
      <c r="AOG45" s="234"/>
      <c r="AOH45" s="234"/>
      <c r="AOI45" s="234"/>
      <c r="AOJ45" s="234"/>
      <c r="AOK45" s="234"/>
      <c r="AOL45" s="234"/>
      <c r="AOM45" s="234"/>
      <c r="AON45" s="234"/>
      <c r="AOO45" s="234"/>
      <c r="AOP45" s="234"/>
      <c r="AOQ45" s="234"/>
      <c r="AOR45" s="234"/>
      <c r="AOS45" s="234"/>
      <c r="AOT45" s="234"/>
      <c r="AOU45" s="234"/>
      <c r="AOV45" s="234"/>
      <c r="AOW45" s="234"/>
      <c r="AOX45" s="234"/>
      <c r="AOY45" s="234"/>
      <c r="AOZ45" s="234"/>
      <c r="APA45" s="234"/>
      <c r="APB45" s="234"/>
      <c r="APC45" s="234"/>
      <c r="APD45" s="234"/>
      <c r="APE45" s="234"/>
      <c r="APF45" s="234"/>
      <c r="APG45" s="234"/>
      <c r="APH45" s="234"/>
      <c r="API45" s="234"/>
      <c r="APJ45" s="234"/>
      <c r="APK45" s="234"/>
      <c r="APL45" s="234"/>
      <c r="APM45" s="234"/>
      <c r="APN45" s="234"/>
      <c r="APO45" s="234"/>
      <c r="APP45" s="234"/>
      <c r="APQ45" s="234"/>
      <c r="APR45" s="234"/>
      <c r="APS45" s="234"/>
      <c r="APT45" s="234"/>
      <c r="APU45" s="234"/>
      <c r="APV45" s="234"/>
      <c r="APW45" s="234"/>
      <c r="APX45" s="234"/>
      <c r="APY45" s="234"/>
      <c r="APZ45" s="234"/>
      <c r="AQA45" s="234"/>
      <c r="AQB45" s="234"/>
      <c r="AQC45" s="234"/>
      <c r="AQD45" s="234"/>
      <c r="AQE45" s="234"/>
      <c r="AQF45" s="234"/>
      <c r="AQG45" s="234"/>
      <c r="AQH45" s="234"/>
      <c r="AQI45" s="234"/>
      <c r="AQJ45" s="234"/>
      <c r="AQK45" s="234"/>
      <c r="AQL45" s="234"/>
      <c r="AQM45" s="234"/>
      <c r="AQN45" s="234"/>
      <c r="AQO45" s="234"/>
      <c r="AQP45" s="234"/>
      <c r="AQQ45" s="234"/>
      <c r="AQR45" s="234"/>
      <c r="AQS45" s="234"/>
      <c r="AQT45" s="234"/>
      <c r="AQU45" s="234"/>
      <c r="AQV45" s="234"/>
      <c r="AQW45" s="234"/>
      <c r="AQX45" s="234"/>
      <c r="AQY45" s="234"/>
      <c r="AQZ45" s="234"/>
      <c r="ARA45" s="234"/>
      <c r="ARB45" s="234"/>
      <c r="ARC45" s="234"/>
      <c r="ARD45" s="234"/>
      <c r="ARE45" s="234"/>
      <c r="ARF45" s="234"/>
      <c r="ARG45" s="234"/>
      <c r="ARH45" s="234"/>
      <c r="ARI45" s="234"/>
      <c r="ARJ45" s="234"/>
      <c r="ARK45" s="234"/>
      <c r="ARL45" s="234"/>
      <c r="ARM45" s="234"/>
      <c r="ARN45" s="234"/>
      <c r="ARO45" s="234"/>
      <c r="ARP45" s="234"/>
      <c r="ARQ45" s="234"/>
      <c r="ARR45" s="234"/>
      <c r="ARS45" s="234"/>
      <c r="ART45" s="234"/>
      <c r="ARU45" s="234"/>
      <c r="ARV45" s="234"/>
      <c r="ARW45" s="234"/>
      <c r="ARX45" s="234"/>
      <c r="ARY45" s="234"/>
      <c r="ARZ45" s="234"/>
      <c r="ASA45" s="234"/>
      <c r="ASB45" s="234"/>
      <c r="ASC45" s="234"/>
      <c r="ASD45" s="234"/>
      <c r="ASE45" s="234"/>
      <c r="ASF45" s="234"/>
      <c r="ASG45" s="234"/>
      <c r="ASH45" s="234"/>
      <c r="ASI45" s="234"/>
      <c r="ASJ45" s="234"/>
      <c r="ASK45" s="234"/>
      <c r="ASL45" s="234"/>
      <c r="ASM45" s="234"/>
      <c r="ASN45" s="234"/>
      <c r="ASO45" s="234"/>
      <c r="ASP45" s="234"/>
      <c r="ASQ45" s="234"/>
      <c r="ASR45" s="234"/>
      <c r="ASS45" s="234"/>
      <c r="AST45" s="234"/>
      <c r="ASU45" s="234"/>
      <c r="ASV45" s="234"/>
      <c r="ASW45" s="234"/>
      <c r="ASX45" s="234"/>
      <c r="ASY45" s="234"/>
      <c r="ASZ45" s="234"/>
      <c r="ATA45" s="234"/>
      <c r="ATB45" s="234"/>
      <c r="ATC45" s="234"/>
      <c r="ATD45" s="234"/>
      <c r="ATE45" s="234"/>
      <c r="ATF45" s="234"/>
      <c r="ATG45" s="234"/>
      <c r="ATH45" s="234"/>
      <c r="ATI45" s="234"/>
      <c r="ATJ45" s="234"/>
      <c r="ATK45" s="234"/>
      <c r="ATL45" s="234"/>
      <c r="ATM45" s="234"/>
      <c r="ATN45" s="234"/>
      <c r="ATO45" s="234"/>
      <c r="ATP45" s="234"/>
      <c r="ATQ45" s="234"/>
      <c r="ATR45" s="234"/>
      <c r="ATS45" s="234"/>
      <c r="ATT45" s="234"/>
      <c r="ATU45" s="234"/>
      <c r="ATV45" s="234"/>
      <c r="ATW45" s="234"/>
      <c r="ATX45" s="234"/>
      <c r="ATY45" s="234"/>
      <c r="ATZ45" s="234"/>
      <c r="AUA45" s="234"/>
      <c r="AUB45" s="234"/>
      <c r="AUC45" s="234"/>
      <c r="AUD45" s="234"/>
      <c r="AUE45" s="234"/>
      <c r="AUF45" s="234"/>
      <c r="AUG45" s="234"/>
      <c r="AUH45" s="234"/>
      <c r="AUI45" s="234"/>
      <c r="AUJ45" s="234"/>
      <c r="AUK45" s="234"/>
      <c r="AUL45" s="234"/>
      <c r="AUM45" s="234"/>
      <c r="AUN45" s="234"/>
      <c r="AUO45" s="234"/>
      <c r="AUP45" s="234"/>
      <c r="AUQ45" s="234"/>
      <c r="AUR45" s="234"/>
      <c r="AUS45" s="234"/>
      <c r="AUT45" s="234"/>
      <c r="AUU45" s="234"/>
      <c r="AUV45" s="234"/>
      <c r="AUW45" s="234"/>
      <c r="AUX45" s="234"/>
      <c r="AUY45" s="234"/>
      <c r="AUZ45" s="234"/>
      <c r="AVA45" s="234"/>
      <c r="AVB45" s="234"/>
      <c r="AVC45" s="234"/>
      <c r="AVD45" s="234"/>
      <c r="AVE45" s="234"/>
      <c r="AVF45" s="234"/>
      <c r="AVG45" s="234"/>
      <c r="AVH45" s="234"/>
      <c r="AVI45" s="234"/>
      <c r="AVJ45" s="234"/>
      <c r="AVK45" s="234"/>
      <c r="AVL45" s="234"/>
      <c r="AVM45" s="234"/>
      <c r="AVN45" s="234"/>
      <c r="AVO45" s="234"/>
      <c r="AVP45" s="234"/>
      <c r="AVQ45" s="234"/>
      <c r="AVR45" s="234"/>
      <c r="AVS45" s="234"/>
      <c r="AVT45" s="234"/>
      <c r="AVU45" s="234"/>
      <c r="AVV45" s="234"/>
      <c r="AVW45" s="234"/>
      <c r="AVX45" s="234"/>
      <c r="AVY45" s="234"/>
      <c r="AVZ45" s="234"/>
      <c r="AWA45" s="234"/>
      <c r="AWB45" s="234"/>
      <c r="AWC45" s="234"/>
      <c r="AWD45" s="234"/>
      <c r="AWE45" s="234"/>
      <c r="AWF45" s="234"/>
      <c r="AWG45" s="234"/>
      <c r="AWH45" s="234"/>
      <c r="AWI45" s="234"/>
      <c r="AWJ45" s="234"/>
      <c r="AWK45" s="234"/>
      <c r="AWL45" s="234"/>
      <c r="AWM45" s="234"/>
      <c r="AWN45" s="234"/>
      <c r="AWO45" s="234"/>
      <c r="AWP45" s="234"/>
      <c r="AWQ45" s="234"/>
      <c r="AWR45" s="234"/>
      <c r="AWS45" s="234"/>
      <c r="AWT45" s="234"/>
      <c r="AWU45" s="234"/>
      <c r="AWV45" s="234"/>
      <c r="AWW45" s="234"/>
      <c r="AWX45" s="234"/>
      <c r="AWY45" s="234"/>
      <c r="AWZ45" s="234"/>
      <c r="AXA45" s="234"/>
      <c r="AXB45" s="234"/>
      <c r="AXC45" s="234"/>
      <c r="AXD45" s="234"/>
      <c r="AXE45" s="234"/>
      <c r="AXF45" s="234"/>
      <c r="AXG45" s="234"/>
      <c r="AXH45" s="234"/>
      <c r="AXI45" s="234"/>
      <c r="AXJ45" s="234"/>
      <c r="AXK45" s="234"/>
      <c r="AXL45" s="234"/>
      <c r="AXM45" s="234"/>
      <c r="AXN45" s="234"/>
      <c r="AXO45" s="234"/>
      <c r="AXP45" s="234"/>
      <c r="AXQ45" s="234"/>
      <c r="AXR45" s="234"/>
      <c r="AXS45" s="234"/>
      <c r="AXT45" s="234"/>
      <c r="AXU45" s="234"/>
      <c r="AXV45" s="234"/>
      <c r="AXW45" s="234"/>
      <c r="AXX45" s="234"/>
      <c r="AXY45" s="234"/>
      <c r="AXZ45" s="234"/>
      <c r="AYA45" s="234"/>
      <c r="AYB45" s="234"/>
      <c r="AYC45" s="234"/>
      <c r="AYD45" s="234"/>
      <c r="AYE45" s="234"/>
      <c r="AYF45" s="234"/>
      <c r="AYG45" s="234"/>
      <c r="AYH45" s="234"/>
      <c r="AYI45" s="234"/>
      <c r="AYJ45" s="234"/>
      <c r="AYK45" s="234"/>
      <c r="AYL45" s="234"/>
      <c r="AYM45" s="234"/>
      <c r="AYN45" s="234"/>
      <c r="AYO45" s="234"/>
      <c r="AYP45" s="234"/>
      <c r="AYQ45" s="234"/>
      <c r="AYR45" s="234"/>
      <c r="AYS45" s="234"/>
      <c r="AYT45" s="234"/>
      <c r="AYU45" s="234"/>
      <c r="AYV45" s="234"/>
      <c r="AYW45" s="234"/>
      <c r="AYX45" s="234"/>
      <c r="AYY45" s="234"/>
      <c r="AYZ45" s="234"/>
      <c r="AZA45" s="234"/>
      <c r="AZB45" s="234"/>
      <c r="AZC45" s="234"/>
      <c r="AZD45" s="234"/>
      <c r="AZE45" s="234"/>
      <c r="AZF45" s="234"/>
      <c r="AZG45" s="234"/>
      <c r="AZH45" s="234"/>
      <c r="AZI45" s="234"/>
      <c r="AZJ45" s="234"/>
      <c r="AZK45" s="234"/>
      <c r="AZL45" s="234"/>
      <c r="AZM45" s="234"/>
      <c r="AZN45" s="234"/>
      <c r="AZO45" s="234"/>
      <c r="AZP45" s="234"/>
      <c r="AZQ45" s="234"/>
      <c r="AZR45" s="234"/>
      <c r="AZS45" s="234"/>
      <c r="AZT45" s="234"/>
      <c r="AZU45" s="234"/>
      <c r="AZV45" s="234"/>
      <c r="AZW45" s="234"/>
      <c r="AZX45" s="234"/>
      <c r="AZY45" s="234"/>
      <c r="AZZ45" s="234"/>
      <c r="BAA45" s="234"/>
      <c r="BAB45" s="234"/>
      <c r="BAC45" s="234"/>
      <c r="BAD45" s="234"/>
      <c r="BAE45" s="234"/>
      <c r="BAF45" s="234"/>
      <c r="BAG45" s="234"/>
      <c r="BAH45" s="234"/>
      <c r="BAI45" s="234"/>
      <c r="BAJ45" s="234"/>
      <c r="BAK45" s="234"/>
      <c r="BAL45" s="234"/>
      <c r="BAM45" s="234"/>
      <c r="BAN45" s="234"/>
      <c r="BAO45" s="234"/>
      <c r="BAP45" s="234"/>
      <c r="BAQ45" s="234"/>
      <c r="BAR45" s="234"/>
      <c r="BAS45" s="234"/>
      <c r="BAT45" s="234"/>
      <c r="BAU45" s="234"/>
      <c r="BAV45" s="234"/>
      <c r="BAW45" s="234"/>
      <c r="BAX45" s="234"/>
      <c r="BAY45" s="234"/>
      <c r="BAZ45" s="234"/>
      <c r="BBA45" s="234"/>
      <c r="BBB45" s="234"/>
      <c r="BBC45" s="234"/>
      <c r="BBD45" s="234"/>
      <c r="BBE45" s="234"/>
      <c r="BBF45" s="234"/>
      <c r="BBG45" s="234"/>
      <c r="BBH45" s="234"/>
      <c r="BBI45" s="234"/>
      <c r="BBJ45" s="234"/>
      <c r="BBK45" s="234"/>
      <c r="BBL45" s="234"/>
      <c r="BBM45" s="234"/>
      <c r="BBN45" s="234"/>
      <c r="BBO45" s="234"/>
      <c r="BBP45" s="234"/>
      <c r="BBQ45" s="234"/>
      <c r="BBR45" s="234"/>
      <c r="BBS45" s="234"/>
      <c r="BBT45" s="234"/>
      <c r="BBU45" s="234"/>
      <c r="BBV45" s="234"/>
      <c r="BBW45" s="234"/>
      <c r="BBX45" s="234"/>
      <c r="BBY45" s="234"/>
      <c r="BBZ45" s="234"/>
      <c r="BCA45" s="234"/>
      <c r="BCB45" s="234"/>
      <c r="BCC45" s="234"/>
      <c r="BCD45" s="234"/>
      <c r="BCE45" s="234"/>
      <c r="BCF45" s="234"/>
      <c r="BCG45" s="234"/>
      <c r="BCH45" s="234"/>
      <c r="BCI45" s="234"/>
      <c r="BCJ45" s="234"/>
      <c r="BCK45" s="234"/>
      <c r="BCL45" s="234"/>
      <c r="BCM45" s="234"/>
      <c r="BCN45" s="234"/>
      <c r="BCO45" s="234"/>
      <c r="BCP45" s="234"/>
      <c r="BCQ45" s="234"/>
      <c r="BCR45" s="234"/>
      <c r="BCS45" s="234"/>
      <c r="BCT45" s="234"/>
      <c r="BCU45" s="234"/>
      <c r="BCV45" s="234"/>
      <c r="BCW45" s="234"/>
      <c r="BCX45" s="234"/>
      <c r="BCY45" s="234"/>
      <c r="BCZ45" s="234"/>
      <c r="BDA45" s="234"/>
      <c r="BDB45" s="234"/>
      <c r="BDC45" s="234"/>
      <c r="BDD45" s="234"/>
      <c r="BDE45" s="234"/>
      <c r="BDF45" s="234"/>
      <c r="BDG45" s="234"/>
      <c r="BDH45" s="234"/>
      <c r="BDI45" s="234"/>
      <c r="BDJ45" s="234"/>
      <c r="BDK45" s="234"/>
      <c r="BDL45" s="234"/>
      <c r="BDM45" s="234"/>
      <c r="BDN45" s="234"/>
      <c r="BDO45" s="234"/>
      <c r="BDP45" s="234"/>
      <c r="BDQ45" s="234"/>
      <c r="BDR45" s="234"/>
      <c r="BDS45" s="234"/>
      <c r="BDT45" s="234"/>
      <c r="BDU45" s="234"/>
      <c r="BDV45" s="234"/>
      <c r="BDW45" s="234"/>
      <c r="BDX45" s="234"/>
      <c r="BDY45" s="234"/>
      <c r="BDZ45" s="234"/>
      <c r="BEA45" s="234"/>
      <c r="BEB45" s="234"/>
      <c r="BEC45" s="234"/>
      <c r="BED45" s="234"/>
      <c r="BEE45" s="234"/>
      <c r="BEF45" s="234"/>
      <c r="BEG45" s="234"/>
      <c r="BEH45" s="234"/>
      <c r="BEI45" s="234"/>
      <c r="BEJ45" s="234"/>
      <c r="BEK45" s="234"/>
      <c r="BEL45" s="234"/>
      <c r="BEM45" s="234"/>
      <c r="BEN45" s="234"/>
      <c r="BEO45" s="234"/>
      <c r="BEP45" s="234"/>
      <c r="BEQ45" s="234"/>
      <c r="BER45" s="234"/>
      <c r="BES45" s="234"/>
      <c r="BET45" s="234"/>
      <c r="BEU45" s="234"/>
      <c r="BEV45" s="234"/>
      <c r="BEW45" s="234"/>
      <c r="BEX45" s="234"/>
      <c r="BEY45" s="234"/>
      <c r="BEZ45" s="234"/>
      <c r="BFA45" s="234"/>
      <c r="BFB45" s="234"/>
      <c r="BFC45" s="234"/>
      <c r="BFD45" s="234"/>
      <c r="BFE45" s="234"/>
      <c r="BFF45" s="234"/>
      <c r="BFG45" s="234"/>
      <c r="BFH45" s="234"/>
      <c r="BFI45" s="234"/>
      <c r="BFJ45" s="234"/>
      <c r="BFK45" s="234"/>
      <c r="BFL45" s="234"/>
      <c r="BFM45" s="234"/>
      <c r="BFN45" s="234"/>
      <c r="BFO45" s="234"/>
      <c r="BFP45" s="234"/>
      <c r="BFQ45" s="234"/>
      <c r="BFR45" s="234"/>
      <c r="BFS45" s="234"/>
      <c r="BFT45" s="234"/>
      <c r="BFU45" s="234"/>
      <c r="BFV45" s="234"/>
      <c r="BFW45" s="234"/>
      <c r="BFX45" s="234"/>
      <c r="BFY45" s="234"/>
      <c r="BFZ45" s="234"/>
      <c r="BGA45" s="234"/>
      <c r="BGB45" s="234"/>
      <c r="BGC45" s="234"/>
      <c r="BGD45" s="234"/>
      <c r="BGE45" s="234"/>
      <c r="BGF45" s="234"/>
      <c r="BGG45" s="234"/>
      <c r="BGH45" s="234"/>
      <c r="BGI45" s="234"/>
      <c r="BGJ45" s="234"/>
      <c r="BGK45" s="234"/>
      <c r="BGL45" s="234"/>
      <c r="BGM45" s="234"/>
      <c r="BGN45" s="234"/>
      <c r="BGO45" s="234"/>
      <c r="BGP45" s="234"/>
      <c r="BGQ45" s="234"/>
      <c r="BGR45" s="234"/>
      <c r="BGS45" s="234"/>
      <c r="BGT45" s="234"/>
      <c r="BGU45" s="234"/>
      <c r="BGV45" s="234"/>
      <c r="BGW45" s="234"/>
      <c r="BGX45" s="234"/>
      <c r="BGY45" s="234"/>
      <c r="BGZ45" s="234"/>
      <c r="BHA45" s="234"/>
      <c r="BHB45" s="234"/>
      <c r="BHC45" s="234"/>
      <c r="BHD45" s="234"/>
      <c r="BHE45" s="234"/>
      <c r="BHF45" s="234"/>
      <c r="BHG45" s="234"/>
      <c r="BHH45" s="234"/>
      <c r="BHI45" s="234"/>
      <c r="BHJ45" s="234"/>
      <c r="BHK45" s="234"/>
      <c r="BHL45" s="234"/>
      <c r="BHM45" s="234"/>
      <c r="BHN45" s="234"/>
      <c r="BHO45" s="234"/>
      <c r="BHP45" s="234"/>
      <c r="BHQ45" s="234"/>
      <c r="BHR45" s="234"/>
      <c r="BHS45" s="234"/>
      <c r="BHT45" s="234"/>
      <c r="BHU45" s="234"/>
      <c r="BHV45" s="234"/>
      <c r="BHW45" s="234"/>
      <c r="BHX45" s="234"/>
      <c r="BHY45" s="234"/>
      <c r="BHZ45" s="234"/>
      <c r="BIA45" s="234"/>
      <c r="BIB45" s="234"/>
      <c r="BIC45" s="234"/>
      <c r="BID45" s="234"/>
      <c r="BIE45" s="234"/>
      <c r="BIF45" s="234"/>
      <c r="BIG45" s="234"/>
      <c r="BIH45" s="234"/>
      <c r="BII45" s="234"/>
      <c r="BIJ45" s="234"/>
      <c r="BIK45" s="234"/>
      <c r="BIL45" s="234"/>
      <c r="BIM45" s="234"/>
      <c r="BIN45" s="234"/>
      <c r="BIO45" s="234"/>
      <c r="BIP45" s="234"/>
      <c r="BIQ45" s="234"/>
      <c r="BIR45" s="234"/>
      <c r="BIS45" s="234"/>
      <c r="BIT45" s="234"/>
      <c r="BIU45" s="234"/>
      <c r="BIV45" s="234"/>
      <c r="BIW45" s="234"/>
      <c r="BIX45" s="234"/>
      <c r="BIY45" s="234"/>
      <c r="BIZ45" s="234"/>
      <c r="BJA45" s="234"/>
      <c r="BJB45" s="234"/>
      <c r="BJC45" s="234"/>
      <c r="BJD45" s="234"/>
      <c r="BJE45" s="234"/>
      <c r="BJF45" s="234"/>
      <c r="BJG45" s="234"/>
      <c r="BJH45" s="234"/>
      <c r="BJI45" s="234"/>
      <c r="BJJ45" s="234"/>
      <c r="BJK45" s="234"/>
      <c r="BJL45" s="234"/>
      <c r="BJM45" s="234"/>
      <c r="BJN45" s="234"/>
      <c r="BJO45" s="234"/>
      <c r="BJP45" s="234"/>
      <c r="BJQ45" s="234"/>
      <c r="BJR45" s="234"/>
      <c r="BJS45" s="234"/>
      <c r="BJT45" s="234"/>
      <c r="BJU45" s="234"/>
      <c r="BJV45" s="234"/>
      <c r="BJW45" s="234"/>
      <c r="BJX45" s="234"/>
      <c r="BJY45" s="234"/>
      <c r="BJZ45" s="234"/>
      <c r="BKA45" s="234"/>
      <c r="BKB45" s="234"/>
      <c r="BKC45" s="234"/>
      <c r="BKD45" s="234"/>
      <c r="BKE45" s="234"/>
      <c r="BKF45" s="234"/>
      <c r="BKG45" s="234"/>
      <c r="BKH45" s="234"/>
      <c r="BKI45" s="234"/>
      <c r="BKJ45" s="234"/>
      <c r="BKK45" s="234"/>
      <c r="BKL45" s="234"/>
      <c r="BKM45" s="234"/>
      <c r="BKN45" s="234"/>
      <c r="BKO45" s="234"/>
      <c r="BKP45" s="234"/>
      <c r="BKQ45" s="234"/>
      <c r="BKR45" s="234"/>
      <c r="BKS45" s="234"/>
      <c r="BKT45" s="234"/>
      <c r="BKU45" s="234"/>
      <c r="BKV45" s="234"/>
      <c r="BKW45" s="234"/>
      <c r="BKX45" s="234"/>
      <c r="BKY45" s="234"/>
      <c r="BKZ45" s="234"/>
      <c r="BLA45" s="234"/>
      <c r="BLB45" s="234"/>
      <c r="BLC45" s="234"/>
      <c r="BLD45" s="234"/>
      <c r="BLE45" s="234"/>
      <c r="BLF45" s="234"/>
      <c r="BLG45" s="234"/>
      <c r="BLH45" s="234"/>
      <c r="BLI45" s="234"/>
      <c r="BLJ45" s="234"/>
      <c r="BLK45" s="234"/>
      <c r="BLL45" s="234"/>
      <c r="BLM45" s="234"/>
      <c r="BLN45" s="234"/>
      <c r="BLO45" s="234"/>
      <c r="BLP45" s="234"/>
      <c r="BLQ45" s="234"/>
      <c r="BLR45" s="234"/>
      <c r="BLS45" s="234"/>
      <c r="BLT45" s="234"/>
      <c r="BLU45" s="234"/>
      <c r="BLV45" s="234"/>
      <c r="BLW45" s="234"/>
      <c r="BLX45" s="234"/>
      <c r="BLY45" s="234"/>
      <c r="BLZ45" s="234"/>
      <c r="BMA45" s="234"/>
      <c r="BMB45" s="234"/>
      <c r="BMC45" s="234"/>
      <c r="BMD45" s="234"/>
      <c r="BME45" s="234"/>
      <c r="BMF45" s="234"/>
      <c r="BMG45" s="234"/>
      <c r="BMH45" s="234"/>
      <c r="BMI45" s="234"/>
      <c r="BMJ45" s="234"/>
      <c r="BMK45" s="234"/>
      <c r="BML45" s="234"/>
      <c r="BMM45" s="234"/>
      <c r="BMN45" s="234"/>
      <c r="BMO45" s="234"/>
      <c r="BMP45" s="234"/>
      <c r="BMQ45" s="234"/>
      <c r="BMR45" s="234"/>
      <c r="BMS45" s="234"/>
      <c r="BMT45" s="234"/>
      <c r="BMU45" s="234"/>
      <c r="BMV45" s="234"/>
      <c r="BMW45" s="234"/>
      <c r="BMX45" s="234"/>
      <c r="BMY45" s="234"/>
      <c r="BMZ45" s="234"/>
      <c r="BNA45" s="234"/>
      <c r="BNB45" s="234"/>
      <c r="BNC45" s="234"/>
      <c r="BND45" s="234"/>
      <c r="BNE45" s="234"/>
      <c r="BNF45" s="234"/>
      <c r="BNG45" s="234"/>
      <c r="BNH45" s="234"/>
      <c r="BNI45" s="234"/>
      <c r="BNJ45" s="234"/>
      <c r="BNK45" s="234"/>
      <c r="BNL45" s="234"/>
      <c r="BNM45" s="234"/>
      <c r="BNN45" s="234"/>
      <c r="BNO45" s="234"/>
      <c r="BNP45" s="234"/>
      <c r="BNQ45" s="234"/>
      <c r="BNR45" s="234"/>
      <c r="BNS45" s="234"/>
      <c r="BNT45" s="234"/>
      <c r="BNU45" s="234"/>
      <c r="BNV45" s="234"/>
      <c r="BNW45" s="234"/>
      <c r="BNX45" s="234"/>
      <c r="BNY45" s="234"/>
      <c r="BNZ45" s="234"/>
      <c r="BOA45" s="234"/>
      <c r="BOB45" s="234"/>
      <c r="BOC45" s="234"/>
      <c r="BOD45" s="234"/>
      <c r="BOE45" s="234"/>
      <c r="BOF45" s="234"/>
      <c r="BOG45" s="234"/>
      <c r="BOH45" s="234"/>
      <c r="BOI45" s="234"/>
      <c r="BOJ45" s="234"/>
      <c r="BOK45" s="234"/>
      <c r="BOL45" s="234"/>
      <c r="BOM45" s="234"/>
      <c r="BON45" s="234"/>
      <c r="BOO45" s="234"/>
      <c r="BOP45" s="234"/>
      <c r="BOQ45" s="234"/>
      <c r="BOR45" s="234"/>
      <c r="BOS45" s="234"/>
      <c r="BOT45" s="234"/>
      <c r="BOU45" s="234"/>
      <c r="BOV45" s="234"/>
      <c r="BOW45" s="234"/>
      <c r="BOX45" s="234"/>
      <c r="BOY45" s="234"/>
      <c r="BOZ45" s="234"/>
      <c r="BPA45" s="234"/>
      <c r="BPB45" s="234"/>
      <c r="BPC45" s="234"/>
      <c r="BPD45" s="234"/>
      <c r="BPE45" s="234"/>
      <c r="BPF45" s="234"/>
      <c r="BPG45" s="234"/>
      <c r="BPH45" s="234"/>
      <c r="BPI45" s="234"/>
      <c r="BPJ45" s="234"/>
      <c r="BPK45" s="234"/>
      <c r="BPL45" s="234"/>
      <c r="BPM45" s="234"/>
      <c r="BPN45" s="234"/>
      <c r="BPO45" s="234"/>
      <c r="BPP45" s="234"/>
      <c r="BPQ45" s="234"/>
      <c r="BPR45" s="234"/>
      <c r="BPS45" s="234"/>
      <c r="BPT45" s="234"/>
      <c r="BPU45" s="234"/>
      <c r="BPV45" s="234"/>
      <c r="BPW45" s="234"/>
      <c r="BPX45" s="234"/>
      <c r="BPY45" s="234"/>
      <c r="BPZ45" s="234"/>
      <c r="BQA45" s="234"/>
      <c r="BQB45" s="234"/>
      <c r="BQC45" s="234"/>
      <c r="BQD45" s="234"/>
      <c r="BQE45" s="234"/>
      <c r="BQF45" s="234"/>
      <c r="BQG45" s="234"/>
      <c r="BQH45" s="234"/>
      <c r="BQI45" s="234"/>
      <c r="BQJ45" s="234"/>
      <c r="BQK45" s="234"/>
      <c r="BQL45" s="234"/>
      <c r="BQM45" s="234"/>
      <c r="BQN45" s="234"/>
      <c r="BQO45" s="234"/>
      <c r="BQP45" s="234"/>
      <c r="BQQ45" s="234"/>
      <c r="BQR45" s="234"/>
      <c r="BQS45" s="234"/>
      <c r="BQT45" s="234"/>
      <c r="BQU45" s="234"/>
      <c r="BQV45" s="234"/>
      <c r="BQW45" s="234"/>
      <c r="BQX45" s="234"/>
      <c r="BQY45" s="234"/>
      <c r="BQZ45" s="234"/>
      <c r="BRA45" s="234"/>
      <c r="BRB45" s="234"/>
      <c r="BRC45" s="234"/>
      <c r="BRD45" s="234"/>
      <c r="BRE45" s="234"/>
      <c r="BRF45" s="234"/>
      <c r="BRG45" s="234"/>
      <c r="BRH45" s="234"/>
      <c r="BRI45" s="234"/>
      <c r="BRJ45" s="234"/>
      <c r="BRK45" s="234"/>
      <c r="BRL45" s="234"/>
      <c r="BRM45" s="234"/>
      <c r="BRN45" s="234"/>
      <c r="BRO45" s="234"/>
      <c r="BRP45" s="234"/>
      <c r="BRQ45" s="234"/>
      <c r="BRR45" s="234"/>
      <c r="BRS45" s="234"/>
      <c r="BRT45" s="234"/>
      <c r="BRU45" s="234"/>
      <c r="BRV45" s="234"/>
      <c r="BRW45" s="234"/>
      <c r="BRX45" s="234"/>
      <c r="BRY45" s="234"/>
      <c r="BRZ45" s="234"/>
      <c r="BSA45" s="234"/>
      <c r="BSB45" s="234"/>
      <c r="BSC45" s="234"/>
      <c r="BSD45" s="234"/>
      <c r="BSE45" s="234"/>
      <c r="BSF45" s="234"/>
      <c r="BSG45" s="234"/>
      <c r="BSH45" s="234"/>
      <c r="BSI45" s="234"/>
      <c r="BSJ45" s="234"/>
      <c r="BSK45" s="234"/>
      <c r="BSL45" s="234"/>
      <c r="BSM45" s="234"/>
      <c r="BSN45" s="234"/>
      <c r="BSO45" s="234"/>
      <c r="BSP45" s="234"/>
      <c r="BSQ45" s="234"/>
      <c r="BSR45" s="234"/>
      <c r="BSS45" s="234"/>
      <c r="BST45" s="234"/>
      <c r="BSU45" s="234"/>
      <c r="BSV45" s="234"/>
      <c r="BSW45" s="234"/>
      <c r="BSX45" s="234"/>
      <c r="BSY45" s="234"/>
      <c r="BSZ45" s="234"/>
      <c r="BTA45" s="234"/>
      <c r="BTB45" s="234"/>
      <c r="BTC45" s="234"/>
      <c r="BTD45" s="234"/>
      <c r="BTE45" s="234"/>
      <c r="BTF45" s="234"/>
      <c r="BTG45" s="234"/>
      <c r="BTH45" s="234"/>
      <c r="BTI45" s="234"/>
      <c r="BTJ45" s="234"/>
      <c r="BTK45" s="234"/>
      <c r="BTL45" s="234"/>
      <c r="BTM45" s="234"/>
      <c r="BTN45" s="234"/>
      <c r="BTO45" s="234"/>
      <c r="BTP45" s="234"/>
      <c r="BTQ45" s="234"/>
      <c r="BTR45" s="234"/>
      <c r="BTS45" s="234"/>
      <c r="BTT45" s="234"/>
      <c r="BTU45" s="234"/>
      <c r="BTV45" s="234"/>
      <c r="BTW45" s="234"/>
      <c r="BTX45" s="234"/>
      <c r="BTY45" s="234"/>
      <c r="BTZ45" s="234"/>
      <c r="BUA45" s="234"/>
      <c r="BUB45" s="234"/>
      <c r="BUC45" s="234"/>
      <c r="BUD45" s="234"/>
      <c r="BUE45" s="234"/>
      <c r="BUF45" s="234"/>
      <c r="BUG45" s="234"/>
      <c r="BUH45" s="234"/>
      <c r="BUI45" s="234"/>
      <c r="BUJ45" s="234"/>
      <c r="BUK45" s="234"/>
      <c r="BUL45" s="234"/>
      <c r="BUM45" s="234"/>
      <c r="BUN45" s="234"/>
      <c r="BUO45" s="234"/>
      <c r="BUP45" s="234"/>
      <c r="BUQ45" s="234"/>
      <c r="BUR45" s="234"/>
      <c r="BUS45" s="234"/>
      <c r="BUT45" s="234"/>
      <c r="BUU45" s="234"/>
      <c r="BUV45" s="234"/>
      <c r="BUW45" s="234"/>
      <c r="BUX45" s="234"/>
      <c r="BUY45" s="234"/>
      <c r="BUZ45" s="234"/>
      <c r="BVA45" s="234"/>
      <c r="BVB45" s="234"/>
      <c r="BVC45" s="234"/>
      <c r="BVD45" s="234"/>
      <c r="BVE45" s="234"/>
      <c r="BVF45" s="234"/>
      <c r="BVG45" s="234"/>
      <c r="BVH45" s="234"/>
      <c r="BVI45" s="234"/>
      <c r="BVJ45" s="234"/>
      <c r="BVK45" s="234"/>
      <c r="BVL45" s="234"/>
      <c r="BVM45" s="234"/>
      <c r="BVN45" s="234"/>
      <c r="BVO45" s="234"/>
      <c r="BVP45" s="234"/>
      <c r="BVQ45" s="234"/>
      <c r="BVR45" s="234"/>
      <c r="BVS45" s="234"/>
      <c r="BVT45" s="234"/>
      <c r="BVU45" s="234"/>
      <c r="BVV45" s="234"/>
      <c r="BVW45" s="234"/>
      <c r="BVX45" s="234"/>
      <c r="BVY45" s="234"/>
      <c r="BVZ45" s="234"/>
      <c r="BWA45" s="234"/>
      <c r="BWB45" s="234"/>
      <c r="BWC45" s="234"/>
      <c r="BWD45" s="234"/>
      <c r="BWE45" s="234"/>
      <c r="BWF45" s="234"/>
      <c r="BWG45" s="234"/>
      <c r="BWH45" s="234"/>
      <c r="BWI45" s="234"/>
      <c r="BWJ45" s="234"/>
      <c r="BWK45" s="234"/>
      <c r="BWL45" s="234"/>
      <c r="BWM45" s="234"/>
      <c r="BWN45" s="234"/>
      <c r="BWO45" s="234"/>
      <c r="BWP45" s="234"/>
      <c r="BWQ45" s="234"/>
      <c r="BWR45" s="234"/>
      <c r="BWS45" s="234"/>
      <c r="BWT45" s="234"/>
      <c r="BWU45" s="234"/>
      <c r="BWV45" s="234"/>
      <c r="BWW45" s="234"/>
      <c r="BWX45" s="234"/>
      <c r="BWY45" s="234"/>
      <c r="BWZ45" s="234"/>
      <c r="BXA45" s="234"/>
      <c r="BXB45" s="234"/>
      <c r="BXC45" s="234"/>
      <c r="BXD45" s="234"/>
      <c r="BXE45" s="234"/>
      <c r="BXF45" s="234"/>
      <c r="BXG45" s="234"/>
      <c r="BXH45" s="234"/>
      <c r="BXI45" s="234"/>
      <c r="BXJ45" s="234"/>
      <c r="BXK45" s="234"/>
      <c r="BXL45" s="234"/>
      <c r="BXM45" s="234"/>
      <c r="BXN45" s="234"/>
      <c r="BXO45" s="234"/>
      <c r="BXP45" s="234"/>
      <c r="BXQ45" s="234"/>
      <c r="BXR45" s="234"/>
      <c r="BXS45" s="234"/>
      <c r="BXT45" s="234"/>
      <c r="BXU45" s="234"/>
      <c r="BXV45" s="234"/>
      <c r="BXW45" s="234"/>
      <c r="BXX45" s="234"/>
      <c r="BXY45" s="234"/>
      <c r="BXZ45" s="234"/>
      <c r="BYA45" s="234"/>
      <c r="BYB45" s="234"/>
      <c r="BYC45" s="234"/>
      <c r="BYD45" s="234"/>
      <c r="BYE45" s="234"/>
      <c r="BYF45" s="234"/>
      <c r="BYG45" s="234"/>
      <c r="BYH45" s="234"/>
      <c r="BYI45" s="234"/>
      <c r="BYJ45" s="234"/>
      <c r="BYK45" s="234"/>
      <c r="BYL45" s="234"/>
      <c r="BYM45" s="234"/>
      <c r="BYN45" s="234"/>
      <c r="BYO45" s="234"/>
      <c r="BYP45" s="234"/>
      <c r="BYQ45" s="234"/>
      <c r="BYR45" s="234"/>
      <c r="BYS45" s="234"/>
      <c r="BYT45" s="234"/>
      <c r="BYU45" s="234"/>
      <c r="BYV45" s="234"/>
      <c r="BYW45" s="234"/>
      <c r="BYX45" s="234"/>
      <c r="BYY45" s="234"/>
      <c r="BYZ45" s="234"/>
      <c r="BZA45" s="234"/>
      <c r="BZB45" s="234"/>
      <c r="BZC45" s="234"/>
      <c r="BZD45" s="234"/>
      <c r="BZE45" s="234"/>
      <c r="BZF45" s="234"/>
      <c r="BZG45" s="234"/>
      <c r="BZH45" s="234"/>
      <c r="BZI45" s="234"/>
      <c r="BZJ45" s="234"/>
      <c r="BZK45" s="234"/>
      <c r="BZL45" s="234"/>
      <c r="BZM45" s="234"/>
      <c r="BZN45" s="234"/>
      <c r="BZO45" s="234"/>
      <c r="BZP45" s="234"/>
      <c r="BZQ45" s="234"/>
      <c r="BZR45" s="234"/>
      <c r="BZS45" s="234"/>
      <c r="BZT45" s="234"/>
      <c r="BZU45" s="234"/>
      <c r="BZV45" s="234"/>
      <c r="BZW45" s="234"/>
      <c r="BZX45" s="234"/>
      <c r="BZY45" s="234"/>
      <c r="BZZ45" s="234"/>
      <c r="CAA45" s="234"/>
      <c r="CAB45" s="234"/>
      <c r="CAC45" s="234"/>
      <c r="CAD45" s="234"/>
      <c r="CAE45" s="234"/>
      <c r="CAF45" s="234"/>
      <c r="CAG45" s="234"/>
      <c r="CAH45" s="234"/>
      <c r="CAI45" s="234"/>
      <c r="CAJ45" s="234"/>
      <c r="CAK45" s="234"/>
      <c r="CAL45" s="234"/>
      <c r="CAM45" s="234"/>
      <c r="CAN45" s="234"/>
      <c r="CAO45" s="234"/>
      <c r="CAP45" s="234"/>
      <c r="CAQ45" s="234"/>
      <c r="CAR45" s="234"/>
      <c r="CAS45" s="234"/>
      <c r="CAT45" s="234"/>
      <c r="CAU45" s="234"/>
      <c r="CAV45" s="234"/>
      <c r="CAW45" s="234"/>
      <c r="CAX45" s="234"/>
      <c r="CAY45" s="234"/>
      <c r="CAZ45" s="234"/>
      <c r="CBA45" s="234"/>
      <c r="CBB45" s="234"/>
      <c r="CBC45" s="234"/>
      <c r="CBD45" s="234"/>
      <c r="CBE45" s="234"/>
      <c r="CBF45" s="234"/>
      <c r="CBG45" s="234"/>
      <c r="CBH45" s="234"/>
      <c r="CBI45" s="234"/>
      <c r="CBJ45" s="234"/>
      <c r="CBK45" s="234"/>
      <c r="CBL45" s="234"/>
      <c r="CBM45" s="234"/>
      <c r="CBN45" s="234"/>
      <c r="CBO45" s="234"/>
      <c r="CBP45" s="234"/>
      <c r="CBQ45" s="234"/>
      <c r="CBR45" s="234"/>
      <c r="CBS45" s="234"/>
      <c r="CBT45" s="234"/>
      <c r="CBU45" s="234"/>
      <c r="CBV45" s="234"/>
      <c r="CBW45" s="234"/>
      <c r="CBX45" s="234"/>
      <c r="CBY45" s="234"/>
      <c r="CBZ45" s="234"/>
      <c r="CCA45" s="234"/>
      <c r="CCB45" s="234"/>
      <c r="CCC45" s="234"/>
      <c r="CCD45" s="234"/>
      <c r="CCE45" s="234"/>
      <c r="CCF45" s="234"/>
      <c r="CCG45" s="234"/>
      <c r="CCH45" s="234"/>
      <c r="CCI45" s="234"/>
      <c r="CCJ45" s="234"/>
      <c r="CCK45" s="234"/>
      <c r="CCL45" s="234"/>
      <c r="CCM45" s="234"/>
      <c r="CCN45" s="234"/>
      <c r="CCO45" s="234"/>
      <c r="CCP45" s="234"/>
      <c r="CCQ45" s="234"/>
      <c r="CCR45" s="234"/>
      <c r="CCS45" s="234"/>
      <c r="CCT45" s="234"/>
      <c r="CCU45" s="234"/>
      <c r="CCV45" s="234"/>
      <c r="CCW45" s="234"/>
      <c r="CCX45" s="234"/>
      <c r="CCY45" s="234"/>
      <c r="CCZ45" s="234"/>
      <c r="CDA45" s="234"/>
      <c r="CDB45" s="234"/>
      <c r="CDC45" s="234"/>
      <c r="CDD45" s="234"/>
      <c r="CDE45" s="234"/>
      <c r="CDF45" s="234"/>
      <c r="CDG45" s="234"/>
      <c r="CDH45" s="234"/>
      <c r="CDI45" s="234"/>
      <c r="CDJ45" s="234"/>
      <c r="CDK45" s="234"/>
      <c r="CDL45" s="234"/>
      <c r="CDM45" s="234"/>
      <c r="CDN45" s="234"/>
      <c r="CDO45" s="234"/>
      <c r="CDP45" s="234"/>
      <c r="CDQ45" s="234"/>
      <c r="CDR45" s="234"/>
      <c r="CDS45" s="234"/>
      <c r="CDT45" s="234"/>
      <c r="CDU45" s="234"/>
      <c r="CDV45" s="234"/>
      <c r="CDW45" s="234"/>
      <c r="CDX45" s="234"/>
      <c r="CDY45" s="234"/>
      <c r="CDZ45" s="234"/>
      <c r="CEA45" s="234"/>
      <c r="CEB45" s="234"/>
      <c r="CEC45" s="234"/>
      <c r="CED45" s="234"/>
      <c r="CEE45" s="234"/>
      <c r="CEF45" s="234"/>
      <c r="CEG45" s="234"/>
      <c r="CEH45" s="234"/>
      <c r="CEI45" s="234"/>
      <c r="CEJ45" s="234"/>
      <c r="CEK45" s="234"/>
      <c r="CEL45" s="234"/>
      <c r="CEM45" s="234"/>
      <c r="CEN45" s="234"/>
      <c r="CEO45" s="234"/>
      <c r="CEP45" s="234"/>
      <c r="CEQ45" s="234"/>
      <c r="CER45" s="234"/>
      <c r="CES45" s="234"/>
      <c r="CET45" s="234"/>
      <c r="CEU45" s="234"/>
      <c r="CEV45" s="234"/>
      <c r="CEW45" s="234"/>
      <c r="CEX45" s="234"/>
      <c r="CEY45" s="234"/>
      <c r="CEZ45" s="234"/>
      <c r="CFA45" s="234"/>
      <c r="CFB45" s="234"/>
      <c r="CFC45" s="234"/>
      <c r="CFD45" s="234"/>
      <c r="CFE45" s="234"/>
      <c r="CFF45" s="234"/>
      <c r="CFG45" s="234"/>
      <c r="CFH45" s="234"/>
      <c r="CFI45" s="234"/>
      <c r="CFJ45" s="234"/>
      <c r="CFK45" s="234"/>
      <c r="CFL45" s="234"/>
      <c r="CFM45" s="234"/>
      <c r="CFN45" s="234"/>
      <c r="CFO45" s="234"/>
      <c r="CFP45" s="234"/>
      <c r="CFQ45" s="234"/>
      <c r="CFR45" s="234"/>
      <c r="CFS45" s="234"/>
      <c r="CFT45" s="234"/>
      <c r="CFU45" s="234"/>
      <c r="CFV45" s="234"/>
      <c r="CFW45" s="234"/>
      <c r="CFX45" s="234"/>
      <c r="CFY45" s="234"/>
      <c r="CFZ45" s="234"/>
      <c r="CGA45" s="234"/>
      <c r="CGB45" s="234"/>
      <c r="CGC45" s="234"/>
      <c r="CGD45" s="234"/>
      <c r="CGE45" s="234"/>
      <c r="CGF45" s="234"/>
      <c r="CGG45" s="234"/>
      <c r="CGH45" s="234"/>
      <c r="CGI45" s="234"/>
      <c r="CGJ45" s="234"/>
      <c r="CGK45" s="234"/>
      <c r="CGL45" s="234"/>
      <c r="CGM45" s="234"/>
      <c r="CGN45" s="234"/>
      <c r="CGO45" s="234"/>
      <c r="CGP45" s="234"/>
      <c r="CGQ45" s="234"/>
      <c r="CGR45" s="234"/>
      <c r="CGS45" s="234"/>
      <c r="CGT45" s="234"/>
      <c r="CGU45" s="234"/>
      <c r="CGV45" s="234"/>
      <c r="CGW45" s="234"/>
      <c r="CGX45" s="234"/>
      <c r="CGY45" s="234"/>
      <c r="CGZ45" s="234"/>
      <c r="CHA45" s="234"/>
      <c r="CHB45" s="234"/>
      <c r="CHC45" s="234"/>
      <c r="CHD45" s="234"/>
      <c r="CHE45" s="234"/>
      <c r="CHF45" s="234"/>
      <c r="CHG45" s="234"/>
      <c r="CHH45" s="234"/>
      <c r="CHI45" s="234"/>
      <c r="CHJ45" s="234"/>
      <c r="CHK45" s="234"/>
      <c r="CHL45" s="234"/>
      <c r="CHM45" s="234"/>
      <c r="CHN45" s="234"/>
      <c r="CHO45" s="234"/>
      <c r="CHP45" s="234"/>
      <c r="CHQ45" s="234"/>
      <c r="CHR45" s="234"/>
      <c r="CHS45" s="234"/>
      <c r="CHT45" s="234"/>
      <c r="CHU45" s="234"/>
      <c r="CHV45" s="234"/>
      <c r="CHW45" s="234"/>
      <c r="CHX45" s="234"/>
      <c r="CHY45" s="234"/>
      <c r="CHZ45" s="234"/>
      <c r="CIA45" s="234"/>
      <c r="CIB45" s="234"/>
      <c r="CIC45" s="234"/>
      <c r="CID45" s="234"/>
      <c r="CIE45" s="234"/>
      <c r="CIF45" s="234"/>
      <c r="CIG45" s="234"/>
      <c r="CIH45" s="234"/>
      <c r="CII45" s="234"/>
      <c r="CIJ45" s="234"/>
      <c r="CIK45" s="234"/>
      <c r="CIL45" s="234"/>
      <c r="CIM45" s="234"/>
      <c r="CIN45" s="234"/>
      <c r="CIO45" s="234"/>
      <c r="CIP45" s="234"/>
      <c r="CIQ45" s="234"/>
      <c r="CIR45" s="234"/>
      <c r="CIS45" s="234"/>
      <c r="CIT45" s="234"/>
      <c r="CIU45" s="234"/>
      <c r="CIV45" s="234"/>
      <c r="CIW45" s="234"/>
      <c r="CIX45" s="234"/>
      <c r="CIY45" s="234"/>
      <c r="CIZ45" s="234"/>
      <c r="CJA45" s="234"/>
      <c r="CJB45" s="234"/>
      <c r="CJC45" s="234"/>
      <c r="CJD45" s="234"/>
      <c r="CJE45" s="234"/>
      <c r="CJF45" s="234"/>
      <c r="CJG45" s="234"/>
      <c r="CJH45" s="234"/>
      <c r="CJI45" s="234"/>
      <c r="CJJ45" s="234"/>
      <c r="CJK45" s="234"/>
      <c r="CJL45" s="234"/>
      <c r="CJM45" s="234"/>
      <c r="CJN45" s="234"/>
      <c r="CJO45" s="234"/>
      <c r="CJP45" s="234"/>
      <c r="CJQ45" s="234"/>
      <c r="CJR45" s="234"/>
      <c r="CJS45" s="234"/>
      <c r="CJT45" s="234"/>
      <c r="CJU45" s="234"/>
      <c r="CJV45" s="234"/>
      <c r="CJW45" s="234"/>
      <c r="CJX45" s="234"/>
      <c r="CJY45" s="234"/>
      <c r="CJZ45" s="234"/>
      <c r="CKA45" s="234"/>
      <c r="CKB45" s="234"/>
      <c r="CKC45" s="234"/>
      <c r="CKD45" s="234"/>
      <c r="CKE45" s="234"/>
      <c r="CKF45" s="234"/>
      <c r="CKG45" s="234"/>
      <c r="CKH45" s="234"/>
      <c r="CKI45" s="234"/>
      <c r="CKJ45" s="234"/>
      <c r="CKK45" s="234"/>
      <c r="CKL45" s="234"/>
      <c r="CKM45" s="234"/>
      <c r="CKN45" s="234"/>
      <c r="CKO45" s="234"/>
      <c r="CKP45" s="234"/>
      <c r="CKQ45" s="234"/>
      <c r="CKR45" s="234"/>
      <c r="CKS45" s="234"/>
      <c r="CKT45" s="234"/>
      <c r="CKU45" s="234"/>
      <c r="CKV45" s="234"/>
      <c r="CKW45" s="234"/>
      <c r="CKX45" s="234"/>
      <c r="CKY45" s="234"/>
      <c r="CKZ45" s="234"/>
      <c r="CLA45" s="234"/>
      <c r="CLB45" s="234"/>
      <c r="CLC45" s="234"/>
      <c r="CLD45" s="234"/>
      <c r="CLE45" s="234"/>
      <c r="CLF45" s="234"/>
      <c r="CLG45" s="234"/>
      <c r="CLH45" s="234"/>
      <c r="CLI45" s="234"/>
      <c r="CLJ45" s="234"/>
      <c r="CLK45" s="234"/>
      <c r="CLL45" s="234"/>
      <c r="CLM45" s="234"/>
      <c r="CLN45" s="234"/>
      <c r="CLO45" s="234"/>
      <c r="CLP45" s="234"/>
      <c r="CLQ45" s="234"/>
      <c r="CLR45" s="234"/>
      <c r="CLS45" s="234"/>
      <c r="CLT45" s="234"/>
      <c r="CLU45" s="234"/>
      <c r="CLV45" s="234"/>
      <c r="CLW45" s="234"/>
      <c r="CLX45" s="234"/>
      <c r="CLY45" s="234"/>
      <c r="CLZ45" s="234"/>
      <c r="CMA45" s="234"/>
      <c r="CMB45" s="234"/>
      <c r="CMC45" s="234"/>
      <c r="CMD45" s="234"/>
      <c r="CME45" s="234"/>
      <c r="CMF45" s="234"/>
      <c r="CMG45" s="234"/>
      <c r="CMH45" s="234"/>
      <c r="CMI45" s="234"/>
      <c r="CMJ45" s="234"/>
      <c r="CMK45" s="234"/>
      <c r="CML45" s="234"/>
      <c r="CMM45" s="234"/>
      <c r="CMN45" s="234"/>
      <c r="CMO45" s="234"/>
      <c r="CMP45" s="234"/>
      <c r="CMQ45" s="234"/>
      <c r="CMR45" s="234"/>
      <c r="CMS45" s="234"/>
      <c r="CMT45" s="234"/>
      <c r="CMU45" s="234"/>
      <c r="CMV45" s="234"/>
      <c r="CMW45" s="234"/>
      <c r="CMX45" s="234"/>
      <c r="CMY45" s="234"/>
      <c r="CMZ45" s="234"/>
      <c r="CNA45" s="234"/>
      <c r="CNB45" s="234"/>
      <c r="CNC45" s="234"/>
      <c r="CND45" s="234"/>
      <c r="CNE45" s="234"/>
      <c r="CNF45" s="234"/>
      <c r="CNG45" s="234"/>
      <c r="CNH45" s="234"/>
      <c r="CNI45" s="234"/>
      <c r="CNJ45" s="234"/>
      <c r="CNK45" s="234"/>
      <c r="CNL45" s="234"/>
      <c r="CNM45" s="234"/>
      <c r="CNN45" s="234"/>
      <c r="CNO45" s="234"/>
      <c r="CNP45" s="234"/>
      <c r="CNQ45" s="234"/>
      <c r="CNR45" s="234"/>
      <c r="CNS45" s="234"/>
      <c r="CNT45" s="234"/>
      <c r="CNU45" s="234"/>
      <c r="CNV45" s="234"/>
      <c r="CNW45" s="234"/>
      <c r="CNX45" s="234"/>
      <c r="CNY45" s="234"/>
      <c r="CNZ45" s="234"/>
      <c r="COA45" s="234"/>
      <c r="COB45" s="234"/>
      <c r="COC45" s="234"/>
      <c r="COD45" s="234"/>
      <c r="COE45" s="234"/>
      <c r="COF45" s="234"/>
      <c r="COG45" s="234"/>
      <c r="COH45" s="234"/>
      <c r="COI45" s="234"/>
      <c r="COJ45" s="234"/>
      <c r="COK45" s="234"/>
      <c r="COL45" s="234"/>
      <c r="COM45" s="234"/>
      <c r="CON45" s="234"/>
      <c r="COO45" s="234"/>
      <c r="COP45" s="234"/>
      <c r="COQ45" s="234"/>
      <c r="COR45" s="234"/>
      <c r="COS45" s="234"/>
      <c r="COT45" s="234"/>
      <c r="COU45" s="234"/>
      <c r="COV45" s="234"/>
      <c r="COW45" s="234"/>
      <c r="COX45" s="234"/>
      <c r="COY45" s="234"/>
      <c r="COZ45" s="234"/>
      <c r="CPA45" s="234"/>
      <c r="CPB45" s="234"/>
      <c r="CPC45" s="234"/>
      <c r="CPD45" s="234"/>
      <c r="CPE45" s="234"/>
      <c r="CPF45" s="234"/>
      <c r="CPG45" s="234"/>
      <c r="CPH45" s="234"/>
      <c r="CPI45" s="234"/>
      <c r="CPJ45" s="234"/>
      <c r="CPK45" s="234"/>
      <c r="CPL45" s="234"/>
      <c r="CPM45" s="234"/>
      <c r="CPN45" s="234"/>
      <c r="CPO45" s="234"/>
      <c r="CPP45" s="234"/>
      <c r="CPQ45" s="234"/>
      <c r="CPR45" s="234"/>
      <c r="CPS45" s="234"/>
      <c r="CPT45" s="234"/>
      <c r="CPU45" s="234"/>
      <c r="CPV45" s="234"/>
      <c r="CPW45" s="234"/>
      <c r="CPX45" s="234"/>
      <c r="CPY45" s="234"/>
      <c r="CPZ45" s="234"/>
      <c r="CQA45" s="234"/>
      <c r="CQB45" s="234"/>
      <c r="CQC45" s="234"/>
      <c r="CQD45" s="234"/>
      <c r="CQE45" s="234"/>
      <c r="CQF45" s="234"/>
      <c r="CQG45" s="234"/>
      <c r="CQH45" s="234"/>
      <c r="CQI45" s="234"/>
      <c r="CQJ45" s="234"/>
      <c r="CQK45" s="234"/>
      <c r="CQL45" s="234"/>
      <c r="CQM45" s="234"/>
      <c r="CQN45" s="234"/>
      <c r="CQO45" s="234"/>
      <c r="CQP45" s="234"/>
      <c r="CQQ45" s="234"/>
      <c r="CQR45" s="234"/>
      <c r="CQS45" s="234"/>
      <c r="CQT45" s="234"/>
      <c r="CQU45" s="234"/>
      <c r="CQV45" s="234"/>
      <c r="CQW45" s="234"/>
      <c r="CQX45" s="234"/>
      <c r="CQY45" s="234"/>
      <c r="CQZ45" s="234"/>
      <c r="CRA45" s="234"/>
      <c r="CRB45" s="234"/>
      <c r="CRC45" s="234"/>
      <c r="CRD45" s="234"/>
      <c r="CRE45" s="234"/>
      <c r="CRF45" s="234"/>
      <c r="CRG45" s="234"/>
      <c r="CRH45" s="234"/>
      <c r="CRI45" s="234"/>
      <c r="CRJ45" s="234"/>
      <c r="CRK45" s="234"/>
      <c r="CRL45" s="234"/>
      <c r="CRM45" s="234"/>
      <c r="CRN45" s="234"/>
      <c r="CRO45" s="234"/>
      <c r="CRP45" s="234"/>
      <c r="CRQ45" s="234"/>
      <c r="CRR45" s="234"/>
      <c r="CRS45" s="234"/>
      <c r="CRT45" s="234"/>
      <c r="CRU45" s="234"/>
      <c r="CRV45" s="234"/>
      <c r="CRW45" s="234"/>
      <c r="CRX45" s="234"/>
      <c r="CRY45" s="234"/>
      <c r="CRZ45" s="234"/>
      <c r="CSA45" s="234"/>
      <c r="CSB45" s="234"/>
      <c r="CSC45" s="234"/>
      <c r="CSD45" s="234"/>
      <c r="CSE45" s="234"/>
      <c r="CSF45" s="234"/>
      <c r="CSG45" s="234"/>
      <c r="CSH45" s="234"/>
      <c r="CSI45" s="234"/>
      <c r="CSJ45" s="234"/>
      <c r="CSK45" s="234"/>
      <c r="CSL45" s="234"/>
      <c r="CSM45" s="234"/>
      <c r="CSN45" s="234"/>
      <c r="CSO45" s="234"/>
      <c r="CSP45" s="234"/>
      <c r="CSQ45" s="234"/>
      <c r="CSR45" s="234"/>
      <c r="CSS45" s="234"/>
      <c r="CST45" s="234"/>
      <c r="CSU45" s="234"/>
      <c r="CSV45" s="234"/>
      <c r="CSW45" s="234"/>
      <c r="CSX45" s="234"/>
      <c r="CSY45" s="234"/>
      <c r="CSZ45" s="234"/>
      <c r="CTA45" s="234"/>
      <c r="CTB45" s="234"/>
      <c r="CTC45" s="234"/>
      <c r="CTD45" s="234"/>
      <c r="CTE45" s="234"/>
      <c r="CTF45" s="234"/>
      <c r="CTG45" s="234"/>
      <c r="CTH45" s="234"/>
      <c r="CTI45" s="234"/>
      <c r="CTJ45" s="234"/>
      <c r="CTK45" s="234"/>
      <c r="CTL45" s="234"/>
      <c r="CTM45" s="234"/>
      <c r="CTN45" s="234"/>
      <c r="CTO45" s="234"/>
      <c r="CTP45" s="234"/>
      <c r="CTQ45" s="234"/>
      <c r="CTR45" s="234"/>
      <c r="CTS45" s="234"/>
      <c r="CTT45" s="234"/>
      <c r="CTU45" s="234"/>
      <c r="CTV45" s="234"/>
      <c r="CTW45" s="234"/>
      <c r="CTX45" s="234"/>
      <c r="CTY45" s="234"/>
      <c r="CTZ45" s="234"/>
      <c r="CUA45" s="234"/>
      <c r="CUB45" s="234"/>
      <c r="CUC45" s="234"/>
      <c r="CUD45" s="234"/>
      <c r="CUE45" s="234"/>
      <c r="CUF45" s="234"/>
      <c r="CUG45" s="234"/>
      <c r="CUH45" s="234"/>
      <c r="CUI45" s="234"/>
      <c r="CUJ45" s="234"/>
      <c r="CUK45" s="234"/>
      <c r="CUL45" s="234"/>
      <c r="CUM45" s="234"/>
      <c r="CUN45" s="234"/>
      <c r="CUO45" s="234"/>
      <c r="CUP45" s="234"/>
      <c r="CUQ45" s="234"/>
      <c r="CUR45" s="234"/>
      <c r="CUS45" s="234"/>
      <c r="CUT45" s="234"/>
      <c r="CUU45" s="234"/>
      <c r="CUV45" s="234"/>
      <c r="CUW45" s="234"/>
      <c r="CUX45" s="234"/>
      <c r="CUY45" s="234"/>
      <c r="CUZ45" s="234"/>
      <c r="CVA45" s="234"/>
      <c r="CVB45" s="234"/>
      <c r="CVC45" s="234"/>
      <c r="CVD45" s="234"/>
      <c r="CVE45" s="234"/>
      <c r="CVF45" s="234"/>
      <c r="CVG45" s="234"/>
      <c r="CVH45" s="234"/>
      <c r="CVI45" s="234"/>
      <c r="CVJ45" s="234"/>
      <c r="CVK45" s="234"/>
      <c r="CVL45" s="234"/>
      <c r="CVM45" s="234"/>
      <c r="CVN45" s="234"/>
      <c r="CVO45" s="234"/>
      <c r="CVP45" s="234"/>
      <c r="CVQ45" s="234"/>
      <c r="CVR45" s="234"/>
      <c r="CVS45" s="234"/>
      <c r="CVT45" s="234"/>
      <c r="CVU45" s="234"/>
      <c r="CVV45" s="234"/>
      <c r="CVW45" s="234"/>
      <c r="CVX45" s="234"/>
      <c r="CVY45" s="234"/>
      <c r="CVZ45" s="234"/>
      <c r="CWA45" s="234"/>
      <c r="CWB45" s="234"/>
      <c r="CWC45" s="234"/>
      <c r="CWD45" s="234"/>
      <c r="CWE45" s="234"/>
      <c r="CWF45" s="234"/>
      <c r="CWG45" s="234"/>
      <c r="CWH45" s="234"/>
      <c r="CWI45" s="234"/>
      <c r="CWJ45" s="234"/>
      <c r="CWK45" s="234"/>
      <c r="CWL45" s="234"/>
      <c r="CWM45" s="234"/>
      <c r="CWN45" s="234"/>
      <c r="CWO45" s="234"/>
      <c r="CWP45" s="234"/>
      <c r="CWQ45" s="234"/>
      <c r="CWR45" s="234"/>
      <c r="CWS45" s="234"/>
      <c r="CWT45" s="234"/>
      <c r="CWU45" s="234"/>
      <c r="CWV45" s="234"/>
      <c r="CWW45" s="234"/>
      <c r="CWX45" s="234"/>
      <c r="CWY45" s="234"/>
      <c r="CWZ45" s="234"/>
      <c r="CXA45" s="234"/>
      <c r="CXB45" s="234"/>
      <c r="CXC45" s="234"/>
      <c r="CXD45" s="234"/>
      <c r="CXE45" s="234"/>
      <c r="CXF45" s="234"/>
      <c r="CXG45" s="234"/>
      <c r="CXH45" s="234"/>
      <c r="CXI45" s="234"/>
      <c r="CXJ45" s="234"/>
      <c r="CXK45" s="234"/>
      <c r="CXL45" s="234"/>
      <c r="CXM45" s="234"/>
      <c r="CXN45" s="234"/>
      <c r="CXO45" s="234"/>
      <c r="CXP45" s="234"/>
      <c r="CXQ45" s="234"/>
      <c r="CXR45" s="234"/>
      <c r="CXS45" s="234"/>
      <c r="CXT45" s="234"/>
      <c r="CXU45" s="234"/>
      <c r="CXV45" s="234"/>
      <c r="CXW45" s="234"/>
      <c r="CXX45" s="234"/>
      <c r="CXY45" s="234"/>
      <c r="CXZ45" s="234"/>
      <c r="CYA45" s="234"/>
      <c r="CYB45" s="234"/>
      <c r="CYC45" s="234"/>
      <c r="CYD45" s="234"/>
      <c r="CYE45" s="234"/>
      <c r="CYF45" s="234"/>
      <c r="CYG45" s="234"/>
      <c r="CYH45" s="234"/>
      <c r="CYI45" s="234"/>
      <c r="CYJ45" s="234"/>
      <c r="CYK45" s="234"/>
      <c r="CYL45" s="234"/>
      <c r="CYM45" s="234"/>
      <c r="CYN45" s="234"/>
      <c r="CYO45" s="234"/>
      <c r="CYP45" s="234"/>
      <c r="CYQ45" s="234"/>
      <c r="CYR45" s="234"/>
      <c r="CYS45" s="234"/>
      <c r="CYT45" s="234"/>
      <c r="CYU45" s="234"/>
      <c r="CYV45" s="234"/>
      <c r="CYW45" s="234"/>
      <c r="CYX45" s="234"/>
      <c r="CYY45" s="234"/>
      <c r="CYZ45" s="234"/>
      <c r="CZA45" s="234"/>
      <c r="CZB45" s="234"/>
      <c r="CZC45" s="234"/>
      <c r="CZD45" s="234"/>
      <c r="CZE45" s="234"/>
      <c r="CZF45" s="234"/>
      <c r="CZG45" s="234"/>
      <c r="CZH45" s="234"/>
      <c r="CZI45" s="234"/>
      <c r="CZJ45" s="234"/>
      <c r="CZK45" s="234"/>
      <c r="CZL45" s="234"/>
      <c r="CZM45" s="234"/>
      <c r="CZN45" s="234"/>
      <c r="CZO45" s="234"/>
      <c r="CZP45" s="234"/>
      <c r="CZQ45" s="234"/>
      <c r="CZR45" s="234"/>
      <c r="CZS45" s="234"/>
      <c r="CZT45" s="234"/>
      <c r="CZU45" s="234"/>
      <c r="CZV45" s="234"/>
      <c r="CZW45" s="234"/>
      <c r="CZX45" s="234"/>
      <c r="CZY45" s="234"/>
      <c r="CZZ45" s="234"/>
      <c r="DAA45" s="234"/>
      <c r="DAB45" s="234"/>
      <c r="DAC45" s="234"/>
      <c r="DAD45" s="234"/>
      <c r="DAE45" s="234"/>
      <c r="DAF45" s="234"/>
      <c r="DAG45" s="234"/>
      <c r="DAH45" s="234"/>
      <c r="DAI45" s="234"/>
      <c r="DAJ45" s="234"/>
      <c r="DAK45" s="234"/>
      <c r="DAL45" s="234"/>
      <c r="DAM45" s="234"/>
      <c r="DAN45" s="234"/>
      <c r="DAO45" s="234"/>
      <c r="DAP45" s="234"/>
      <c r="DAQ45" s="234"/>
      <c r="DAR45" s="234"/>
      <c r="DAS45" s="234"/>
      <c r="DAT45" s="234"/>
      <c r="DAU45" s="234"/>
      <c r="DAV45" s="234"/>
      <c r="DAW45" s="234"/>
      <c r="DAX45" s="234"/>
      <c r="DAY45" s="234"/>
      <c r="DAZ45" s="234"/>
      <c r="DBA45" s="234"/>
      <c r="DBB45" s="234"/>
      <c r="DBC45" s="234"/>
      <c r="DBD45" s="234"/>
      <c r="DBE45" s="234"/>
      <c r="DBF45" s="234"/>
      <c r="DBG45" s="234"/>
      <c r="DBH45" s="234"/>
      <c r="DBI45" s="234"/>
      <c r="DBJ45" s="234"/>
      <c r="DBK45" s="234"/>
      <c r="DBL45" s="234"/>
      <c r="DBM45" s="234"/>
      <c r="DBN45" s="234"/>
      <c r="DBO45" s="234"/>
      <c r="DBP45" s="234"/>
      <c r="DBQ45" s="234"/>
      <c r="DBR45" s="234"/>
      <c r="DBS45" s="234"/>
      <c r="DBT45" s="234"/>
      <c r="DBU45" s="234"/>
      <c r="DBV45" s="234"/>
      <c r="DBW45" s="234"/>
      <c r="DBX45" s="234"/>
      <c r="DBY45" s="234"/>
      <c r="DBZ45" s="234"/>
      <c r="DCA45" s="234"/>
      <c r="DCB45" s="234"/>
      <c r="DCC45" s="234"/>
      <c r="DCD45" s="234"/>
      <c r="DCE45" s="234"/>
      <c r="DCF45" s="234"/>
      <c r="DCG45" s="234"/>
      <c r="DCH45" s="234"/>
      <c r="DCI45" s="234"/>
      <c r="DCJ45" s="234"/>
      <c r="DCK45" s="234"/>
      <c r="DCL45" s="234"/>
      <c r="DCM45" s="234"/>
      <c r="DCN45" s="234"/>
      <c r="DCO45" s="234"/>
      <c r="DCP45" s="234"/>
      <c r="DCQ45" s="234"/>
      <c r="DCR45" s="234"/>
      <c r="DCS45" s="234"/>
      <c r="DCT45" s="234"/>
      <c r="DCU45" s="234"/>
      <c r="DCV45" s="234"/>
      <c r="DCW45" s="234"/>
      <c r="DCX45" s="234"/>
      <c r="DCY45" s="234"/>
      <c r="DCZ45" s="234"/>
      <c r="DDA45" s="234"/>
      <c r="DDB45" s="234"/>
      <c r="DDC45" s="234"/>
      <c r="DDD45" s="234"/>
      <c r="DDE45" s="234"/>
      <c r="DDF45" s="234"/>
      <c r="DDG45" s="234"/>
      <c r="DDH45" s="234"/>
      <c r="DDI45" s="234"/>
      <c r="DDJ45" s="234"/>
      <c r="DDK45" s="234"/>
      <c r="DDL45" s="234"/>
      <c r="DDM45" s="234"/>
      <c r="DDN45" s="234"/>
      <c r="DDO45" s="234"/>
      <c r="DDP45" s="234"/>
      <c r="DDQ45" s="234"/>
      <c r="DDR45" s="234"/>
      <c r="DDS45" s="234"/>
      <c r="DDT45" s="234"/>
      <c r="DDU45" s="234"/>
      <c r="DDV45" s="234"/>
      <c r="DDW45" s="234"/>
      <c r="DDX45" s="234"/>
      <c r="DDY45" s="234"/>
      <c r="DDZ45" s="234"/>
      <c r="DEA45" s="234"/>
      <c r="DEB45" s="234"/>
      <c r="DEC45" s="234"/>
      <c r="DED45" s="234"/>
      <c r="DEE45" s="234"/>
      <c r="DEF45" s="234"/>
      <c r="DEG45" s="234"/>
      <c r="DEH45" s="234"/>
      <c r="DEI45" s="234"/>
      <c r="DEJ45" s="234"/>
      <c r="DEK45" s="234"/>
      <c r="DEL45" s="234"/>
      <c r="DEM45" s="234"/>
      <c r="DEN45" s="234"/>
      <c r="DEO45" s="234"/>
      <c r="DEP45" s="234"/>
      <c r="DEQ45" s="234"/>
      <c r="DER45" s="234"/>
      <c r="DES45" s="234"/>
      <c r="DET45" s="234"/>
      <c r="DEU45" s="234"/>
      <c r="DEV45" s="234"/>
      <c r="DEW45" s="234"/>
      <c r="DEX45" s="234"/>
      <c r="DEY45" s="234"/>
      <c r="DEZ45" s="234"/>
      <c r="DFA45" s="234"/>
      <c r="DFB45" s="234"/>
      <c r="DFC45" s="234"/>
      <c r="DFD45" s="234"/>
      <c r="DFE45" s="234"/>
      <c r="DFF45" s="234"/>
      <c r="DFG45" s="234"/>
      <c r="DFH45" s="234"/>
      <c r="DFI45" s="234"/>
      <c r="DFJ45" s="234"/>
      <c r="DFK45" s="234"/>
      <c r="DFL45" s="234"/>
      <c r="DFM45" s="234"/>
      <c r="DFN45" s="234"/>
      <c r="DFO45" s="234"/>
      <c r="DFP45" s="234"/>
      <c r="DFQ45" s="234"/>
      <c r="DFR45" s="234"/>
      <c r="DFS45" s="234"/>
      <c r="DFT45" s="234"/>
      <c r="DFU45" s="234"/>
      <c r="DFV45" s="234"/>
      <c r="DFW45" s="234"/>
      <c r="DFX45" s="234"/>
      <c r="DFY45" s="234"/>
      <c r="DFZ45" s="234"/>
      <c r="DGA45" s="234"/>
      <c r="DGB45" s="234"/>
      <c r="DGC45" s="234"/>
      <c r="DGD45" s="234"/>
      <c r="DGE45" s="234"/>
      <c r="DGF45" s="234"/>
      <c r="DGG45" s="234"/>
      <c r="DGH45" s="234"/>
      <c r="DGI45" s="234"/>
      <c r="DGJ45" s="234"/>
      <c r="DGK45" s="234"/>
      <c r="DGL45" s="234"/>
      <c r="DGM45" s="234"/>
      <c r="DGN45" s="234"/>
      <c r="DGO45" s="234"/>
      <c r="DGP45" s="234"/>
      <c r="DGQ45" s="234"/>
      <c r="DGR45" s="234"/>
      <c r="DGS45" s="234"/>
      <c r="DGT45" s="234"/>
      <c r="DGU45" s="234"/>
      <c r="DGV45" s="234"/>
      <c r="DGW45" s="234"/>
      <c r="DGX45" s="234"/>
      <c r="DGY45" s="234"/>
      <c r="DGZ45" s="234"/>
      <c r="DHA45" s="234"/>
      <c r="DHB45" s="234"/>
      <c r="DHC45" s="234"/>
      <c r="DHD45" s="234"/>
      <c r="DHE45" s="234"/>
      <c r="DHF45" s="234"/>
      <c r="DHG45" s="234"/>
      <c r="DHH45" s="234"/>
      <c r="DHI45" s="234"/>
      <c r="DHJ45" s="234"/>
      <c r="DHK45" s="234"/>
      <c r="DHL45" s="234"/>
      <c r="DHM45" s="234"/>
      <c r="DHN45" s="234"/>
      <c r="DHO45" s="234"/>
      <c r="DHP45" s="234"/>
      <c r="DHQ45" s="234"/>
      <c r="DHR45" s="234"/>
      <c r="DHS45" s="234"/>
      <c r="DHT45" s="234"/>
      <c r="DHU45" s="234"/>
      <c r="DHV45" s="234"/>
      <c r="DHW45" s="234"/>
      <c r="DHX45" s="234"/>
      <c r="DHY45" s="234"/>
      <c r="DHZ45" s="234"/>
      <c r="DIA45" s="234"/>
      <c r="DIB45" s="234"/>
      <c r="DIC45" s="234"/>
      <c r="DID45" s="234"/>
      <c r="DIE45" s="234"/>
      <c r="DIF45" s="234"/>
      <c r="DIG45" s="234"/>
      <c r="DIH45" s="234"/>
      <c r="DII45" s="234"/>
      <c r="DIJ45" s="234"/>
      <c r="DIK45" s="234"/>
      <c r="DIL45" s="234"/>
      <c r="DIM45" s="234"/>
      <c r="DIN45" s="234"/>
      <c r="DIO45" s="234"/>
      <c r="DIP45" s="234"/>
      <c r="DIQ45" s="234"/>
      <c r="DIR45" s="234"/>
      <c r="DIS45" s="234"/>
      <c r="DIT45" s="234"/>
      <c r="DIU45" s="234"/>
      <c r="DIV45" s="234"/>
      <c r="DIW45" s="234"/>
      <c r="DIX45" s="234"/>
      <c r="DIY45" s="234"/>
      <c r="DIZ45" s="234"/>
      <c r="DJA45" s="234"/>
      <c r="DJB45" s="234"/>
      <c r="DJC45" s="234"/>
      <c r="DJD45" s="234"/>
      <c r="DJE45" s="234"/>
      <c r="DJF45" s="234"/>
      <c r="DJG45" s="234"/>
      <c r="DJH45" s="234"/>
      <c r="DJI45" s="234"/>
      <c r="DJJ45" s="234"/>
      <c r="DJK45" s="234"/>
      <c r="DJL45" s="234"/>
      <c r="DJM45" s="234"/>
      <c r="DJN45" s="234"/>
      <c r="DJO45" s="234"/>
      <c r="DJP45" s="234"/>
      <c r="DJQ45" s="234"/>
      <c r="DJR45" s="234"/>
      <c r="DJS45" s="234"/>
      <c r="DJT45" s="234"/>
      <c r="DJU45" s="234"/>
      <c r="DJV45" s="234"/>
      <c r="DJW45" s="234"/>
      <c r="DJX45" s="234"/>
      <c r="DJY45" s="234"/>
      <c r="DJZ45" s="234"/>
      <c r="DKA45" s="234"/>
      <c r="DKB45" s="234"/>
      <c r="DKC45" s="234"/>
      <c r="DKD45" s="234"/>
      <c r="DKE45" s="234"/>
      <c r="DKF45" s="234"/>
      <c r="DKG45" s="234"/>
      <c r="DKH45" s="234"/>
      <c r="DKI45" s="234"/>
      <c r="DKJ45" s="234"/>
      <c r="DKK45" s="234"/>
      <c r="DKL45" s="234"/>
      <c r="DKM45" s="234"/>
      <c r="DKN45" s="234"/>
      <c r="DKO45" s="234"/>
      <c r="DKP45" s="234"/>
      <c r="DKQ45" s="234"/>
      <c r="DKR45" s="234"/>
      <c r="DKS45" s="234"/>
      <c r="DKT45" s="234"/>
      <c r="DKU45" s="234"/>
      <c r="DKV45" s="234"/>
      <c r="DKW45" s="234"/>
      <c r="DKX45" s="234"/>
      <c r="DKY45" s="234"/>
      <c r="DKZ45" s="234"/>
      <c r="DLA45" s="234"/>
      <c r="DLB45" s="234"/>
      <c r="DLC45" s="234"/>
      <c r="DLD45" s="234"/>
      <c r="DLE45" s="234"/>
      <c r="DLF45" s="234"/>
      <c r="DLG45" s="234"/>
      <c r="DLH45" s="234"/>
      <c r="DLI45" s="234"/>
      <c r="DLJ45" s="234"/>
      <c r="DLK45" s="234"/>
      <c r="DLL45" s="234"/>
      <c r="DLM45" s="234"/>
      <c r="DLN45" s="234"/>
      <c r="DLO45" s="234"/>
      <c r="DLP45" s="234"/>
      <c r="DLQ45" s="234"/>
      <c r="DLR45" s="234"/>
      <c r="DLS45" s="234"/>
      <c r="DLT45" s="234"/>
      <c r="DLU45" s="234"/>
      <c r="DLV45" s="234"/>
      <c r="DLW45" s="234"/>
      <c r="DLX45" s="234"/>
      <c r="DLY45" s="234"/>
      <c r="DLZ45" s="234"/>
      <c r="DMA45" s="234"/>
      <c r="DMB45" s="234"/>
      <c r="DMC45" s="234"/>
      <c r="DMD45" s="234"/>
      <c r="DME45" s="234"/>
      <c r="DMF45" s="234"/>
      <c r="DMG45" s="234"/>
      <c r="DMH45" s="234"/>
      <c r="DMI45" s="234"/>
      <c r="DMJ45" s="234"/>
      <c r="DMK45" s="234"/>
      <c r="DML45" s="234"/>
      <c r="DMM45" s="234"/>
      <c r="DMN45" s="234"/>
      <c r="DMO45" s="234"/>
      <c r="DMP45" s="234"/>
      <c r="DMQ45" s="234"/>
      <c r="DMR45" s="234"/>
      <c r="DMS45" s="234"/>
      <c r="DMT45" s="234"/>
      <c r="DMU45" s="234"/>
      <c r="DMV45" s="234"/>
      <c r="DMW45" s="234"/>
      <c r="DMX45" s="234"/>
      <c r="DMY45" s="234"/>
      <c r="DMZ45" s="234"/>
      <c r="DNA45" s="234"/>
      <c r="DNB45" s="234"/>
      <c r="DNC45" s="234"/>
      <c r="DND45" s="234"/>
      <c r="DNE45" s="234"/>
      <c r="DNF45" s="234"/>
      <c r="DNG45" s="234"/>
      <c r="DNH45" s="234"/>
      <c r="DNI45" s="234"/>
      <c r="DNJ45" s="234"/>
      <c r="DNK45" s="234"/>
      <c r="DNL45" s="234"/>
      <c r="DNM45" s="234"/>
      <c r="DNN45" s="234"/>
      <c r="DNO45" s="234"/>
      <c r="DNP45" s="234"/>
      <c r="DNQ45" s="234"/>
      <c r="DNR45" s="234"/>
      <c r="DNS45" s="234"/>
      <c r="DNT45" s="234"/>
      <c r="DNU45" s="234"/>
      <c r="DNV45" s="234"/>
      <c r="DNW45" s="234"/>
      <c r="DNX45" s="234"/>
      <c r="DNY45" s="234"/>
      <c r="DNZ45" s="234"/>
      <c r="DOA45" s="234"/>
      <c r="DOB45" s="234"/>
      <c r="DOC45" s="234"/>
      <c r="DOD45" s="234"/>
      <c r="DOE45" s="234"/>
      <c r="DOF45" s="234"/>
      <c r="DOG45" s="234"/>
      <c r="DOH45" s="234"/>
      <c r="DOI45" s="234"/>
      <c r="DOJ45" s="234"/>
      <c r="DOK45" s="234"/>
      <c r="DOL45" s="234"/>
      <c r="DOM45" s="234"/>
      <c r="DON45" s="234"/>
      <c r="DOO45" s="234"/>
      <c r="DOP45" s="234"/>
      <c r="DOQ45" s="234"/>
      <c r="DOR45" s="234"/>
      <c r="DOS45" s="234"/>
      <c r="DOT45" s="234"/>
      <c r="DOU45" s="234"/>
      <c r="DOV45" s="234"/>
      <c r="DOW45" s="234"/>
      <c r="DOX45" s="234"/>
      <c r="DOY45" s="234"/>
      <c r="DOZ45" s="234"/>
      <c r="DPA45" s="234"/>
      <c r="DPB45" s="234"/>
      <c r="DPC45" s="234"/>
      <c r="DPD45" s="234"/>
      <c r="DPE45" s="234"/>
      <c r="DPF45" s="234"/>
      <c r="DPG45" s="234"/>
      <c r="DPH45" s="234"/>
      <c r="DPI45" s="234"/>
      <c r="DPJ45" s="234"/>
      <c r="DPK45" s="234"/>
      <c r="DPL45" s="234"/>
      <c r="DPM45" s="234"/>
      <c r="DPN45" s="234"/>
      <c r="DPO45" s="234"/>
      <c r="DPP45" s="234"/>
      <c r="DPQ45" s="234"/>
      <c r="DPR45" s="234"/>
      <c r="DPS45" s="234"/>
      <c r="DPT45" s="234"/>
      <c r="DPU45" s="234"/>
      <c r="DPV45" s="234"/>
      <c r="DPW45" s="234"/>
      <c r="DPX45" s="234"/>
      <c r="DPY45" s="234"/>
      <c r="DPZ45" s="234"/>
      <c r="DQA45" s="234"/>
      <c r="DQB45" s="234"/>
      <c r="DQC45" s="234"/>
      <c r="DQD45" s="234"/>
      <c r="DQE45" s="234"/>
      <c r="DQF45" s="234"/>
      <c r="DQG45" s="234"/>
      <c r="DQH45" s="234"/>
      <c r="DQI45" s="234"/>
      <c r="DQJ45" s="234"/>
      <c r="DQK45" s="234"/>
      <c r="DQL45" s="234"/>
      <c r="DQM45" s="234"/>
      <c r="DQN45" s="234"/>
      <c r="DQO45" s="234"/>
      <c r="DQP45" s="234"/>
      <c r="DQQ45" s="234"/>
      <c r="DQR45" s="234"/>
      <c r="DQS45" s="234"/>
      <c r="DQT45" s="234"/>
      <c r="DQU45" s="234"/>
      <c r="DQV45" s="234"/>
      <c r="DQW45" s="234"/>
      <c r="DQX45" s="234"/>
      <c r="DQY45" s="234"/>
      <c r="DQZ45" s="234"/>
      <c r="DRA45" s="234"/>
      <c r="DRB45" s="234"/>
      <c r="DRC45" s="234"/>
      <c r="DRD45" s="234"/>
      <c r="DRE45" s="234"/>
      <c r="DRF45" s="234"/>
      <c r="DRG45" s="234"/>
      <c r="DRH45" s="234"/>
      <c r="DRI45" s="234"/>
      <c r="DRJ45" s="234"/>
      <c r="DRK45" s="234"/>
      <c r="DRL45" s="234"/>
      <c r="DRM45" s="234"/>
      <c r="DRN45" s="234"/>
      <c r="DRO45" s="234"/>
      <c r="DRP45" s="234"/>
      <c r="DRQ45" s="234"/>
      <c r="DRR45" s="234"/>
      <c r="DRS45" s="234"/>
      <c r="DRT45" s="234"/>
      <c r="DRU45" s="234"/>
      <c r="DRV45" s="234"/>
      <c r="DRW45" s="234"/>
      <c r="DRX45" s="234"/>
      <c r="DRY45" s="234"/>
      <c r="DRZ45" s="234"/>
      <c r="DSA45" s="234"/>
      <c r="DSB45" s="234"/>
      <c r="DSC45" s="234"/>
      <c r="DSD45" s="234"/>
      <c r="DSE45" s="234"/>
      <c r="DSF45" s="234"/>
      <c r="DSG45" s="234"/>
      <c r="DSH45" s="234"/>
      <c r="DSI45" s="234"/>
      <c r="DSJ45" s="234"/>
      <c r="DSK45" s="234"/>
      <c r="DSL45" s="234"/>
      <c r="DSM45" s="234"/>
      <c r="DSN45" s="234"/>
      <c r="DSO45" s="234"/>
      <c r="DSP45" s="234"/>
      <c r="DSQ45" s="234"/>
      <c r="DSR45" s="234"/>
      <c r="DSS45" s="234"/>
      <c r="DST45" s="234"/>
      <c r="DSU45" s="234"/>
      <c r="DSV45" s="234"/>
      <c r="DSW45" s="234"/>
      <c r="DSX45" s="234"/>
      <c r="DSY45" s="234"/>
      <c r="DSZ45" s="234"/>
      <c r="DTA45" s="234"/>
      <c r="DTB45" s="234"/>
      <c r="DTC45" s="234"/>
      <c r="DTD45" s="234"/>
      <c r="DTE45" s="234"/>
      <c r="DTF45" s="234"/>
      <c r="DTG45" s="234"/>
      <c r="DTH45" s="234"/>
      <c r="DTI45" s="234"/>
      <c r="DTJ45" s="234"/>
      <c r="DTK45" s="234"/>
      <c r="DTL45" s="234"/>
      <c r="DTM45" s="234"/>
      <c r="DTN45" s="234"/>
      <c r="DTO45" s="234"/>
      <c r="DTP45" s="234"/>
      <c r="DTQ45" s="234"/>
      <c r="DTR45" s="234"/>
      <c r="DTS45" s="234"/>
      <c r="DTT45" s="234"/>
      <c r="DTU45" s="234"/>
      <c r="DTV45" s="234"/>
      <c r="DTW45" s="234"/>
      <c r="DTX45" s="234"/>
      <c r="DTY45" s="234"/>
      <c r="DTZ45" s="234"/>
      <c r="DUA45" s="234"/>
      <c r="DUB45" s="234"/>
      <c r="DUC45" s="234"/>
      <c r="DUD45" s="234"/>
      <c r="DUE45" s="234"/>
      <c r="DUF45" s="234"/>
      <c r="DUG45" s="234"/>
      <c r="DUH45" s="234"/>
      <c r="DUI45" s="234"/>
      <c r="DUJ45" s="234"/>
      <c r="DUK45" s="234"/>
      <c r="DUL45" s="234"/>
      <c r="DUM45" s="234"/>
      <c r="DUN45" s="234"/>
      <c r="DUO45" s="234"/>
      <c r="DUP45" s="234"/>
      <c r="DUQ45" s="234"/>
      <c r="DUR45" s="234"/>
      <c r="DUS45" s="234"/>
      <c r="DUT45" s="234"/>
      <c r="DUU45" s="234"/>
      <c r="DUV45" s="234"/>
      <c r="DUW45" s="234"/>
      <c r="DUX45" s="234"/>
      <c r="DUY45" s="234"/>
      <c r="DUZ45" s="234"/>
      <c r="DVA45" s="234"/>
      <c r="DVB45" s="234"/>
      <c r="DVC45" s="234"/>
      <c r="DVD45" s="234"/>
      <c r="DVE45" s="234"/>
      <c r="DVF45" s="234"/>
      <c r="DVG45" s="234"/>
      <c r="DVH45" s="234"/>
      <c r="DVI45" s="234"/>
      <c r="DVJ45" s="234"/>
      <c r="DVK45" s="234"/>
      <c r="DVL45" s="234"/>
      <c r="DVM45" s="234"/>
      <c r="DVN45" s="234"/>
      <c r="DVO45" s="234"/>
      <c r="DVP45" s="234"/>
      <c r="DVQ45" s="234"/>
      <c r="DVR45" s="234"/>
      <c r="DVS45" s="234"/>
      <c r="DVT45" s="234"/>
      <c r="DVU45" s="234"/>
      <c r="DVV45" s="234"/>
      <c r="DVW45" s="234"/>
      <c r="DVX45" s="234"/>
      <c r="DVY45" s="234"/>
      <c r="DVZ45" s="234"/>
      <c r="DWA45" s="234"/>
      <c r="DWB45" s="234"/>
      <c r="DWC45" s="234"/>
      <c r="DWD45" s="234"/>
      <c r="DWE45" s="234"/>
      <c r="DWF45" s="234"/>
      <c r="DWG45" s="234"/>
      <c r="DWH45" s="234"/>
      <c r="DWI45" s="234"/>
      <c r="DWJ45" s="234"/>
      <c r="DWK45" s="234"/>
      <c r="DWL45" s="234"/>
      <c r="DWM45" s="234"/>
      <c r="DWN45" s="234"/>
      <c r="DWO45" s="234"/>
      <c r="DWP45" s="234"/>
      <c r="DWQ45" s="234"/>
      <c r="DWR45" s="234"/>
      <c r="DWS45" s="234"/>
      <c r="DWT45" s="234"/>
      <c r="DWU45" s="234"/>
      <c r="DWV45" s="234"/>
      <c r="DWW45" s="234"/>
      <c r="DWX45" s="234"/>
      <c r="DWY45" s="234"/>
      <c r="DWZ45" s="234"/>
      <c r="DXA45" s="234"/>
      <c r="DXB45" s="234"/>
      <c r="DXC45" s="234"/>
      <c r="DXD45" s="234"/>
      <c r="DXE45" s="234"/>
      <c r="DXF45" s="234"/>
      <c r="DXG45" s="234"/>
      <c r="DXH45" s="234"/>
      <c r="DXI45" s="234"/>
      <c r="DXJ45" s="234"/>
      <c r="DXK45" s="234"/>
      <c r="DXL45" s="234"/>
      <c r="DXM45" s="234"/>
      <c r="DXN45" s="234"/>
      <c r="DXO45" s="234"/>
      <c r="DXP45" s="234"/>
      <c r="DXQ45" s="234"/>
      <c r="DXR45" s="234"/>
      <c r="DXS45" s="234"/>
      <c r="DXT45" s="234"/>
      <c r="DXU45" s="234"/>
      <c r="DXV45" s="234"/>
      <c r="DXW45" s="234"/>
      <c r="DXX45" s="234"/>
      <c r="DXY45" s="234"/>
      <c r="DXZ45" s="234"/>
      <c r="DYA45" s="234"/>
      <c r="DYB45" s="234"/>
      <c r="DYC45" s="234"/>
      <c r="DYD45" s="234"/>
      <c r="DYE45" s="234"/>
      <c r="DYF45" s="234"/>
      <c r="DYG45" s="234"/>
      <c r="DYH45" s="234"/>
      <c r="DYI45" s="234"/>
      <c r="DYJ45" s="234"/>
      <c r="DYK45" s="234"/>
      <c r="DYL45" s="234"/>
      <c r="DYM45" s="234"/>
      <c r="DYN45" s="234"/>
      <c r="DYO45" s="234"/>
      <c r="DYP45" s="234"/>
      <c r="DYQ45" s="234"/>
      <c r="DYR45" s="234"/>
      <c r="DYS45" s="234"/>
      <c r="DYT45" s="234"/>
      <c r="DYU45" s="234"/>
      <c r="DYV45" s="234"/>
      <c r="DYW45" s="234"/>
      <c r="DYX45" s="234"/>
      <c r="DYY45" s="234"/>
      <c r="DYZ45" s="234"/>
      <c r="DZA45" s="234"/>
      <c r="DZB45" s="234"/>
      <c r="DZC45" s="234"/>
      <c r="DZD45" s="234"/>
      <c r="DZE45" s="234"/>
      <c r="DZF45" s="234"/>
      <c r="DZG45" s="234"/>
      <c r="DZH45" s="234"/>
      <c r="DZI45" s="234"/>
      <c r="DZJ45" s="234"/>
      <c r="DZK45" s="234"/>
      <c r="DZL45" s="234"/>
      <c r="DZM45" s="234"/>
      <c r="DZN45" s="234"/>
      <c r="DZO45" s="234"/>
      <c r="DZP45" s="234"/>
      <c r="DZQ45" s="234"/>
      <c r="DZR45" s="234"/>
      <c r="DZS45" s="234"/>
      <c r="DZT45" s="234"/>
      <c r="DZU45" s="234"/>
      <c r="DZV45" s="234"/>
      <c r="DZW45" s="234"/>
      <c r="DZX45" s="234"/>
      <c r="DZY45" s="234"/>
      <c r="DZZ45" s="234"/>
      <c r="EAA45" s="234"/>
      <c r="EAB45" s="234"/>
      <c r="EAC45" s="234"/>
      <c r="EAD45" s="234"/>
      <c r="EAE45" s="234"/>
      <c r="EAF45" s="234"/>
      <c r="EAG45" s="234"/>
      <c r="EAH45" s="234"/>
      <c r="EAI45" s="234"/>
      <c r="EAJ45" s="234"/>
      <c r="EAK45" s="234"/>
      <c r="EAL45" s="234"/>
      <c r="EAM45" s="234"/>
      <c r="EAN45" s="234"/>
      <c r="EAO45" s="234"/>
      <c r="EAP45" s="234"/>
      <c r="EAQ45" s="234"/>
      <c r="EAR45" s="234"/>
      <c r="EAS45" s="234"/>
      <c r="EAT45" s="234"/>
      <c r="EAU45" s="234"/>
      <c r="EAV45" s="234"/>
      <c r="EAW45" s="234"/>
      <c r="EAX45" s="234"/>
      <c r="EAY45" s="234"/>
      <c r="EAZ45" s="234"/>
      <c r="EBA45" s="234"/>
      <c r="EBB45" s="234"/>
      <c r="EBC45" s="234"/>
      <c r="EBD45" s="234"/>
      <c r="EBE45" s="234"/>
      <c r="EBF45" s="234"/>
      <c r="EBG45" s="234"/>
      <c r="EBH45" s="234"/>
      <c r="EBI45" s="234"/>
      <c r="EBJ45" s="234"/>
      <c r="EBK45" s="234"/>
      <c r="EBL45" s="234"/>
      <c r="EBM45" s="234"/>
      <c r="EBN45" s="234"/>
      <c r="EBO45" s="234"/>
      <c r="EBP45" s="234"/>
      <c r="EBQ45" s="234"/>
      <c r="EBR45" s="234"/>
      <c r="EBS45" s="234"/>
      <c r="EBT45" s="234"/>
      <c r="EBU45" s="234"/>
      <c r="EBV45" s="234"/>
      <c r="EBW45" s="234"/>
      <c r="EBX45" s="234"/>
      <c r="EBY45" s="234"/>
      <c r="EBZ45" s="234"/>
      <c r="ECA45" s="234"/>
      <c r="ECB45" s="234"/>
      <c r="ECC45" s="234"/>
      <c r="ECD45" s="234"/>
      <c r="ECE45" s="234"/>
      <c r="ECF45" s="234"/>
      <c r="ECG45" s="234"/>
      <c r="ECH45" s="234"/>
      <c r="ECI45" s="234"/>
      <c r="ECJ45" s="234"/>
      <c r="ECK45" s="234"/>
      <c r="ECL45" s="234"/>
      <c r="ECM45" s="234"/>
      <c r="ECN45" s="234"/>
      <c r="ECO45" s="234"/>
      <c r="ECP45" s="234"/>
      <c r="ECQ45" s="234"/>
      <c r="ECR45" s="234"/>
      <c r="ECS45" s="234"/>
      <c r="ECT45" s="234"/>
      <c r="ECU45" s="234"/>
      <c r="ECV45" s="234"/>
      <c r="ECW45" s="234"/>
      <c r="ECX45" s="234"/>
      <c r="ECY45" s="234"/>
      <c r="ECZ45" s="234"/>
      <c r="EDA45" s="234"/>
      <c r="EDB45" s="234"/>
      <c r="EDC45" s="234"/>
      <c r="EDD45" s="234"/>
      <c r="EDE45" s="234"/>
      <c r="EDF45" s="234"/>
      <c r="EDG45" s="234"/>
      <c r="EDH45" s="234"/>
      <c r="EDI45" s="234"/>
      <c r="EDJ45" s="234"/>
      <c r="EDK45" s="234"/>
      <c r="EDL45" s="234"/>
      <c r="EDM45" s="234"/>
      <c r="EDN45" s="234"/>
      <c r="EDO45" s="234"/>
      <c r="EDP45" s="234"/>
      <c r="EDQ45" s="234"/>
      <c r="EDR45" s="234"/>
      <c r="EDS45" s="234"/>
      <c r="EDT45" s="234"/>
      <c r="EDU45" s="234"/>
      <c r="EDV45" s="234"/>
      <c r="EDW45" s="234"/>
      <c r="EDX45" s="234"/>
      <c r="EDY45" s="234"/>
      <c r="EDZ45" s="234"/>
      <c r="EEA45" s="234"/>
      <c r="EEB45" s="234"/>
      <c r="EEC45" s="234"/>
      <c r="EED45" s="234"/>
      <c r="EEE45" s="234"/>
      <c r="EEF45" s="234"/>
      <c r="EEG45" s="234"/>
      <c r="EEH45" s="234"/>
      <c r="EEI45" s="234"/>
      <c r="EEJ45" s="234"/>
      <c r="EEK45" s="234"/>
      <c r="EEL45" s="234"/>
      <c r="EEM45" s="234"/>
      <c r="EEN45" s="234"/>
      <c r="EEO45" s="234"/>
      <c r="EEP45" s="234"/>
      <c r="EEQ45" s="234"/>
      <c r="EER45" s="234"/>
      <c r="EES45" s="234"/>
      <c r="EET45" s="234"/>
      <c r="EEU45" s="234"/>
      <c r="EEV45" s="234"/>
      <c r="EEW45" s="234"/>
      <c r="EEX45" s="234"/>
      <c r="EEY45" s="234"/>
      <c r="EEZ45" s="234"/>
      <c r="EFA45" s="234"/>
      <c r="EFB45" s="234"/>
      <c r="EFC45" s="234"/>
      <c r="EFD45" s="234"/>
      <c r="EFE45" s="234"/>
      <c r="EFF45" s="234"/>
      <c r="EFG45" s="234"/>
      <c r="EFH45" s="234"/>
      <c r="EFI45" s="234"/>
      <c r="EFJ45" s="234"/>
      <c r="EFK45" s="234"/>
      <c r="EFL45" s="234"/>
      <c r="EFM45" s="234"/>
      <c r="EFN45" s="234"/>
      <c r="EFO45" s="234"/>
      <c r="EFP45" s="234"/>
      <c r="EFQ45" s="234"/>
      <c r="EFR45" s="234"/>
      <c r="EFS45" s="234"/>
      <c r="EFT45" s="234"/>
      <c r="EFU45" s="234"/>
      <c r="EFV45" s="234"/>
      <c r="EFW45" s="234"/>
      <c r="EFX45" s="234"/>
      <c r="EFY45" s="234"/>
      <c r="EFZ45" s="234"/>
      <c r="EGA45" s="234"/>
      <c r="EGB45" s="234"/>
      <c r="EGC45" s="234"/>
      <c r="EGD45" s="234"/>
      <c r="EGE45" s="234"/>
      <c r="EGF45" s="234"/>
      <c r="EGG45" s="234"/>
      <c r="EGH45" s="234"/>
      <c r="EGI45" s="234"/>
      <c r="EGJ45" s="234"/>
      <c r="EGK45" s="234"/>
      <c r="EGL45" s="234"/>
      <c r="EGM45" s="234"/>
      <c r="EGN45" s="234"/>
      <c r="EGO45" s="234"/>
      <c r="EGP45" s="234"/>
      <c r="EGQ45" s="234"/>
      <c r="EGR45" s="234"/>
      <c r="EGS45" s="234"/>
      <c r="EGT45" s="234"/>
      <c r="EGU45" s="234"/>
      <c r="EGV45" s="234"/>
      <c r="EGW45" s="234"/>
      <c r="EGX45" s="234"/>
      <c r="EGY45" s="234"/>
      <c r="EGZ45" s="234"/>
      <c r="EHA45" s="234"/>
      <c r="EHB45" s="234"/>
      <c r="EHC45" s="234"/>
      <c r="EHD45" s="234"/>
      <c r="EHE45" s="234"/>
      <c r="EHF45" s="234"/>
      <c r="EHG45" s="234"/>
      <c r="EHH45" s="234"/>
      <c r="EHI45" s="234"/>
      <c r="EHJ45" s="234"/>
      <c r="EHK45" s="234"/>
      <c r="EHL45" s="234"/>
      <c r="EHM45" s="234"/>
      <c r="EHN45" s="234"/>
      <c r="EHO45" s="234"/>
      <c r="EHP45" s="234"/>
      <c r="EHQ45" s="234"/>
      <c r="EHR45" s="234"/>
      <c r="EHS45" s="234"/>
      <c r="EHT45" s="234"/>
      <c r="EHU45" s="234"/>
      <c r="EHV45" s="234"/>
      <c r="EHW45" s="234"/>
      <c r="EHX45" s="234"/>
      <c r="EHY45" s="234"/>
      <c r="EHZ45" s="234"/>
      <c r="EIA45" s="234"/>
      <c r="EIB45" s="234"/>
      <c r="EIC45" s="234"/>
      <c r="EID45" s="234"/>
      <c r="EIE45" s="234"/>
      <c r="EIF45" s="234"/>
      <c r="EIG45" s="234"/>
      <c r="EIH45" s="234"/>
      <c r="EII45" s="234"/>
      <c r="EIJ45" s="234"/>
      <c r="EIK45" s="234"/>
      <c r="EIL45" s="234"/>
      <c r="EIM45" s="234"/>
      <c r="EIN45" s="234"/>
      <c r="EIO45" s="234"/>
      <c r="EIP45" s="234"/>
      <c r="EIQ45" s="234"/>
      <c r="EIR45" s="234"/>
      <c r="EIS45" s="234"/>
      <c r="EIT45" s="234"/>
      <c r="EIU45" s="234"/>
      <c r="EIV45" s="234"/>
      <c r="EIW45" s="234"/>
      <c r="EIX45" s="234"/>
      <c r="EIY45" s="234"/>
      <c r="EIZ45" s="234"/>
      <c r="EJA45" s="234"/>
      <c r="EJB45" s="234"/>
      <c r="EJC45" s="234"/>
      <c r="EJD45" s="234"/>
      <c r="EJE45" s="234"/>
      <c r="EJF45" s="234"/>
      <c r="EJG45" s="234"/>
      <c r="EJH45" s="234"/>
      <c r="EJI45" s="234"/>
      <c r="EJJ45" s="234"/>
      <c r="EJK45" s="234"/>
      <c r="EJL45" s="234"/>
      <c r="EJM45" s="234"/>
      <c r="EJN45" s="234"/>
      <c r="EJO45" s="234"/>
      <c r="EJP45" s="234"/>
      <c r="EJQ45" s="234"/>
      <c r="EJR45" s="234"/>
      <c r="EJS45" s="234"/>
      <c r="EJT45" s="234"/>
      <c r="EJU45" s="234"/>
      <c r="EJV45" s="234"/>
      <c r="EJW45" s="234"/>
      <c r="EJX45" s="234"/>
      <c r="EJY45" s="234"/>
      <c r="EJZ45" s="234"/>
      <c r="EKA45" s="234"/>
      <c r="EKB45" s="234"/>
      <c r="EKC45" s="234"/>
      <c r="EKD45" s="234"/>
      <c r="EKE45" s="234"/>
      <c r="EKF45" s="234"/>
      <c r="EKG45" s="234"/>
      <c r="EKH45" s="234"/>
      <c r="EKI45" s="234"/>
      <c r="EKJ45" s="234"/>
      <c r="EKK45" s="234"/>
      <c r="EKL45" s="234"/>
      <c r="EKM45" s="234"/>
      <c r="EKN45" s="234"/>
      <c r="EKO45" s="234"/>
      <c r="EKP45" s="234"/>
      <c r="EKQ45" s="234"/>
      <c r="EKR45" s="234"/>
      <c r="EKS45" s="234"/>
      <c r="EKT45" s="234"/>
      <c r="EKU45" s="234"/>
      <c r="EKV45" s="234"/>
      <c r="EKW45" s="234"/>
      <c r="EKX45" s="234"/>
      <c r="EKY45" s="234"/>
      <c r="EKZ45" s="234"/>
      <c r="ELA45" s="234"/>
      <c r="ELB45" s="234"/>
      <c r="ELC45" s="234"/>
      <c r="ELD45" s="234"/>
      <c r="ELE45" s="234"/>
      <c r="ELF45" s="234"/>
      <c r="ELG45" s="234"/>
      <c r="ELH45" s="234"/>
      <c r="ELI45" s="234"/>
      <c r="ELJ45" s="234"/>
      <c r="ELK45" s="234"/>
      <c r="ELL45" s="234"/>
      <c r="ELM45" s="234"/>
      <c r="ELN45" s="234"/>
      <c r="ELO45" s="234"/>
      <c r="ELP45" s="234"/>
      <c r="ELQ45" s="234"/>
      <c r="ELR45" s="234"/>
      <c r="ELS45" s="234"/>
      <c r="ELT45" s="234"/>
      <c r="ELU45" s="234"/>
      <c r="ELV45" s="234"/>
      <c r="ELW45" s="234"/>
      <c r="ELX45" s="234"/>
      <c r="ELY45" s="234"/>
      <c r="ELZ45" s="234"/>
      <c r="EMA45" s="234"/>
      <c r="EMB45" s="234"/>
      <c r="EMC45" s="234"/>
      <c r="EMD45" s="234"/>
      <c r="EME45" s="234"/>
      <c r="EMF45" s="234"/>
      <c r="EMG45" s="234"/>
      <c r="EMH45" s="234"/>
      <c r="EMI45" s="234"/>
      <c r="EMJ45" s="234"/>
      <c r="EMK45" s="234"/>
      <c r="EML45" s="234"/>
      <c r="EMM45" s="234"/>
      <c r="EMN45" s="234"/>
      <c r="EMO45" s="234"/>
      <c r="EMP45" s="234"/>
      <c r="EMQ45" s="234"/>
      <c r="EMR45" s="234"/>
      <c r="EMS45" s="234"/>
      <c r="EMT45" s="234"/>
      <c r="EMU45" s="234"/>
      <c r="EMV45" s="234"/>
      <c r="EMW45" s="234"/>
      <c r="EMX45" s="234"/>
      <c r="EMY45" s="234"/>
      <c r="EMZ45" s="234"/>
      <c r="ENA45" s="234"/>
      <c r="ENB45" s="234"/>
      <c r="ENC45" s="234"/>
      <c r="END45" s="234"/>
      <c r="ENE45" s="234"/>
      <c r="ENF45" s="234"/>
      <c r="ENG45" s="234"/>
      <c r="ENH45" s="234"/>
      <c r="ENI45" s="234"/>
      <c r="ENJ45" s="234"/>
      <c r="ENK45" s="234"/>
      <c r="ENL45" s="234"/>
      <c r="ENM45" s="234"/>
      <c r="ENN45" s="234"/>
      <c r="ENO45" s="234"/>
      <c r="ENP45" s="234"/>
      <c r="ENQ45" s="234"/>
      <c r="ENR45" s="234"/>
      <c r="ENS45" s="234"/>
      <c r="ENT45" s="234"/>
      <c r="ENU45" s="234"/>
      <c r="ENV45" s="234"/>
      <c r="ENW45" s="234"/>
      <c r="ENX45" s="234"/>
      <c r="ENY45" s="234"/>
      <c r="ENZ45" s="234"/>
      <c r="EOA45" s="234"/>
      <c r="EOB45" s="234"/>
      <c r="EOC45" s="234"/>
      <c r="EOD45" s="234"/>
      <c r="EOE45" s="234"/>
      <c r="EOF45" s="234"/>
      <c r="EOG45" s="234"/>
      <c r="EOH45" s="234"/>
      <c r="EOI45" s="234"/>
      <c r="EOJ45" s="234"/>
      <c r="EOK45" s="234"/>
      <c r="EOL45" s="234"/>
      <c r="EOM45" s="234"/>
      <c r="EON45" s="234"/>
      <c r="EOO45" s="234"/>
      <c r="EOP45" s="234"/>
      <c r="EOQ45" s="234"/>
      <c r="EOR45" s="234"/>
      <c r="EOS45" s="234"/>
      <c r="EOT45" s="234"/>
      <c r="EOU45" s="234"/>
      <c r="EOV45" s="234"/>
      <c r="EOW45" s="234"/>
      <c r="EOX45" s="234"/>
      <c r="EOY45" s="234"/>
      <c r="EOZ45" s="234"/>
      <c r="EPA45" s="234"/>
      <c r="EPB45" s="234"/>
      <c r="EPC45" s="234"/>
      <c r="EPD45" s="234"/>
      <c r="EPE45" s="234"/>
      <c r="EPF45" s="234"/>
      <c r="EPG45" s="234"/>
      <c r="EPH45" s="234"/>
      <c r="EPI45" s="234"/>
      <c r="EPJ45" s="234"/>
      <c r="EPK45" s="234"/>
      <c r="EPL45" s="234"/>
      <c r="EPM45" s="234"/>
      <c r="EPN45" s="234"/>
      <c r="EPO45" s="234"/>
      <c r="EPP45" s="234"/>
      <c r="EPQ45" s="234"/>
      <c r="EPR45" s="234"/>
      <c r="EPS45" s="234"/>
      <c r="EPT45" s="234"/>
      <c r="EPU45" s="234"/>
      <c r="EPV45" s="234"/>
      <c r="EPW45" s="234"/>
      <c r="EPX45" s="234"/>
      <c r="EPY45" s="234"/>
      <c r="EPZ45" s="234"/>
      <c r="EQA45" s="234"/>
      <c r="EQB45" s="234"/>
      <c r="EQC45" s="234"/>
      <c r="EQD45" s="234"/>
      <c r="EQE45" s="234"/>
      <c r="EQF45" s="234"/>
      <c r="EQG45" s="234"/>
      <c r="EQH45" s="234"/>
      <c r="EQI45" s="234"/>
      <c r="EQJ45" s="234"/>
      <c r="EQK45" s="234"/>
      <c r="EQL45" s="234"/>
      <c r="EQM45" s="234"/>
      <c r="EQN45" s="234"/>
      <c r="EQO45" s="234"/>
      <c r="EQP45" s="234"/>
      <c r="EQQ45" s="234"/>
      <c r="EQR45" s="234"/>
      <c r="EQS45" s="234"/>
      <c r="EQT45" s="234"/>
      <c r="EQU45" s="234"/>
      <c r="EQV45" s="234"/>
      <c r="EQW45" s="234"/>
      <c r="EQX45" s="234"/>
      <c r="EQY45" s="234"/>
      <c r="EQZ45" s="234"/>
      <c r="ERA45" s="234"/>
      <c r="ERB45" s="234"/>
      <c r="ERC45" s="234"/>
      <c r="ERD45" s="234"/>
      <c r="ERE45" s="234"/>
      <c r="ERF45" s="234"/>
      <c r="ERG45" s="234"/>
      <c r="ERH45" s="234"/>
      <c r="ERI45" s="234"/>
      <c r="ERJ45" s="234"/>
      <c r="ERK45" s="234"/>
      <c r="ERL45" s="234"/>
      <c r="ERM45" s="234"/>
      <c r="ERN45" s="234"/>
      <c r="ERO45" s="234"/>
      <c r="ERP45" s="234"/>
      <c r="ERQ45" s="234"/>
      <c r="ERR45" s="234"/>
      <c r="ERS45" s="234"/>
      <c r="ERT45" s="234"/>
      <c r="ERU45" s="234"/>
      <c r="ERV45" s="234"/>
      <c r="ERW45" s="234"/>
      <c r="ERX45" s="234"/>
      <c r="ERY45" s="234"/>
      <c r="ERZ45" s="234"/>
      <c r="ESA45" s="234"/>
      <c r="ESB45" s="234"/>
      <c r="ESC45" s="234"/>
      <c r="ESD45" s="234"/>
      <c r="ESE45" s="234"/>
      <c r="ESF45" s="234"/>
      <c r="ESG45" s="234"/>
      <c r="ESH45" s="234"/>
      <c r="ESI45" s="234"/>
      <c r="ESJ45" s="234"/>
      <c r="ESK45" s="234"/>
      <c r="ESL45" s="234"/>
      <c r="ESM45" s="234"/>
      <c r="ESN45" s="234"/>
      <c r="ESO45" s="234"/>
      <c r="ESP45" s="234"/>
      <c r="ESQ45" s="234"/>
      <c r="ESR45" s="234"/>
      <c r="ESS45" s="234"/>
      <c r="EST45" s="234"/>
      <c r="ESU45" s="234"/>
      <c r="ESV45" s="234"/>
      <c r="ESW45" s="234"/>
      <c r="ESX45" s="234"/>
      <c r="ESY45" s="234"/>
      <c r="ESZ45" s="234"/>
      <c r="ETA45" s="234"/>
      <c r="ETB45" s="234"/>
      <c r="ETC45" s="234"/>
      <c r="ETD45" s="234"/>
      <c r="ETE45" s="234"/>
      <c r="ETF45" s="234"/>
      <c r="ETG45" s="234"/>
      <c r="ETH45" s="234"/>
      <c r="ETI45" s="234"/>
      <c r="ETJ45" s="234"/>
      <c r="ETK45" s="234"/>
      <c r="ETL45" s="234"/>
      <c r="ETM45" s="234"/>
      <c r="ETN45" s="234"/>
      <c r="ETO45" s="234"/>
      <c r="ETP45" s="234"/>
      <c r="ETQ45" s="234"/>
      <c r="ETR45" s="234"/>
      <c r="ETS45" s="234"/>
      <c r="ETT45" s="234"/>
      <c r="ETU45" s="234"/>
      <c r="ETV45" s="234"/>
      <c r="ETW45" s="234"/>
      <c r="ETX45" s="234"/>
      <c r="ETY45" s="234"/>
      <c r="ETZ45" s="234"/>
      <c r="EUA45" s="234"/>
      <c r="EUB45" s="234"/>
      <c r="EUC45" s="234"/>
      <c r="EUD45" s="234"/>
      <c r="EUE45" s="234"/>
      <c r="EUF45" s="234"/>
      <c r="EUG45" s="234"/>
      <c r="EUH45" s="234"/>
      <c r="EUI45" s="234"/>
      <c r="EUJ45" s="234"/>
      <c r="EUK45" s="234"/>
      <c r="EUL45" s="234"/>
      <c r="EUM45" s="234"/>
      <c r="EUN45" s="234"/>
      <c r="EUO45" s="234"/>
      <c r="EUP45" s="234"/>
      <c r="EUQ45" s="234"/>
      <c r="EUR45" s="234"/>
      <c r="EUS45" s="234"/>
      <c r="EUT45" s="234"/>
      <c r="EUU45" s="234"/>
      <c r="EUV45" s="234"/>
      <c r="EUW45" s="234"/>
      <c r="EUX45" s="234"/>
      <c r="EUY45" s="234"/>
      <c r="EUZ45" s="234"/>
      <c r="EVA45" s="234"/>
      <c r="EVB45" s="234"/>
      <c r="EVC45" s="234"/>
      <c r="EVD45" s="234"/>
      <c r="EVE45" s="234"/>
      <c r="EVF45" s="234"/>
      <c r="EVG45" s="234"/>
      <c r="EVH45" s="234"/>
      <c r="EVI45" s="234"/>
      <c r="EVJ45" s="234"/>
      <c r="EVK45" s="234"/>
      <c r="EVL45" s="234"/>
      <c r="EVM45" s="234"/>
      <c r="EVN45" s="234"/>
      <c r="EVO45" s="234"/>
      <c r="EVP45" s="234"/>
      <c r="EVQ45" s="234"/>
      <c r="EVR45" s="234"/>
      <c r="EVS45" s="234"/>
      <c r="EVT45" s="234"/>
      <c r="EVU45" s="234"/>
      <c r="EVV45" s="234"/>
      <c r="EVW45" s="234"/>
      <c r="EVX45" s="234"/>
      <c r="EVY45" s="234"/>
      <c r="EVZ45" s="234"/>
      <c r="EWA45" s="234"/>
      <c r="EWB45" s="234"/>
      <c r="EWC45" s="234"/>
      <c r="EWD45" s="234"/>
      <c r="EWE45" s="234"/>
      <c r="EWF45" s="234"/>
      <c r="EWG45" s="234"/>
      <c r="EWH45" s="234"/>
      <c r="EWI45" s="234"/>
      <c r="EWJ45" s="234"/>
      <c r="EWK45" s="234"/>
      <c r="EWL45" s="234"/>
      <c r="EWM45" s="234"/>
      <c r="EWN45" s="234"/>
      <c r="EWO45" s="234"/>
      <c r="EWP45" s="234"/>
      <c r="EWQ45" s="234"/>
      <c r="EWR45" s="234"/>
      <c r="EWS45" s="234"/>
      <c r="EWT45" s="234"/>
      <c r="EWU45" s="234"/>
      <c r="EWV45" s="234"/>
      <c r="EWW45" s="234"/>
      <c r="EWX45" s="234"/>
      <c r="EWY45" s="234"/>
      <c r="EWZ45" s="234"/>
      <c r="EXA45" s="234"/>
      <c r="EXB45" s="234"/>
      <c r="EXC45" s="234"/>
      <c r="EXD45" s="234"/>
      <c r="EXE45" s="234"/>
      <c r="EXF45" s="234"/>
      <c r="EXG45" s="234"/>
      <c r="EXH45" s="234"/>
      <c r="EXI45" s="234"/>
      <c r="EXJ45" s="234"/>
      <c r="EXK45" s="234"/>
      <c r="EXL45" s="234"/>
      <c r="EXM45" s="234"/>
      <c r="EXN45" s="234"/>
      <c r="EXO45" s="234"/>
      <c r="EXP45" s="234"/>
      <c r="EXQ45" s="234"/>
      <c r="EXR45" s="234"/>
      <c r="EXS45" s="234"/>
      <c r="EXT45" s="234"/>
      <c r="EXU45" s="234"/>
      <c r="EXV45" s="234"/>
      <c r="EXW45" s="234"/>
      <c r="EXX45" s="234"/>
      <c r="EXY45" s="234"/>
      <c r="EXZ45" s="234"/>
      <c r="EYA45" s="234"/>
      <c r="EYB45" s="234"/>
      <c r="EYC45" s="234"/>
      <c r="EYD45" s="234"/>
      <c r="EYE45" s="234"/>
      <c r="EYF45" s="234"/>
      <c r="EYG45" s="234"/>
      <c r="EYH45" s="234"/>
      <c r="EYI45" s="234"/>
      <c r="EYJ45" s="234"/>
      <c r="EYK45" s="234"/>
      <c r="EYL45" s="234"/>
      <c r="EYM45" s="234"/>
      <c r="EYN45" s="234"/>
      <c r="EYO45" s="234"/>
      <c r="EYP45" s="234"/>
      <c r="EYQ45" s="234"/>
      <c r="EYR45" s="234"/>
      <c r="EYS45" s="234"/>
      <c r="EYT45" s="234"/>
      <c r="EYU45" s="234"/>
      <c r="EYV45" s="234"/>
      <c r="EYW45" s="234"/>
      <c r="EYX45" s="234"/>
      <c r="EYY45" s="234"/>
      <c r="EYZ45" s="234"/>
      <c r="EZA45" s="234"/>
      <c r="EZB45" s="234"/>
      <c r="EZC45" s="234"/>
      <c r="EZD45" s="234"/>
      <c r="EZE45" s="234"/>
      <c r="EZF45" s="234"/>
      <c r="EZG45" s="234"/>
      <c r="EZH45" s="234"/>
      <c r="EZI45" s="234"/>
      <c r="EZJ45" s="234"/>
      <c r="EZK45" s="234"/>
      <c r="EZL45" s="234"/>
      <c r="EZM45" s="234"/>
      <c r="EZN45" s="234"/>
      <c r="EZO45" s="234"/>
      <c r="EZP45" s="234"/>
      <c r="EZQ45" s="234"/>
      <c r="EZR45" s="234"/>
      <c r="EZS45" s="234"/>
      <c r="EZT45" s="234"/>
      <c r="EZU45" s="234"/>
      <c r="EZV45" s="234"/>
      <c r="EZW45" s="234"/>
      <c r="EZX45" s="234"/>
      <c r="EZY45" s="234"/>
      <c r="EZZ45" s="234"/>
      <c r="FAA45" s="234"/>
      <c r="FAB45" s="234"/>
      <c r="FAC45" s="234"/>
      <c r="FAD45" s="234"/>
      <c r="FAE45" s="234"/>
      <c r="FAF45" s="234"/>
      <c r="FAG45" s="234"/>
      <c r="FAH45" s="234"/>
      <c r="FAI45" s="234"/>
      <c r="FAJ45" s="234"/>
      <c r="FAK45" s="234"/>
      <c r="FAL45" s="234"/>
      <c r="FAM45" s="234"/>
      <c r="FAN45" s="234"/>
      <c r="FAO45" s="234"/>
      <c r="FAP45" s="234"/>
      <c r="FAQ45" s="234"/>
      <c r="FAR45" s="234"/>
      <c r="FAS45" s="234"/>
      <c r="FAT45" s="234"/>
      <c r="FAU45" s="234"/>
      <c r="FAV45" s="234"/>
      <c r="FAW45" s="234"/>
      <c r="FAX45" s="234"/>
      <c r="FAY45" s="234"/>
      <c r="FAZ45" s="234"/>
      <c r="FBA45" s="234"/>
      <c r="FBB45" s="234"/>
      <c r="FBC45" s="234"/>
      <c r="FBD45" s="234"/>
      <c r="FBE45" s="234"/>
      <c r="FBF45" s="234"/>
      <c r="FBG45" s="234"/>
      <c r="FBH45" s="234"/>
      <c r="FBI45" s="234"/>
      <c r="FBJ45" s="234"/>
      <c r="FBK45" s="234"/>
      <c r="FBL45" s="234"/>
      <c r="FBM45" s="234"/>
      <c r="FBN45" s="234"/>
      <c r="FBO45" s="234"/>
      <c r="FBP45" s="234"/>
      <c r="FBQ45" s="234"/>
      <c r="FBR45" s="234"/>
      <c r="FBS45" s="234"/>
      <c r="FBT45" s="234"/>
      <c r="FBU45" s="234"/>
      <c r="FBV45" s="234"/>
      <c r="FBW45" s="234"/>
      <c r="FBX45" s="234"/>
      <c r="FBY45" s="234"/>
      <c r="FBZ45" s="234"/>
      <c r="FCA45" s="234"/>
      <c r="FCB45" s="234"/>
      <c r="FCC45" s="234"/>
      <c r="FCD45" s="234"/>
      <c r="FCE45" s="234"/>
      <c r="FCF45" s="234"/>
      <c r="FCG45" s="234"/>
      <c r="FCH45" s="234"/>
      <c r="FCI45" s="234"/>
      <c r="FCJ45" s="234"/>
      <c r="FCK45" s="234"/>
      <c r="FCL45" s="234"/>
      <c r="FCM45" s="234"/>
      <c r="FCN45" s="234"/>
      <c r="FCO45" s="234"/>
      <c r="FCP45" s="234"/>
      <c r="FCQ45" s="234"/>
      <c r="FCR45" s="234"/>
      <c r="FCS45" s="234"/>
      <c r="FCT45" s="234"/>
      <c r="FCU45" s="234"/>
      <c r="FCV45" s="234"/>
      <c r="FCW45" s="234"/>
      <c r="FCX45" s="234"/>
      <c r="FCY45" s="234"/>
      <c r="FCZ45" s="234"/>
      <c r="FDA45" s="234"/>
      <c r="FDB45" s="234"/>
      <c r="FDC45" s="234"/>
      <c r="FDD45" s="234"/>
      <c r="FDE45" s="234"/>
      <c r="FDF45" s="234"/>
      <c r="FDG45" s="234"/>
      <c r="FDH45" s="234"/>
      <c r="FDI45" s="234"/>
      <c r="FDJ45" s="234"/>
      <c r="FDK45" s="234"/>
      <c r="FDL45" s="234"/>
      <c r="FDM45" s="234"/>
      <c r="FDN45" s="234"/>
      <c r="FDO45" s="234"/>
      <c r="FDP45" s="234"/>
      <c r="FDQ45" s="234"/>
      <c r="FDR45" s="234"/>
      <c r="FDS45" s="234"/>
      <c r="FDT45" s="234"/>
      <c r="FDU45" s="234"/>
      <c r="FDV45" s="234"/>
      <c r="FDW45" s="234"/>
      <c r="FDX45" s="234"/>
      <c r="FDY45" s="234"/>
      <c r="FDZ45" s="234"/>
      <c r="FEA45" s="234"/>
      <c r="FEB45" s="234"/>
      <c r="FEC45" s="234"/>
      <c r="FED45" s="234"/>
      <c r="FEE45" s="234"/>
      <c r="FEF45" s="234"/>
      <c r="FEG45" s="234"/>
      <c r="FEH45" s="234"/>
      <c r="FEI45" s="234"/>
      <c r="FEJ45" s="234"/>
      <c r="FEK45" s="234"/>
      <c r="FEL45" s="234"/>
      <c r="FEM45" s="234"/>
      <c r="FEN45" s="234"/>
      <c r="FEO45" s="234"/>
      <c r="FEP45" s="234"/>
      <c r="FEQ45" s="234"/>
      <c r="FER45" s="234"/>
      <c r="FES45" s="234"/>
      <c r="FET45" s="234"/>
      <c r="FEU45" s="234"/>
      <c r="FEV45" s="234"/>
      <c r="FEW45" s="234"/>
      <c r="FEX45" s="234"/>
      <c r="FEY45" s="234"/>
      <c r="FEZ45" s="234"/>
      <c r="FFA45" s="234"/>
      <c r="FFB45" s="234"/>
      <c r="FFC45" s="234"/>
      <c r="FFD45" s="234"/>
      <c r="FFE45" s="234"/>
      <c r="FFF45" s="234"/>
      <c r="FFG45" s="234"/>
      <c r="FFH45" s="234"/>
      <c r="FFI45" s="234"/>
      <c r="FFJ45" s="234"/>
      <c r="FFK45" s="234"/>
      <c r="FFL45" s="234"/>
      <c r="FFM45" s="234"/>
      <c r="FFN45" s="234"/>
      <c r="FFO45" s="234"/>
      <c r="FFP45" s="234"/>
      <c r="FFQ45" s="234"/>
      <c r="FFR45" s="234"/>
      <c r="FFS45" s="234"/>
      <c r="FFT45" s="234"/>
      <c r="FFU45" s="234"/>
      <c r="FFV45" s="234"/>
      <c r="FFW45" s="234"/>
      <c r="FFX45" s="234"/>
      <c r="FFY45" s="234"/>
      <c r="FFZ45" s="234"/>
      <c r="FGA45" s="234"/>
      <c r="FGB45" s="234"/>
      <c r="FGC45" s="234"/>
      <c r="FGD45" s="234"/>
      <c r="FGE45" s="234"/>
      <c r="FGF45" s="234"/>
      <c r="FGG45" s="234"/>
      <c r="FGH45" s="234"/>
      <c r="FGI45" s="234"/>
      <c r="FGJ45" s="234"/>
      <c r="FGK45" s="234"/>
      <c r="FGL45" s="234"/>
      <c r="FGM45" s="234"/>
      <c r="FGN45" s="234"/>
      <c r="FGO45" s="234"/>
      <c r="FGP45" s="234"/>
      <c r="FGQ45" s="234"/>
      <c r="FGR45" s="234"/>
      <c r="FGS45" s="234"/>
      <c r="FGT45" s="234"/>
      <c r="FGU45" s="234"/>
      <c r="FGV45" s="234"/>
      <c r="FGW45" s="234"/>
      <c r="FGX45" s="234"/>
      <c r="FGY45" s="234"/>
      <c r="FGZ45" s="234"/>
      <c r="FHA45" s="234"/>
      <c r="FHB45" s="234"/>
      <c r="FHC45" s="234"/>
      <c r="FHD45" s="234"/>
      <c r="FHE45" s="234"/>
      <c r="FHF45" s="234"/>
      <c r="FHG45" s="234"/>
      <c r="FHH45" s="234"/>
      <c r="FHI45" s="234"/>
      <c r="FHJ45" s="234"/>
      <c r="FHK45" s="234"/>
      <c r="FHL45" s="234"/>
      <c r="FHM45" s="234"/>
      <c r="FHN45" s="234"/>
      <c r="FHO45" s="234"/>
      <c r="FHP45" s="234"/>
      <c r="FHQ45" s="234"/>
      <c r="FHR45" s="234"/>
      <c r="FHS45" s="234"/>
      <c r="FHT45" s="234"/>
      <c r="FHU45" s="234"/>
      <c r="FHV45" s="234"/>
      <c r="FHW45" s="234"/>
      <c r="FHX45" s="234"/>
      <c r="FHY45" s="234"/>
      <c r="FHZ45" s="234"/>
      <c r="FIA45" s="234"/>
      <c r="FIB45" s="234"/>
      <c r="FIC45" s="234"/>
      <c r="FID45" s="234"/>
      <c r="FIE45" s="234"/>
      <c r="FIF45" s="234"/>
      <c r="FIG45" s="234"/>
      <c r="FIH45" s="234"/>
      <c r="FII45" s="234"/>
      <c r="FIJ45" s="234"/>
      <c r="FIK45" s="234"/>
      <c r="FIL45" s="234"/>
      <c r="FIM45" s="234"/>
      <c r="FIN45" s="234"/>
      <c r="FIO45" s="234"/>
      <c r="FIP45" s="234"/>
      <c r="FIQ45" s="234"/>
      <c r="FIR45" s="234"/>
      <c r="FIS45" s="234"/>
      <c r="FIT45" s="234"/>
      <c r="FIU45" s="234"/>
      <c r="FIV45" s="234"/>
      <c r="FIW45" s="234"/>
      <c r="FIX45" s="234"/>
      <c r="FIY45" s="234"/>
      <c r="FIZ45" s="234"/>
      <c r="FJA45" s="234"/>
      <c r="FJB45" s="234"/>
      <c r="FJC45" s="234"/>
      <c r="FJD45" s="234"/>
      <c r="FJE45" s="234"/>
      <c r="FJF45" s="234"/>
      <c r="FJG45" s="234"/>
      <c r="FJH45" s="234"/>
      <c r="FJI45" s="234"/>
      <c r="FJJ45" s="234"/>
      <c r="FJK45" s="234"/>
      <c r="FJL45" s="234"/>
      <c r="FJM45" s="234"/>
      <c r="FJN45" s="234"/>
      <c r="FJO45" s="234"/>
      <c r="FJP45" s="234"/>
      <c r="FJQ45" s="234"/>
      <c r="FJR45" s="234"/>
      <c r="FJS45" s="234"/>
      <c r="FJT45" s="234"/>
      <c r="FJU45" s="234"/>
      <c r="FJV45" s="234"/>
      <c r="FJW45" s="234"/>
      <c r="FJX45" s="234"/>
      <c r="FJY45" s="234"/>
      <c r="FJZ45" s="234"/>
      <c r="FKA45" s="234"/>
      <c r="FKB45" s="234"/>
      <c r="FKC45" s="234"/>
      <c r="FKD45" s="234"/>
      <c r="FKE45" s="234"/>
      <c r="FKF45" s="234"/>
      <c r="FKG45" s="234"/>
      <c r="FKH45" s="234"/>
      <c r="FKI45" s="234"/>
      <c r="FKJ45" s="234"/>
      <c r="FKK45" s="234"/>
      <c r="FKL45" s="234"/>
      <c r="FKM45" s="234"/>
      <c r="FKN45" s="234"/>
      <c r="FKO45" s="234"/>
      <c r="FKP45" s="234"/>
      <c r="FKQ45" s="234"/>
      <c r="FKR45" s="234"/>
      <c r="FKS45" s="234"/>
      <c r="FKT45" s="234"/>
      <c r="FKU45" s="234"/>
      <c r="FKV45" s="234"/>
      <c r="FKW45" s="234"/>
      <c r="FKX45" s="234"/>
      <c r="FKY45" s="234"/>
      <c r="FKZ45" s="234"/>
      <c r="FLA45" s="234"/>
      <c r="FLB45" s="234"/>
      <c r="FLC45" s="234"/>
      <c r="FLD45" s="234"/>
      <c r="FLE45" s="234"/>
      <c r="FLF45" s="234"/>
      <c r="FLG45" s="234"/>
      <c r="FLH45" s="234"/>
      <c r="FLI45" s="234"/>
      <c r="FLJ45" s="234"/>
      <c r="FLK45" s="234"/>
      <c r="FLL45" s="234"/>
      <c r="FLM45" s="234"/>
      <c r="FLN45" s="234"/>
      <c r="FLO45" s="234"/>
      <c r="FLP45" s="234"/>
      <c r="FLQ45" s="234"/>
      <c r="FLR45" s="234"/>
      <c r="FLS45" s="234"/>
      <c r="FLT45" s="234"/>
      <c r="FLU45" s="234"/>
      <c r="FLV45" s="234"/>
      <c r="FLW45" s="234"/>
      <c r="FLX45" s="234"/>
      <c r="FLY45" s="234"/>
      <c r="FLZ45" s="234"/>
      <c r="FMA45" s="234"/>
      <c r="FMB45" s="234"/>
      <c r="FMC45" s="234"/>
      <c r="FMD45" s="234"/>
      <c r="FME45" s="234"/>
      <c r="FMF45" s="234"/>
      <c r="FMG45" s="234"/>
      <c r="FMH45" s="234"/>
      <c r="FMI45" s="234"/>
      <c r="FMJ45" s="234"/>
      <c r="FMK45" s="234"/>
      <c r="FML45" s="234"/>
      <c r="FMM45" s="234"/>
      <c r="FMN45" s="234"/>
      <c r="FMO45" s="234"/>
      <c r="FMP45" s="234"/>
      <c r="FMQ45" s="234"/>
      <c r="FMR45" s="234"/>
      <c r="FMS45" s="234"/>
      <c r="FMT45" s="234"/>
      <c r="FMU45" s="234"/>
      <c r="FMV45" s="234"/>
      <c r="FMW45" s="234"/>
      <c r="FMX45" s="234"/>
      <c r="FMY45" s="234"/>
      <c r="FMZ45" s="234"/>
      <c r="FNA45" s="234"/>
      <c r="FNB45" s="234"/>
      <c r="FNC45" s="234"/>
      <c r="FND45" s="234"/>
      <c r="FNE45" s="234"/>
      <c r="FNF45" s="234"/>
      <c r="FNG45" s="234"/>
      <c r="FNH45" s="234"/>
      <c r="FNI45" s="234"/>
      <c r="FNJ45" s="234"/>
      <c r="FNK45" s="234"/>
      <c r="FNL45" s="234"/>
      <c r="FNM45" s="234"/>
      <c r="FNN45" s="234"/>
      <c r="FNO45" s="234"/>
      <c r="FNP45" s="234"/>
      <c r="FNQ45" s="234"/>
      <c r="FNR45" s="234"/>
      <c r="FNS45" s="234"/>
      <c r="FNT45" s="234"/>
      <c r="FNU45" s="234"/>
      <c r="FNV45" s="234"/>
      <c r="FNW45" s="234"/>
      <c r="FNX45" s="234"/>
      <c r="FNY45" s="234"/>
      <c r="FNZ45" s="234"/>
      <c r="FOA45" s="234"/>
      <c r="FOB45" s="234"/>
      <c r="FOC45" s="234"/>
      <c r="FOD45" s="234"/>
      <c r="FOE45" s="234"/>
      <c r="FOF45" s="234"/>
      <c r="FOG45" s="234"/>
      <c r="FOH45" s="234"/>
      <c r="FOI45" s="234"/>
      <c r="FOJ45" s="234"/>
      <c r="FOK45" s="234"/>
      <c r="FOL45" s="234"/>
      <c r="FOM45" s="234"/>
      <c r="FON45" s="234"/>
      <c r="FOO45" s="234"/>
      <c r="FOP45" s="234"/>
      <c r="FOQ45" s="234"/>
      <c r="FOR45" s="234"/>
      <c r="FOS45" s="234"/>
      <c r="FOT45" s="234"/>
      <c r="FOU45" s="234"/>
      <c r="FOV45" s="234"/>
      <c r="FOW45" s="234"/>
      <c r="FOX45" s="234"/>
      <c r="FOY45" s="234"/>
      <c r="FOZ45" s="234"/>
      <c r="FPA45" s="234"/>
      <c r="FPB45" s="234"/>
      <c r="FPC45" s="234"/>
      <c r="FPD45" s="234"/>
      <c r="FPE45" s="234"/>
      <c r="FPF45" s="234"/>
      <c r="FPG45" s="234"/>
      <c r="FPH45" s="234"/>
      <c r="FPI45" s="234"/>
      <c r="FPJ45" s="234"/>
      <c r="FPK45" s="234"/>
      <c r="FPL45" s="234"/>
      <c r="FPM45" s="234"/>
      <c r="FPN45" s="234"/>
      <c r="FPO45" s="234"/>
      <c r="FPP45" s="234"/>
      <c r="FPQ45" s="234"/>
      <c r="FPR45" s="234"/>
      <c r="FPS45" s="234"/>
      <c r="FPT45" s="234"/>
      <c r="FPU45" s="234"/>
      <c r="FPV45" s="234"/>
      <c r="FPW45" s="234"/>
      <c r="FPX45" s="234"/>
      <c r="FPY45" s="234"/>
      <c r="FPZ45" s="234"/>
      <c r="FQA45" s="234"/>
      <c r="FQB45" s="234"/>
      <c r="FQC45" s="234"/>
      <c r="FQD45" s="234"/>
      <c r="FQE45" s="234"/>
      <c r="FQF45" s="234"/>
      <c r="FQG45" s="234"/>
      <c r="FQH45" s="234"/>
      <c r="FQI45" s="234"/>
      <c r="FQJ45" s="234"/>
      <c r="FQK45" s="234"/>
      <c r="FQL45" s="234"/>
      <c r="FQM45" s="234"/>
      <c r="FQN45" s="234"/>
      <c r="FQO45" s="234"/>
      <c r="FQP45" s="234"/>
      <c r="FQQ45" s="234"/>
      <c r="FQR45" s="234"/>
      <c r="FQS45" s="234"/>
      <c r="FQT45" s="234"/>
      <c r="FQU45" s="234"/>
      <c r="FQV45" s="234"/>
      <c r="FQW45" s="234"/>
      <c r="FQX45" s="234"/>
      <c r="FQY45" s="234"/>
      <c r="FQZ45" s="234"/>
      <c r="FRA45" s="234"/>
      <c r="FRB45" s="234"/>
      <c r="FRC45" s="234"/>
      <c r="FRD45" s="234"/>
      <c r="FRE45" s="234"/>
      <c r="FRF45" s="234"/>
      <c r="FRG45" s="234"/>
      <c r="FRH45" s="234"/>
      <c r="FRI45" s="234"/>
      <c r="FRJ45" s="234"/>
      <c r="FRK45" s="234"/>
      <c r="FRL45" s="234"/>
      <c r="FRM45" s="234"/>
      <c r="FRN45" s="234"/>
      <c r="FRO45" s="234"/>
      <c r="FRP45" s="234"/>
      <c r="FRQ45" s="234"/>
      <c r="FRR45" s="234"/>
      <c r="FRS45" s="234"/>
      <c r="FRT45" s="234"/>
      <c r="FRU45" s="234"/>
      <c r="FRV45" s="234"/>
      <c r="FRW45" s="234"/>
      <c r="FRX45" s="234"/>
      <c r="FRY45" s="234"/>
      <c r="FRZ45" s="234"/>
      <c r="FSA45" s="234"/>
      <c r="FSB45" s="234"/>
      <c r="FSC45" s="234"/>
      <c r="FSD45" s="234"/>
      <c r="FSE45" s="234"/>
      <c r="FSF45" s="234"/>
      <c r="FSG45" s="234"/>
      <c r="FSH45" s="234"/>
      <c r="FSI45" s="234"/>
      <c r="FSJ45" s="234"/>
      <c r="FSK45" s="234"/>
      <c r="FSL45" s="234"/>
      <c r="FSM45" s="234"/>
      <c r="FSN45" s="234"/>
      <c r="FSO45" s="234"/>
      <c r="FSP45" s="234"/>
      <c r="FSQ45" s="234"/>
      <c r="FSR45" s="234"/>
      <c r="FSS45" s="234"/>
      <c r="FST45" s="234"/>
      <c r="FSU45" s="234"/>
      <c r="FSV45" s="234"/>
      <c r="FSW45" s="234"/>
      <c r="FSX45" s="234"/>
      <c r="FSY45" s="234"/>
      <c r="FSZ45" s="234"/>
      <c r="FTA45" s="234"/>
      <c r="FTB45" s="234"/>
      <c r="FTC45" s="234"/>
      <c r="FTD45" s="234"/>
      <c r="FTE45" s="234"/>
      <c r="FTF45" s="234"/>
      <c r="FTG45" s="234"/>
      <c r="FTH45" s="234"/>
      <c r="FTI45" s="234"/>
      <c r="FTJ45" s="234"/>
      <c r="FTK45" s="234"/>
      <c r="FTL45" s="234"/>
      <c r="FTM45" s="234"/>
      <c r="FTN45" s="234"/>
      <c r="FTO45" s="234"/>
      <c r="FTP45" s="234"/>
      <c r="FTQ45" s="234"/>
      <c r="FTR45" s="234"/>
      <c r="FTS45" s="234"/>
      <c r="FTT45" s="234"/>
      <c r="FTU45" s="234"/>
      <c r="FTV45" s="234"/>
      <c r="FTW45" s="234"/>
      <c r="FTX45" s="234"/>
      <c r="FTY45" s="234"/>
      <c r="FTZ45" s="234"/>
      <c r="FUA45" s="234"/>
      <c r="FUB45" s="234"/>
      <c r="FUC45" s="234"/>
      <c r="FUD45" s="234"/>
      <c r="FUE45" s="234"/>
      <c r="FUF45" s="234"/>
      <c r="FUG45" s="234"/>
      <c r="FUH45" s="234"/>
      <c r="FUI45" s="234"/>
      <c r="FUJ45" s="234"/>
      <c r="FUK45" s="234"/>
      <c r="FUL45" s="234"/>
      <c r="FUM45" s="234"/>
      <c r="FUN45" s="234"/>
      <c r="FUO45" s="234"/>
      <c r="FUP45" s="234"/>
      <c r="FUQ45" s="234"/>
      <c r="FUR45" s="234"/>
      <c r="FUS45" s="234"/>
      <c r="FUT45" s="234"/>
      <c r="FUU45" s="234"/>
      <c r="FUV45" s="234"/>
      <c r="FUW45" s="234"/>
      <c r="FUX45" s="234"/>
      <c r="FUY45" s="234"/>
      <c r="FUZ45" s="234"/>
      <c r="FVA45" s="234"/>
      <c r="FVB45" s="234"/>
      <c r="FVC45" s="234"/>
      <c r="FVD45" s="234"/>
      <c r="FVE45" s="234"/>
      <c r="FVF45" s="234"/>
      <c r="FVG45" s="234"/>
      <c r="FVH45" s="234"/>
      <c r="FVI45" s="234"/>
      <c r="FVJ45" s="234"/>
      <c r="FVK45" s="234"/>
      <c r="FVL45" s="234"/>
      <c r="FVM45" s="234"/>
      <c r="FVN45" s="234"/>
      <c r="FVO45" s="234"/>
      <c r="FVP45" s="234"/>
      <c r="FVQ45" s="234"/>
      <c r="FVR45" s="234"/>
      <c r="FVS45" s="234"/>
      <c r="FVT45" s="234"/>
      <c r="FVU45" s="234"/>
      <c r="FVV45" s="234"/>
      <c r="FVW45" s="234"/>
      <c r="FVX45" s="234"/>
      <c r="FVY45" s="234"/>
      <c r="FVZ45" s="234"/>
      <c r="FWA45" s="234"/>
      <c r="FWB45" s="234"/>
      <c r="FWC45" s="234"/>
      <c r="FWD45" s="234"/>
      <c r="FWE45" s="234"/>
      <c r="FWF45" s="234"/>
      <c r="FWG45" s="234"/>
      <c r="FWH45" s="234"/>
      <c r="FWI45" s="234"/>
      <c r="FWJ45" s="234"/>
      <c r="FWK45" s="234"/>
      <c r="FWL45" s="234"/>
      <c r="FWM45" s="234"/>
      <c r="FWN45" s="234"/>
      <c r="FWO45" s="234"/>
      <c r="FWP45" s="234"/>
      <c r="FWQ45" s="234"/>
      <c r="FWR45" s="234"/>
      <c r="FWS45" s="234"/>
      <c r="FWT45" s="234"/>
      <c r="FWU45" s="234"/>
      <c r="FWV45" s="234"/>
      <c r="FWW45" s="234"/>
      <c r="FWX45" s="234"/>
      <c r="FWY45" s="234"/>
      <c r="FWZ45" s="234"/>
      <c r="FXA45" s="234"/>
      <c r="FXB45" s="234"/>
      <c r="FXC45" s="234"/>
      <c r="FXD45" s="234"/>
      <c r="FXE45" s="234"/>
      <c r="FXF45" s="234"/>
      <c r="FXG45" s="234"/>
      <c r="FXH45" s="234"/>
      <c r="FXI45" s="234"/>
      <c r="FXJ45" s="234"/>
      <c r="FXK45" s="234"/>
      <c r="FXL45" s="234"/>
      <c r="FXM45" s="234"/>
      <c r="FXN45" s="234"/>
      <c r="FXO45" s="234"/>
      <c r="FXP45" s="234"/>
      <c r="FXQ45" s="234"/>
      <c r="FXR45" s="234"/>
      <c r="FXS45" s="234"/>
      <c r="FXT45" s="234"/>
      <c r="FXU45" s="234"/>
      <c r="FXV45" s="234"/>
      <c r="FXW45" s="234"/>
      <c r="FXX45" s="234"/>
      <c r="FXY45" s="234"/>
      <c r="FXZ45" s="234"/>
      <c r="FYA45" s="234"/>
      <c r="FYB45" s="234"/>
      <c r="FYC45" s="234"/>
      <c r="FYD45" s="234"/>
      <c r="FYE45" s="234"/>
      <c r="FYF45" s="234"/>
      <c r="FYG45" s="234"/>
      <c r="FYH45" s="234"/>
      <c r="FYI45" s="234"/>
      <c r="FYJ45" s="234"/>
      <c r="FYK45" s="234"/>
      <c r="FYL45" s="234"/>
      <c r="FYM45" s="234"/>
      <c r="FYN45" s="234"/>
      <c r="FYO45" s="234"/>
      <c r="FYP45" s="234"/>
      <c r="FYQ45" s="234"/>
      <c r="FYR45" s="234"/>
      <c r="FYS45" s="234"/>
      <c r="FYT45" s="234"/>
      <c r="FYU45" s="234"/>
      <c r="FYV45" s="234"/>
      <c r="FYW45" s="234"/>
      <c r="FYX45" s="234"/>
      <c r="FYY45" s="234"/>
      <c r="FYZ45" s="234"/>
      <c r="FZA45" s="234"/>
      <c r="FZB45" s="234"/>
      <c r="FZC45" s="234"/>
      <c r="FZD45" s="234"/>
      <c r="FZE45" s="234"/>
      <c r="FZF45" s="234"/>
      <c r="FZG45" s="234"/>
      <c r="FZH45" s="234"/>
      <c r="FZI45" s="234"/>
      <c r="FZJ45" s="234"/>
      <c r="FZK45" s="234"/>
      <c r="FZL45" s="234"/>
      <c r="FZM45" s="234"/>
      <c r="FZN45" s="234"/>
      <c r="FZO45" s="234"/>
      <c r="FZP45" s="234"/>
      <c r="FZQ45" s="234"/>
      <c r="FZR45" s="234"/>
      <c r="FZS45" s="234"/>
      <c r="FZT45" s="234"/>
      <c r="FZU45" s="234"/>
      <c r="FZV45" s="234"/>
      <c r="FZW45" s="234"/>
      <c r="FZX45" s="234"/>
      <c r="FZY45" s="234"/>
      <c r="FZZ45" s="234"/>
      <c r="GAA45" s="234"/>
      <c r="GAB45" s="234"/>
      <c r="GAC45" s="234"/>
      <c r="GAD45" s="234"/>
      <c r="GAE45" s="234"/>
      <c r="GAF45" s="234"/>
      <c r="GAG45" s="234"/>
      <c r="GAH45" s="234"/>
      <c r="GAI45" s="234"/>
      <c r="GAJ45" s="234"/>
      <c r="GAK45" s="234"/>
      <c r="GAL45" s="234"/>
      <c r="GAM45" s="234"/>
      <c r="GAN45" s="234"/>
      <c r="GAO45" s="234"/>
      <c r="GAP45" s="234"/>
      <c r="GAQ45" s="234"/>
      <c r="GAR45" s="234"/>
      <c r="GAS45" s="234"/>
      <c r="GAT45" s="234"/>
      <c r="GAU45" s="234"/>
      <c r="GAV45" s="234"/>
      <c r="GAW45" s="234"/>
      <c r="GAX45" s="234"/>
      <c r="GAY45" s="234"/>
      <c r="GAZ45" s="234"/>
      <c r="GBA45" s="234"/>
      <c r="GBB45" s="234"/>
      <c r="GBC45" s="234"/>
      <c r="GBD45" s="234"/>
      <c r="GBE45" s="234"/>
      <c r="GBF45" s="234"/>
      <c r="GBG45" s="234"/>
      <c r="GBH45" s="234"/>
      <c r="GBI45" s="234"/>
      <c r="GBJ45" s="234"/>
      <c r="GBK45" s="234"/>
      <c r="GBL45" s="234"/>
      <c r="GBM45" s="234"/>
      <c r="GBN45" s="234"/>
      <c r="GBO45" s="234"/>
      <c r="GBP45" s="234"/>
      <c r="GBQ45" s="234"/>
      <c r="GBR45" s="234"/>
      <c r="GBS45" s="234"/>
      <c r="GBT45" s="234"/>
      <c r="GBU45" s="234"/>
      <c r="GBV45" s="234"/>
      <c r="GBW45" s="234"/>
      <c r="GBX45" s="234"/>
      <c r="GBY45" s="234"/>
      <c r="GBZ45" s="234"/>
      <c r="GCA45" s="234"/>
      <c r="GCB45" s="234"/>
      <c r="GCC45" s="234"/>
      <c r="GCD45" s="234"/>
      <c r="GCE45" s="234"/>
      <c r="GCF45" s="234"/>
      <c r="GCG45" s="234"/>
      <c r="GCH45" s="234"/>
      <c r="GCI45" s="234"/>
      <c r="GCJ45" s="234"/>
      <c r="GCK45" s="234"/>
      <c r="GCL45" s="234"/>
      <c r="GCM45" s="234"/>
      <c r="GCN45" s="234"/>
      <c r="GCO45" s="234"/>
      <c r="GCP45" s="234"/>
      <c r="GCQ45" s="234"/>
      <c r="GCR45" s="234"/>
      <c r="GCS45" s="234"/>
      <c r="GCT45" s="234"/>
      <c r="GCU45" s="234"/>
      <c r="GCV45" s="234"/>
      <c r="GCW45" s="234"/>
      <c r="GCX45" s="234"/>
      <c r="GCY45" s="234"/>
      <c r="GCZ45" s="234"/>
      <c r="GDA45" s="234"/>
      <c r="GDB45" s="234"/>
      <c r="GDC45" s="234"/>
      <c r="GDD45" s="234"/>
      <c r="GDE45" s="234"/>
      <c r="GDF45" s="234"/>
      <c r="GDG45" s="234"/>
      <c r="GDH45" s="234"/>
      <c r="GDI45" s="234"/>
      <c r="GDJ45" s="234"/>
      <c r="GDK45" s="234"/>
      <c r="GDL45" s="234"/>
      <c r="GDM45" s="234"/>
      <c r="GDN45" s="234"/>
      <c r="GDO45" s="234"/>
      <c r="GDP45" s="234"/>
      <c r="GDQ45" s="234"/>
      <c r="GDR45" s="234"/>
      <c r="GDS45" s="234"/>
      <c r="GDT45" s="234"/>
      <c r="GDU45" s="234"/>
      <c r="GDV45" s="234"/>
      <c r="GDW45" s="234"/>
      <c r="GDX45" s="234"/>
      <c r="GDY45" s="234"/>
      <c r="GDZ45" s="234"/>
      <c r="GEA45" s="234"/>
      <c r="GEB45" s="234"/>
      <c r="GEC45" s="234"/>
      <c r="GED45" s="234"/>
      <c r="GEE45" s="234"/>
      <c r="GEF45" s="234"/>
      <c r="GEG45" s="234"/>
      <c r="GEH45" s="234"/>
      <c r="GEI45" s="234"/>
      <c r="GEJ45" s="234"/>
      <c r="GEK45" s="234"/>
      <c r="GEL45" s="234"/>
      <c r="GEM45" s="234"/>
      <c r="GEN45" s="234"/>
      <c r="GEO45" s="234"/>
      <c r="GEP45" s="234"/>
      <c r="GEQ45" s="234"/>
      <c r="GER45" s="234"/>
      <c r="GES45" s="234"/>
      <c r="GET45" s="234"/>
      <c r="GEU45" s="234"/>
      <c r="GEV45" s="234"/>
      <c r="GEW45" s="234"/>
      <c r="GEX45" s="234"/>
      <c r="GEY45" s="234"/>
      <c r="GEZ45" s="234"/>
      <c r="GFA45" s="234"/>
      <c r="GFB45" s="234"/>
      <c r="GFC45" s="234"/>
      <c r="GFD45" s="234"/>
      <c r="GFE45" s="234"/>
      <c r="GFF45" s="234"/>
      <c r="GFG45" s="234"/>
      <c r="GFH45" s="234"/>
      <c r="GFI45" s="234"/>
      <c r="GFJ45" s="234"/>
      <c r="GFK45" s="234"/>
      <c r="GFL45" s="234"/>
      <c r="GFM45" s="234"/>
      <c r="GFN45" s="234"/>
      <c r="GFO45" s="234"/>
      <c r="GFP45" s="234"/>
      <c r="GFQ45" s="234"/>
      <c r="GFR45" s="234"/>
      <c r="GFS45" s="234"/>
      <c r="GFT45" s="234"/>
      <c r="GFU45" s="234"/>
      <c r="GFV45" s="234"/>
      <c r="GFW45" s="234"/>
      <c r="GFX45" s="234"/>
      <c r="GFY45" s="234"/>
      <c r="GFZ45" s="234"/>
      <c r="GGA45" s="234"/>
      <c r="GGB45" s="234"/>
      <c r="GGC45" s="234"/>
      <c r="GGD45" s="234"/>
      <c r="GGE45" s="234"/>
      <c r="GGF45" s="234"/>
      <c r="GGG45" s="234"/>
      <c r="GGH45" s="234"/>
      <c r="GGI45" s="234"/>
      <c r="GGJ45" s="234"/>
      <c r="GGK45" s="234"/>
      <c r="GGL45" s="234"/>
      <c r="GGM45" s="234"/>
      <c r="GGN45" s="234"/>
      <c r="GGO45" s="234"/>
      <c r="GGP45" s="234"/>
      <c r="GGQ45" s="234"/>
      <c r="GGR45" s="234"/>
      <c r="GGS45" s="234"/>
      <c r="GGT45" s="234"/>
      <c r="GGU45" s="234"/>
      <c r="GGV45" s="234"/>
      <c r="GGW45" s="234"/>
      <c r="GGX45" s="234"/>
      <c r="GGY45" s="234"/>
      <c r="GGZ45" s="234"/>
      <c r="GHA45" s="234"/>
      <c r="GHB45" s="234"/>
      <c r="GHC45" s="234"/>
      <c r="GHD45" s="234"/>
      <c r="GHE45" s="234"/>
      <c r="GHF45" s="234"/>
      <c r="GHG45" s="234"/>
      <c r="GHH45" s="234"/>
      <c r="GHI45" s="234"/>
      <c r="GHJ45" s="234"/>
      <c r="GHK45" s="234"/>
      <c r="GHL45" s="234"/>
      <c r="GHM45" s="234"/>
      <c r="GHN45" s="234"/>
      <c r="GHO45" s="234"/>
      <c r="GHP45" s="234"/>
      <c r="GHQ45" s="234"/>
      <c r="GHR45" s="234"/>
      <c r="GHS45" s="234"/>
      <c r="GHT45" s="234"/>
      <c r="GHU45" s="234"/>
      <c r="GHV45" s="234"/>
      <c r="GHW45" s="234"/>
      <c r="GHX45" s="234"/>
      <c r="GHY45" s="234"/>
      <c r="GHZ45" s="234"/>
      <c r="GIA45" s="234"/>
      <c r="GIB45" s="234"/>
      <c r="GIC45" s="234"/>
      <c r="GID45" s="234"/>
      <c r="GIE45" s="234"/>
      <c r="GIF45" s="234"/>
      <c r="GIG45" s="234"/>
      <c r="GIH45" s="234"/>
      <c r="GII45" s="234"/>
      <c r="GIJ45" s="234"/>
      <c r="GIK45" s="234"/>
      <c r="GIL45" s="234"/>
      <c r="GIM45" s="234"/>
      <c r="GIN45" s="234"/>
      <c r="GIO45" s="234"/>
      <c r="GIP45" s="234"/>
      <c r="GIQ45" s="234"/>
      <c r="GIR45" s="234"/>
      <c r="GIS45" s="234"/>
      <c r="GIT45" s="234"/>
      <c r="GIU45" s="234"/>
      <c r="GIV45" s="234"/>
      <c r="GIW45" s="234"/>
      <c r="GIX45" s="234"/>
      <c r="GIY45" s="234"/>
      <c r="GIZ45" s="234"/>
      <c r="GJA45" s="234"/>
      <c r="GJB45" s="234"/>
      <c r="GJC45" s="234"/>
      <c r="GJD45" s="234"/>
      <c r="GJE45" s="234"/>
      <c r="GJF45" s="234"/>
      <c r="GJG45" s="234"/>
      <c r="GJH45" s="234"/>
      <c r="GJI45" s="234"/>
      <c r="GJJ45" s="234"/>
      <c r="GJK45" s="234"/>
      <c r="GJL45" s="234"/>
      <c r="GJM45" s="234"/>
      <c r="GJN45" s="234"/>
      <c r="GJO45" s="234"/>
      <c r="GJP45" s="234"/>
      <c r="GJQ45" s="234"/>
      <c r="GJR45" s="234"/>
      <c r="GJS45" s="234"/>
      <c r="GJT45" s="234"/>
      <c r="GJU45" s="234"/>
      <c r="GJV45" s="234"/>
      <c r="GJW45" s="234"/>
      <c r="GJX45" s="234"/>
      <c r="GJY45" s="234"/>
      <c r="GJZ45" s="234"/>
      <c r="GKA45" s="234"/>
      <c r="GKB45" s="234"/>
      <c r="GKC45" s="234"/>
      <c r="GKD45" s="234"/>
      <c r="GKE45" s="234"/>
      <c r="GKF45" s="234"/>
      <c r="GKG45" s="234"/>
      <c r="GKH45" s="234"/>
      <c r="GKI45" s="234"/>
      <c r="GKJ45" s="234"/>
      <c r="GKK45" s="234"/>
      <c r="GKL45" s="234"/>
      <c r="GKM45" s="234"/>
      <c r="GKN45" s="234"/>
      <c r="GKO45" s="234"/>
      <c r="GKP45" s="234"/>
      <c r="GKQ45" s="234"/>
      <c r="GKR45" s="234"/>
      <c r="GKS45" s="234"/>
      <c r="GKT45" s="234"/>
      <c r="GKU45" s="234"/>
      <c r="GKV45" s="234"/>
      <c r="GKW45" s="234"/>
      <c r="GKX45" s="234"/>
      <c r="GKY45" s="234"/>
      <c r="GKZ45" s="234"/>
      <c r="GLA45" s="234"/>
      <c r="GLB45" s="234"/>
      <c r="GLC45" s="234"/>
      <c r="GLD45" s="234"/>
      <c r="GLE45" s="234"/>
      <c r="GLF45" s="234"/>
      <c r="GLG45" s="234"/>
      <c r="GLH45" s="234"/>
      <c r="GLI45" s="234"/>
      <c r="GLJ45" s="234"/>
      <c r="GLK45" s="234"/>
      <c r="GLL45" s="234"/>
      <c r="GLM45" s="234"/>
      <c r="GLN45" s="234"/>
      <c r="GLO45" s="234"/>
      <c r="GLP45" s="234"/>
      <c r="GLQ45" s="234"/>
      <c r="GLR45" s="234"/>
      <c r="GLS45" s="234"/>
      <c r="GLT45" s="234"/>
      <c r="GLU45" s="234"/>
      <c r="GLV45" s="234"/>
      <c r="GLW45" s="234"/>
      <c r="GLX45" s="234"/>
      <c r="GLY45" s="234"/>
      <c r="GLZ45" s="234"/>
      <c r="GMA45" s="234"/>
      <c r="GMB45" s="234"/>
      <c r="GMC45" s="234"/>
      <c r="GMD45" s="234"/>
      <c r="GME45" s="234"/>
      <c r="GMF45" s="234"/>
      <c r="GMG45" s="234"/>
      <c r="GMH45" s="234"/>
      <c r="GMI45" s="234"/>
      <c r="GMJ45" s="234"/>
      <c r="GMK45" s="234"/>
      <c r="GML45" s="234"/>
      <c r="GMM45" s="234"/>
      <c r="GMN45" s="234"/>
      <c r="GMO45" s="234"/>
      <c r="GMP45" s="234"/>
      <c r="GMQ45" s="234"/>
      <c r="GMR45" s="234"/>
      <c r="GMS45" s="234"/>
      <c r="GMT45" s="234"/>
      <c r="GMU45" s="234"/>
      <c r="GMV45" s="234"/>
      <c r="GMW45" s="234"/>
      <c r="GMX45" s="234"/>
      <c r="GMY45" s="234"/>
      <c r="GMZ45" s="234"/>
      <c r="GNA45" s="234"/>
      <c r="GNB45" s="234"/>
      <c r="GNC45" s="234"/>
      <c r="GND45" s="234"/>
      <c r="GNE45" s="234"/>
      <c r="GNF45" s="234"/>
      <c r="GNG45" s="234"/>
      <c r="GNH45" s="234"/>
      <c r="GNI45" s="234"/>
      <c r="GNJ45" s="234"/>
      <c r="GNK45" s="234"/>
      <c r="GNL45" s="234"/>
      <c r="GNM45" s="234"/>
      <c r="GNN45" s="234"/>
      <c r="GNO45" s="234"/>
      <c r="GNP45" s="234"/>
      <c r="GNQ45" s="234"/>
      <c r="GNR45" s="234"/>
      <c r="GNS45" s="234"/>
      <c r="GNT45" s="234"/>
      <c r="GNU45" s="234"/>
      <c r="GNV45" s="234"/>
      <c r="GNW45" s="234"/>
      <c r="GNX45" s="234"/>
      <c r="GNY45" s="234"/>
      <c r="GNZ45" s="234"/>
      <c r="GOA45" s="234"/>
      <c r="GOB45" s="234"/>
      <c r="GOC45" s="234"/>
      <c r="GOD45" s="234"/>
      <c r="GOE45" s="234"/>
      <c r="GOF45" s="234"/>
      <c r="GOG45" s="234"/>
      <c r="GOH45" s="234"/>
      <c r="GOI45" s="234"/>
      <c r="GOJ45" s="234"/>
      <c r="GOK45" s="234"/>
      <c r="GOL45" s="234"/>
      <c r="GOM45" s="234"/>
      <c r="GON45" s="234"/>
      <c r="GOO45" s="234"/>
      <c r="GOP45" s="234"/>
      <c r="GOQ45" s="234"/>
      <c r="GOR45" s="234"/>
      <c r="GOS45" s="234"/>
      <c r="GOT45" s="234"/>
      <c r="GOU45" s="234"/>
      <c r="GOV45" s="234"/>
      <c r="GOW45" s="234"/>
      <c r="GOX45" s="234"/>
      <c r="GOY45" s="234"/>
      <c r="GOZ45" s="234"/>
      <c r="GPA45" s="234"/>
      <c r="GPB45" s="234"/>
      <c r="GPC45" s="234"/>
      <c r="GPD45" s="234"/>
      <c r="GPE45" s="234"/>
      <c r="GPF45" s="234"/>
      <c r="GPG45" s="234"/>
      <c r="GPH45" s="234"/>
      <c r="GPI45" s="234"/>
      <c r="GPJ45" s="234"/>
      <c r="GPK45" s="234"/>
      <c r="GPL45" s="234"/>
      <c r="GPM45" s="234"/>
      <c r="GPN45" s="234"/>
      <c r="GPO45" s="234"/>
      <c r="GPP45" s="234"/>
      <c r="GPQ45" s="234"/>
      <c r="GPR45" s="234"/>
      <c r="GPS45" s="234"/>
      <c r="GPT45" s="234"/>
      <c r="GPU45" s="234"/>
      <c r="GPV45" s="234"/>
      <c r="GPW45" s="234"/>
      <c r="GPX45" s="234"/>
      <c r="GPY45" s="234"/>
      <c r="GPZ45" s="234"/>
      <c r="GQA45" s="234"/>
      <c r="GQB45" s="234"/>
      <c r="GQC45" s="234"/>
      <c r="GQD45" s="234"/>
      <c r="GQE45" s="234"/>
      <c r="GQF45" s="234"/>
      <c r="GQG45" s="234"/>
      <c r="GQH45" s="234"/>
      <c r="GQI45" s="234"/>
      <c r="GQJ45" s="234"/>
      <c r="GQK45" s="234"/>
      <c r="GQL45" s="234"/>
      <c r="GQM45" s="234"/>
      <c r="GQN45" s="234"/>
      <c r="GQO45" s="234"/>
      <c r="GQP45" s="234"/>
      <c r="GQQ45" s="234"/>
      <c r="GQR45" s="234"/>
      <c r="GQS45" s="234"/>
      <c r="GQT45" s="234"/>
      <c r="GQU45" s="234"/>
      <c r="GQV45" s="234"/>
      <c r="GQW45" s="234"/>
      <c r="GQX45" s="234"/>
      <c r="GQY45" s="234"/>
      <c r="GQZ45" s="234"/>
      <c r="GRA45" s="234"/>
      <c r="GRB45" s="234"/>
      <c r="GRC45" s="234"/>
      <c r="GRD45" s="234"/>
      <c r="GRE45" s="234"/>
      <c r="GRF45" s="234"/>
      <c r="GRG45" s="234"/>
      <c r="GRH45" s="234"/>
      <c r="GRI45" s="234"/>
      <c r="GRJ45" s="234"/>
      <c r="GRK45" s="234"/>
      <c r="GRL45" s="234"/>
      <c r="GRM45" s="234"/>
      <c r="GRN45" s="234"/>
      <c r="GRO45" s="234"/>
      <c r="GRP45" s="234"/>
      <c r="GRQ45" s="234"/>
      <c r="GRR45" s="234"/>
      <c r="GRS45" s="234"/>
      <c r="GRT45" s="234"/>
      <c r="GRU45" s="234"/>
      <c r="GRV45" s="234"/>
      <c r="GRW45" s="234"/>
      <c r="GRX45" s="234"/>
      <c r="GRY45" s="234"/>
      <c r="GRZ45" s="234"/>
      <c r="GSA45" s="234"/>
      <c r="GSB45" s="234"/>
      <c r="GSC45" s="234"/>
      <c r="GSD45" s="234"/>
      <c r="GSE45" s="234"/>
      <c r="GSF45" s="234"/>
      <c r="GSG45" s="234"/>
      <c r="GSH45" s="234"/>
      <c r="GSI45" s="234"/>
      <c r="GSJ45" s="234"/>
      <c r="GSK45" s="234"/>
      <c r="GSL45" s="234"/>
      <c r="GSM45" s="234"/>
      <c r="GSN45" s="234"/>
      <c r="GSO45" s="234"/>
      <c r="GSP45" s="234"/>
      <c r="GSQ45" s="234"/>
      <c r="GSR45" s="234"/>
      <c r="GSS45" s="234"/>
      <c r="GST45" s="234"/>
      <c r="GSU45" s="234"/>
      <c r="GSV45" s="234"/>
      <c r="GSW45" s="234"/>
      <c r="GSX45" s="234"/>
      <c r="GSY45" s="234"/>
      <c r="GSZ45" s="234"/>
      <c r="GTA45" s="234"/>
      <c r="GTB45" s="234"/>
      <c r="GTC45" s="234"/>
      <c r="GTD45" s="234"/>
      <c r="GTE45" s="234"/>
      <c r="GTF45" s="234"/>
      <c r="GTG45" s="234"/>
      <c r="GTH45" s="234"/>
      <c r="GTI45" s="234"/>
      <c r="GTJ45" s="234"/>
      <c r="GTK45" s="234"/>
      <c r="GTL45" s="234"/>
      <c r="GTM45" s="234"/>
      <c r="GTN45" s="234"/>
      <c r="GTO45" s="234"/>
      <c r="GTP45" s="234"/>
      <c r="GTQ45" s="234"/>
      <c r="GTR45" s="234"/>
      <c r="GTS45" s="234"/>
      <c r="GTT45" s="234"/>
      <c r="GTU45" s="234"/>
      <c r="GTV45" s="234"/>
      <c r="GTW45" s="234"/>
      <c r="GTX45" s="234"/>
      <c r="GTY45" s="234"/>
      <c r="GTZ45" s="234"/>
      <c r="GUA45" s="234"/>
      <c r="GUB45" s="234"/>
      <c r="GUC45" s="234"/>
      <c r="GUD45" s="234"/>
      <c r="GUE45" s="234"/>
      <c r="GUF45" s="234"/>
      <c r="GUG45" s="234"/>
      <c r="GUH45" s="234"/>
      <c r="GUI45" s="234"/>
      <c r="GUJ45" s="234"/>
      <c r="GUK45" s="234"/>
      <c r="GUL45" s="234"/>
      <c r="GUM45" s="234"/>
      <c r="GUN45" s="234"/>
      <c r="GUO45" s="234"/>
      <c r="GUP45" s="234"/>
      <c r="GUQ45" s="234"/>
      <c r="GUR45" s="234"/>
      <c r="GUS45" s="234"/>
      <c r="GUT45" s="234"/>
      <c r="GUU45" s="234"/>
      <c r="GUV45" s="234"/>
      <c r="GUW45" s="234"/>
      <c r="GUX45" s="234"/>
      <c r="GUY45" s="234"/>
      <c r="GUZ45" s="234"/>
      <c r="GVA45" s="234"/>
      <c r="GVB45" s="234"/>
      <c r="GVC45" s="234"/>
      <c r="GVD45" s="234"/>
      <c r="GVE45" s="234"/>
      <c r="GVF45" s="234"/>
      <c r="GVG45" s="234"/>
      <c r="GVH45" s="234"/>
      <c r="GVI45" s="234"/>
      <c r="GVJ45" s="234"/>
      <c r="GVK45" s="234"/>
      <c r="GVL45" s="234"/>
      <c r="GVM45" s="234"/>
      <c r="GVN45" s="234"/>
      <c r="GVO45" s="234"/>
      <c r="GVP45" s="234"/>
      <c r="GVQ45" s="234"/>
      <c r="GVR45" s="234"/>
      <c r="GVS45" s="234"/>
      <c r="GVT45" s="234"/>
      <c r="GVU45" s="234"/>
      <c r="GVV45" s="234"/>
      <c r="GVW45" s="234"/>
      <c r="GVX45" s="234"/>
      <c r="GVY45" s="234"/>
      <c r="GVZ45" s="234"/>
      <c r="GWA45" s="234"/>
      <c r="GWB45" s="234"/>
      <c r="GWC45" s="234"/>
      <c r="GWD45" s="234"/>
      <c r="GWE45" s="234"/>
      <c r="GWF45" s="234"/>
      <c r="GWG45" s="234"/>
      <c r="GWH45" s="234"/>
      <c r="GWI45" s="234"/>
      <c r="GWJ45" s="234"/>
      <c r="GWK45" s="234"/>
      <c r="GWL45" s="234"/>
      <c r="GWM45" s="234"/>
      <c r="GWN45" s="234"/>
      <c r="GWO45" s="234"/>
      <c r="GWP45" s="234"/>
      <c r="GWQ45" s="234"/>
      <c r="GWR45" s="234"/>
      <c r="GWS45" s="234"/>
      <c r="GWT45" s="234"/>
      <c r="GWU45" s="234"/>
      <c r="GWV45" s="234"/>
      <c r="GWW45" s="234"/>
      <c r="GWX45" s="234"/>
      <c r="GWY45" s="234"/>
      <c r="GWZ45" s="234"/>
      <c r="GXA45" s="234"/>
      <c r="GXB45" s="234"/>
      <c r="GXC45" s="234"/>
      <c r="GXD45" s="234"/>
      <c r="GXE45" s="234"/>
      <c r="GXF45" s="234"/>
      <c r="GXG45" s="234"/>
      <c r="GXH45" s="234"/>
      <c r="GXI45" s="234"/>
      <c r="GXJ45" s="234"/>
      <c r="GXK45" s="234"/>
      <c r="GXL45" s="234"/>
      <c r="GXM45" s="234"/>
      <c r="GXN45" s="234"/>
      <c r="GXO45" s="234"/>
      <c r="GXP45" s="234"/>
      <c r="GXQ45" s="234"/>
      <c r="GXR45" s="234"/>
      <c r="GXS45" s="234"/>
      <c r="GXT45" s="234"/>
      <c r="GXU45" s="234"/>
      <c r="GXV45" s="234"/>
      <c r="GXW45" s="234"/>
      <c r="GXX45" s="234"/>
      <c r="GXY45" s="234"/>
      <c r="GXZ45" s="234"/>
      <c r="GYA45" s="234"/>
      <c r="GYB45" s="234"/>
      <c r="GYC45" s="234"/>
      <c r="GYD45" s="234"/>
      <c r="GYE45" s="234"/>
      <c r="GYF45" s="234"/>
      <c r="GYG45" s="234"/>
      <c r="GYH45" s="234"/>
      <c r="GYI45" s="234"/>
      <c r="GYJ45" s="234"/>
      <c r="GYK45" s="234"/>
      <c r="GYL45" s="234"/>
      <c r="GYM45" s="234"/>
      <c r="GYN45" s="234"/>
      <c r="GYO45" s="234"/>
      <c r="GYP45" s="234"/>
      <c r="GYQ45" s="234"/>
      <c r="GYR45" s="234"/>
      <c r="GYS45" s="234"/>
      <c r="GYT45" s="234"/>
      <c r="GYU45" s="234"/>
      <c r="GYV45" s="234"/>
      <c r="GYW45" s="234"/>
      <c r="GYX45" s="234"/>
      <c r="GYY45" s="234"/>
      <c r="GYZ45" s="234"/>
      <c r="GZA45" s="234"/>
      <c r="GZB45" s="234"/>
      <c r="GZC45" s="234"/>
      <c r="GZD45" s="234"/>
      <c r="GZE45" s="234"/>
      <c r="GZF45" s="234"/>
      <c r="GZG45" s="234"/>
      <c r="GZH45" s="234"/>
      <c r="GZI45" s="234"/>
      <c r="GZJ45" s="234"/>
      <c r="GZK45" s="234"/>
      <c r="GZL45" s="234"/>
      <c r="GZM45" s="234"/>
      <c r="GZN45" s="234"/>
      <c r="GZO45" s="234"/>
      <c r="GZP45" s="234"/>
      <c r="GZQ45" s="234"/>
      <c r="GZR45" s="234"/>
      <c r="GZS45" s="234"/>
      <c r="GZT45" s="234"/>
      <c r="GZU45" s="234"/>
      <c r="GZV45" s="234"/>
      <c r="GZW45" s="234"/>
      <c r="GZX45" s="234"/>
      <c r="GZY45" s="234"/>
      <c r="GZZ45" s="234"/>
      <c r="HAA45" s="234"/>
      <c r="HAB45" s="234"/>
      <c r="HAC45" s="234"/>
      <c r="HAD45" s="234"/>
      <c r="HAE45" s="234"/>
      <c r="HAF45" s="234"/>
      <c r="HAG45" s="234"/>
      <c r="HAH45" s="234"/>
      <c r="HAI45" s="234"/>
      <c r="HAJ45" s="234"/>
      <c r="HAK45" s="234"/>
      <c r="HAL45" s="234"/>
      <c r="HAM45" s="234"/>
      <c r="HAN45" s="234"/>
      <c r="HAO45" s="234"/>
      <c r="HAP45" s="234"/>
      <c r="HAQ45" s="234"/>
      <c r="HAR45" s="234"/>
      <c r="HAS45" s="234"/>
      <c r="HAT45" s="234"/>
      <c r="HAU45" s="234"/>
      <c r="HAV45" s="234"/>
      <c r="HAW45" s="234"/>
      <c r="HAX45" s="234"/>
      <c r="HAY45" s="234"/>
      <c r="HAZ45" s="234"/>
      <c r="HBA45" s="234"/>
      <c r="HBB45" s="234"/>
      <c r="HBC45" s="234"/>
      <c r="HBD45" s="234"/>
      <c r="HBE45" s="234"/>
      <c r="HBF45" s="234"/>
      <c r="HBG45" s="234"/>
      <c r="HBH45" s="234"/>
      <c r="HBI45" s="234"/>
      <c r="HBJ45" s="234"/>
      <c r="HBK45" s="234"/>
      <c r="HBL45" s="234"/>
      <c r="HBM45" s="234"/>
      <c r="HBN45" s="234"/>
      <c r="HBO45" s="234"/>
      <c r="HBP45" s="234"/>
      <c r="HBQ45" s="234"/>
      <c r="HBR45" s="234"/>
      <c r="HBS45" s="234"/>
      <c r="HBT45" s="234"/>
      <c r="HBU45" s="234"/>
      <c r="HBV45" s="234"/>
      <c r="HBW45" s="234"/>
      <c r="HBX45" s="234"/>
      <c r="HBY45" s="234"/>
      <c r="HBZ45" s="234"/>
      <c r="HCA45" s="234"/>
      <c r="HCB45" s="234"/>
      <c r="HCC45" s="234"/>
      <c r="HCD45" s="234"/>
      <c r="HCE45" s="234"/>
      <c r="HCF45" s="234"/>
      <c r="HCG45" s="234"/>
      <c r="HCH45" s="234"/>
      <c r="HCI45" s="234"/>
      <c r="HCJ45" s="234"/>
      <c r="HCK45" s="234"/>
      <c r="HCL45" s="234"/>
      <c r="HCM45" s="234"/>
      <c r="HCN45" s="234"/>
      <c r="HCO45" s="234"/>
      <c r="HCP45" s="234"/>
      <c r="HCQ45" s="234"/>
      <c r="HCR45" s="234"/>
      <c r="HCS45" s="234"/>
      <c r="HCT45" s="234"/>
      <c r="HCU45" s="234"/>
      <c r="HCV45" s="234"/>
      <c r="HCW45" s="234"/>
      <c r="HCX45" s="234"/>
      <c r="HCY45" s="234"/>
      <c r="HCZ45" s="234"/>
      <c r="HDA45" s="234"/>
      <c r="HDB45" s="234"/>
      <c r="HDC45" s="234"/>
      <c r="HDD45" s="234"/>
      <c r="HDE45" s="234"/>
      <c r="HDF45" s="234"/>
      <c r="HDG45" s="234"/>
      <c r="HDH45" s="234"/>
      <c r="HDI45" s="234"/>
      <c r="HDJ45" s="234"/>
      <c r="HDK45" s="234"/>
      <c r="HDL45" s="234"/>
      <c r="HDM45" s="234"/>
      <c r="HDN45" s="234"/>
      <c r="HDO45" s="234"/>
      <c r="HDP45" s="234"/>
      <c r="HDQ45" s="234"/>
      <c r="HDR45" s="234"/>
      <c r="HDS45" s="234"/>
      <c r="HDT45" s="234"/>
      <c r="HDU45" s="234"/>
      <c r="HDV45" s="234"/>
      <c r="HDW45" s="234"/>
      <c r="HDX45" s="234"/>
      <c r="HDY45" s="234"/>
      <c r="HDZ45" s="234"/>
      <c r="HEA45" s="234"/>
      <c r="HEB45" s="234"/>
      <c r="HEC45" s="234"/>
      <c r="HED45" s="234"/>
      <c r="HEE45" s="234"/>
      <c r="HEF45" s="234"/>
      <c r="HEG45" s="234"/>
      <c r="HEH45" s="234"/>
      <c r="HEI45" s="234"/>
      <c r="HEJ45" s="234"/>
      <c r="HEK45" s="234"/>
      <c r="HEL45" s="234"/>
      <c r="HEM45" s="234"/>
      <c r="HEN45" s="234"/>
      <c r="HEO45" s="234"/>
      <c r="HEP45" s="234"/>
      <c r="HEQ45" s="234"/>
      <c r="HER45" s="234"/>
      <c r="HES45" s="234"/>
      <c r="HET45" s="234"/>
      <c r="HEU45" s="234"/>
      <c r="HEV45" s="234"/>
      <c r="HEW45" s="234"/>
      <c r="HEX45" s="234"/>
      <c r="HEY45" s="234"/>
      <c r="HEZ45" s="234"/>
      <c r="HFA45" s="234"/>
      <c r="HFB45" s="234"/>
      <c r="HFC45" s="234"/>
      <c r="HFD45" s="234"/>
      <c r="HFE45" s="234"/>
      <c r="HFF45" s="234"/>
      <c r="HFG45" s="234"/>
      <c r="HFH45" s="234"/>
      <c r="HFI45" s="234"/>
      <c r="HFJ45" s="234"/>
      <c r="HFK45" s="234"/>
      <c r="HFL45" s="234"/>
      <c r="HFM45" s="234"/>
      <c r="HFN45" s="234"/>
      <c r="HFO45" s="234"/>
      <c r="HFP45" s="234"/>
      <c r="HFQ45" s="234"/>
      <c r="HFR45" s="234"/>
      <c r="HFS45" s="234"/>
      <c r="HFT45" s="234"/>
      <c r="HFU45" s="234"/>
      <c r="HFV45" s="234"/>
      <c r="HFW45" s="234"/>
      <c r="HFX45" s="234"/>
      <c r="HFY45" s="234"/>
      <c r="HFZ45" s="234"/>
      <c r="HGA45" s="234"/>
      <c r="HGB45" s="234"/>
      <c r="HGC45" s="234"/>
      <c r="HGD45" s="234"/>
      <c r="HGE45" s="234"/>
      <c r="HGF45" s="234"/>
      <c r="HGG45" s="234"/>
      <c r="HGH45" s="234"/>
      <c r="HGI45" s="234"/>
      <c r="HGJ45" s="234"/>
      <c r="HGK45" s="234"/>
      <c r="HGL45" s="234"/>
      <c r="HGM45" s="234"/>
      <c r="HGN45" s="234"/>
      <c r="HGO45" s="234"/>
      <c r="HGP45" s="234"/>
      <c r="HGQ45" s="234"/>
      <c r="HGR45" s="234"/>
      <c r="HGS45" s="234"/>
      <c r="HGT45" s="234"/>
      <c r="HGU45" s="234"/>
      <c r="HGV45" s="234"/>
      <c r="HGW45" s="234"/>
      <c r="HGX45" s="234"/>
      <c r="HGY45" s="234"/>
      <c r="HGZ45" s="234"/>
      <c r="HHA45" s="234"/>
      <c r="HHB45" s="234"/>
      <c r="HHC45" s="234"/>
      <c r="HHD45" s="234"/>
      <c r="HHE45" s="234"/>
      <c r="HHF45" s="234"/>
      <c r="HHG45" s="234"/>
      <c r="HHH45" s="234"/>
      <c r="HHI45" s="234"/>
      <c r="HHJ45" s="234"/>
      <c r="HHK45" s="234"/>
      <c r="HHL45" s="234"/>
      <c r="HHM45" s="234"/>
      <c r="HHN45" s="234"/>
      <c r="HHO45" s="234"/>
      <c r="HHP45" s="234"/>
      <c r="HHQ45" s="234"/>
      <c r="HHR45" s="234"/>
      <c r="HHS45" s="234"/>
      <c r="HHT45" s="234"/>
      <c r="HHU45" s="234"/>
      <c r="HHV45" s="234"/>
      <c r="HHW45" s="234"/>
      <c r="HHX45" s="234"/>
      <c r="HHY45" s="234"/>
      <c r="HHZ45" s="234"/>
      <c r="HIA45" s="234"/>
      <c r="HIB45" s="234"/>
      <c r="HIC45" s="234"/>
      <c r="HID45" s="234"/>
      <c r="HIE45" s="234"/>
      <c r="HIF45" s="234"/>
      <c r="HIG45" s="234"/>
      <c r="HIH45" s="234"/>
      <c r="HII45" s="234"/>
      <c r="HIJ45" s="234"/>
      <c r="HIK45" s="234"/>
      <c r="HIL45" s="234"/>
      <c r="HIM45" s="234"/>
      <c r="HIN45" s="234"/>
      <c r="HIO45" s="234"/>
      <c r="HIP45" s="234"/>
      <c r="HIQ45" s="234"/>
      <c r="HIR45" s="234"/>
      <c r="HIS45" s="234"/>
      <c r="HIT45" s="234"/>
      <c r="HIU45" s="234"/>
      <c r="HIV45" s="234"/>
      <c r="HIW45" s="234"/>
      <c r="HIX45" s="234"/>
      <c r="HIY45" s="234"/>
      <c r="HIZ45" s="234"/>
      <c r="HJA45" s="234"/>
      <c r="HJB45" s="234"/>
      <c r="HJC45" s="234"/>
      <c r="HJD45" s="234"/>
      <c r="HJE45" s="234"/>
      <c r="HJF45" s="234"/>
      <c r="HJG45" s="234"/>
      <c r="HJH45" s="234"/>
      <c r="HJI45" s="234"/>
      <c r="HJJ45" s="234"/>
      <c r="HJK45" s="234"/>
      <c r="HJL45" s="234"/>
      <c r="HJM45" s="234"/>
      <c r="HJN45" s="234"/>
      <c r="HJO45" s="234"/>
      <c r="HJP45" s="234"/>
      <c r="HJQ45" s="234"/>
      <c r="HJR45" s="234"/>
      <c r="HJS45" s="234"/>
      <c r="HJT45" s="234"/>
      <c r="HJU45" s="234"/>
      <c r="HJV45" s="234"/>
      <c r="HJW45" s="234"/>
      <c r="HJX45" s="234"/>
      <c r="HJY45" s="234"/>
      <c r="HJZ45" s="234"/>
      <c r="HKA45" s="234"/>
      <c r="HKB45" s="234"/>
      <c r="HKC45" s="234"/>
      <c r="HKD45" s="234"/>
      <c r="HKE45" s="234"/>
      <c r="HKF45" s="234"/>
      <c r="HKG45" s="234"/>
      <c r="HKH45" s="234"/>
      <c r="HKI45" s="234"/>
      <c r="HKJ45" s="234"/>
      <c r="HKK45" s="234"/>
      <c r="HKL45" s="234"/>
      <c r="HKM45" s="234"/>
      <c r="HKN45" s="234"/>
      <c r="HKO45" s="234"/>
      <c r="HKP45" s="234"/>
      <c r="HKQ45" s="234"/>
      <c r="HKR45" s="234"/>
      <c r="HKS45" s="234"/>
      <c r="HKT45" s="234"/>
      <c r="HKU45" s="234"/>
      <c r="HKV45" s="234"/>
      <c r="HKW45" s="234"/>
      <c r="HKX45" s="234"/>
      <c r="HKY45" s="234"/>
      <c r="HKZ45" s="234"/>
      <c r="HLA45" s="234"/>
      <c r="HLB45" s="234"/>
      <c r="HLC45" s="234"/>
      <c r="HLD45" s="234"/>
      <c r="HLE45" s="234"/>
      <c r="HLF45" s="234"/>
      <c r="HLG45" s="234"/>
      <c r="HLH45" s="234"/>
      <c r="HLI45" s="234"/>
      <c r="HLJ45" s="234"/>
      <c r="HLK45" s="234"/>
      <c r="HLL45" s="234"/>
      <c r="HLM45" s="234"/>
      <c r="HLN45" s="234"/>
      <c r="HLO45" s="234"/>
      <c r="HLP45" s="234"/>
      <c r="HLQ45" s="234"/>
      <c r="HLR45" s="234"/>
      <c r="HLS45" s="234"/>
      <c r="HLT45" s="234"/>
      <c r="HLU45" s="234"/>
      <c r="HLV45" s="234"/>
      <c r="HLW45" s="234"/>
      <c r="HLX45" s="234"/>
      <c r="HLY45" s="234"/>
      <c r="HLZ45" s="234"/>
      <c r="HMA45" s="234"/>
      <c r="HMB45" s="234"/>
      <c r="HMC45" s="234"/>
      <c r="HMD45" s="234"/>
      <c r="HME45" s="234"/>
      <c r="HMF45" s="234"/>
      <c r="HMG45" s="234"/>
      <c r="HMH45" s="234"/>
      <c r="HMI45" s="234"/>
      <c r="HMJ45" s="234"/>
      <c r="HMK45" s="234"/>
      <c r="HML45" s="234"/>
      <c r="HMM45" s="234"/>
      <c r="HMN45" s="234"/>
      <c r="HMO45" s="234"/>
      <c r="HMP45" s="234"/>
      <c r="HMQ45" s="234"/>
      <c r="HMR45" s="234"/>
      <c r="HMS45" s="234"/>
      <c r="HMT45" s="234"/>
      <c r="HMU45" s="234"/>
      <c r="HMV45" s="234"/>
      <c r="HMW45" s="234"/>
      <c r="HMX45" s="234"/>
      <c r="HMY45" s="234"/>
      <c r="HMZ45" s="234"/>
      <c r="HNA45" s="234"/>
      <c r="HNB45" s="234"/>
      <c r="HNC45" s="234"/>
      <c r="HND45" s="234"/>
      <c r="HNE45" s="234"/>
      <c r="HNF45" s="234"/>
      <c r="HNG45" s="234"/>
      <c r="HNH45" s="234"/>
      <c r="HNI45" s="234"/>
      <c r="HNJ45" s="234"/>
      <c r="HNK45" s="234"/>
      <c r="HNL45" s="234"/>
      <c r="HNM45" s="234"/>
      <c r="HNN45" s="234"/>
      <c r="HNO45" s="234"/>
      <c r="HNP45" s="234"/>
      <c r="HNQ45" s="234"/>
      <c r="HNR45" s="234"/>
      <c r="HNS45" s="234"/>
      <c r="HNT45" s="234"/>
      <c r="HNU45" s="234"/>
      <c r="HNV45" s="234"/>
      <c r="HNW45" s="234"/>
      <c r="HNX45" s="234"/>
      <c r="HNY45" s="234"/>
      <c r="HNZ45" s="234"/>
      <c r="HOA45" s="234"/>
      <c r="HOB45" s="234"/>
      <c r="HOC45" s="234"/>
      <c r="HOD45" s="234"/>
      <c r="HOE45" s="234"/>
      <c r="HOF45" s="234"/>
      <c r="HOG45" s="234"/>
      <c r="HOH45" s="234"/>
      <c r="HOI45" s="234"/>
      <c r="HOJ45" s="234"/>
      <c r="HOK45" s="234"/>
      <c r="HOL45" s="234"/>
      <c r="HOM45" s="234"/>
      <c r="HON45" s="234"/>
      <c r="HOO45" s="234"/>
      <c r="HOP45" s="234"/>
      <c r="HOQ45" s="234"/>
      <c r="HOR45" s="234"/>
      <c r="HOS45" s="234"/>
      <c r="HOT45" s="234"/>
      <c r="HOU45" s="234"/>
      <c r="HOV45" s="234"/>
      <c r="HOW45" s="234"/>
      <c r="HOX45" s="234"/>
      <c r="HOY45" s="234"/>
      <c r="HOZ45" s="234"/>
      <c r="HPA45" s="234"/>
      <c r="HPB45" s="234"/>
      <c r="HPC45" s="234"/>
      <c r="HPD45" s="234"/>
      <c r="HPE45" s="234"/>
      <c r="HPF45" s="234"/>
      <c r="HPG45" s="234"/>
      <c r="HPH45" s="234"/>
      <c r="HPI45" s="234"/>
      <c r="HPJ45" s="234"/>
      <c r="HPK45" s="234"/>
      <c r="HPL45" s="234"/>
      <c r="HPM45" s="234"/>
      <c r="HPN45" s="234"/>
      <c r="HPO45" s="234"/>
      <c r="HPP45" s="234"/>
      <c r="HPQ45" s="234"/>
      <c r="HPR45" s="234"/>
      <c r="HPS45" s="234"/>
      <c r="HPT45" s="234"/>
      <c r="HPU45" s="234"/>
      <c r="HPV45" s="234"/>
      <c r="HPW45" s="234"/>
      <c r="HPX45" s="234"/>
      <c r="HPY45" s="234"/>
      <c r="HPZ45" s="234"/>
      <c r="HQA45" s="234"/>
      <c r="HQB45" s="234"/>
      <c r="HQC45" s="234"/>
      <c r="HQD45" s="234"/>
      <c r="HQE45" s="234"/>
      <c r="HQF45" s="234"/>
      <c r="HQG45" s="234"/>
      <c r="HQH45" s="234"/>
      <c r="HQI45" s="234"/>
      <c r="HQJ45" s="234"/>
      <c r="HQK45" s="234"/>
      <c r="HQL45" s="234"/>
      <c r="HQM45" s="234"/>
      <c r="HQN45" s="234"/>
      <c r="HQO45" s="234"/>
      <c r="HQP45" s="234"/>
      <c r="HQQ45" s="234"/>
      <c r="HQR45" s="234"/>
      <c r="HQS45" s="234"/>
      <c r="HQT45" s="234"/>
      <c r="HQU45" s="234"/>
      <c r="HQV45" s="234"/>
      <c r="HQW45" s="234"/>
      <c r="HQX45" s="234"/>
      <c r="HQY45" s="234"/>
      <c r="HQZ45" s="234"/>
      <c r="HRA45" s="234"/>
      <c r="HRB45" s="234"/>
      <c r="HRC45" s="234"/>
      <c r="HRD45" s="234"/>
      <c r="HRE45" s="234"/>
      <c r="HRF45" s="234"/>
      <c r="HRG45" s="234"/>
      <c r="HRH45" s="234"/>
      <c r="HRI45" s="234"/>
      <c r="HRJ45" s="234"/>
      <c r="HRK45" s="234"/>
      <c r="HRL45" s="234"/>
      <c r="HRM45" s="234"/>
      <c r="HRN45" s="234"/>
      <c r="HRO45" s="234"/>
      <c r="HRP45" s="234"/>
      <c r="HRQ45" s="234"/>
      <c r="HRR45" s="234"/>
      <c r="HRS45" s="234"/>
      <c r="HRT45" s="234"/>
      <c r="HRU45" s="234"/>
      <c r="HRV45" s="234"/>
      <c r="HRW45" s="234"/>
      <c r="HRX45" s="234"/>
      <c r="HRY45" s="234"/>
      <c r="HRZ45" s="234"/>
      <c r="HSA45" s="234"/>
      <c r="HSB45" s="234"/>
      <c r="HSC45" s="234"/>
      <c r="HSD45" s="234"/>
      <c r="HSE45" s="234"/>
      <c r="HSF45" s="234"/>
      <c r="HSG45" s="234"/>
      <c r="HSH45" s="234"/>
      <c r="HSI45" s="234"/>
      <c r="HSJ45" s="234"/>
      <c r="HSK45" s="234"/>
      <c r="HSL45" s="234"/>
      <c r="HSM45" s="234"/>
      <c r="HSN45" s="234"/>
      <c r="HSO45" s="234"/>
      <c r="HSP45" s="234"/>
      <c r="HSQ45" s="234"/>
      <c r="HSR45" s="234"/>
      <c r="HSS45" s="234"/>
      <c r="HST45" s="234"/>
      <c r="HSU45" s="234"/>
      <c r="HSV45" s="234"/>
      <c r="HSW45" s="234"/>
      <c r="HSX45" s="234"/>
      <c r="HSY45" s="234"/>
      <c r="HSZ45" s="234"/>
      <c r="HTA45" s="234"/>
      <c r="HTB45" s="234"/>
      <c r="HTC45" s="234"/>
      <c r="HTD45" s="234"/>
      <c r="HTE45" s="234"/>
      <c r="HTF45" s="234"/>
      <c r="HTG45" s="234"/>
      <c r="HTH45" s="234"/>
      <c r="HTI45" s="234"/>
      <c r="HTJ45" s="234"/>
      <c r="HTK45" s="234"/>
      <c r="HTL45" s="234"/>
      <c r="HTM45" s="234"/>
      <c r="HTN45" s="234"/>
      <c r="HTO45" s="234"/>
      <c r="HTP45" s="234"/>
      <c r="HTQ45" s="234"/>
      <c r="HTR45" s="234"/>
      <c r="HTS45" s="234"/>
      <c r="HTT45" s="234"/>
      <c r="HTU45" s="234"/>
      <c r="HTV45" s="234"/>
      <c r="HTW45" s="234"/>
      <c r="HTX45" s="234"/>
      <c r="HTY45" s="234"/>
      <c r="HTZ45" s="234"/>
      <c r="HUA45" s="234"/>
      <c r="HUB45" s="234"/>
      <c r="HUC45" s="234"/>
      <c r="HUD45" s="234"/>
      <c r="HUE45" s="234"/>
      <c r="HUF45" s="234"/>
      <c r="HUG45" s="234"/>
      <c r="HUH45" s="234"/>
      <c r="HUI45" s="234"/>
      <c r="HUJ45" s="234"/>
      <c r="HUK45" s="234"/>
      <c r="HUL45" s="234"/>
      <c r="HUM45" s="234"/>
      <c r="HUN45" s="234"/>
      <c r="HUO45" s="234"/>
      <c r="HUP45" s="234"/>
      <c r="HUQ45" s="234"/>
      <c r="HUR45" s="234"/>
      <c r="HUS45" s="234"/>
      <c r="HUT45" s="234"/>
      <c r="HUU45" s="234"/>
      <c r="HUV45" s="234"/>
      <c r="HUW45" s="234"/>
      <c r="HUX45" s="234"/>
      <c r="HUY45" s="234"/>
      <c r="HUZ45" s="234"/>
      <c r="HVA45" s="234"/>
      <c r="HVB45" s="234"/>
      <c r="HVC45" s="234"/>
      <c r="HVD45" s="234"/>
      <c r="HVE45" s="234"/>
      <c r="HVF45" s="234"/>
      <c r="HVG45" s="234"/>
      <c r="HVH45" s="234"/>
      <c r="HVI45" s="234"/>
      <c r="HVJ45" s="234"/>
      <c r="HVK45" s="234"/>
      <c r="HVL45" s="234"/>
      <c r="HVM45" s="234"/>
      <c r="HVN45" s="234"/>
      <c r="HVO45" s="234"/>
      <c r="HVP45" s="234"/>
      <c r="HVQ45" s="234"/>
      <c r="HVR45" s="234"/>
      <c r="HVS45" s="234"/>
      <c r="HVT45" s="234"/>
      <c r="HVU45" s="234"/>
      <c r="HVV45" s="234"/>
      <c r="HVW45" s="234"/>
      <c r="HVX45" s="234"/>
      <c r="HVY45" s="234"/>
      <c r="HVZ45" s="234"/>
      <c r="HWA45" s="234"/>
      <c r="HWB45" s="234"/>
      <c r="HWC45" s="234"/>
      <c r="HWD45" s="234"/>
      <c r="HWE45" s="234"/>
      <c r="HWF45" s="234"/>
      <c r="HWG45" s="234"/>
      <c r="HWH45" s="234"/>
      <c r="HWI45" s="234"/>
      <c r="HWJ45" s="234"/>
      <c r="HWK45" s="234"/>
      <c r="HWL45" s="234"/>
      <c r="HWM45" s="234"/>
      <c r="HWN45" s="234"/>
      <c r="HWO45" s="234"/>
      <c r="HWP45" s="234"/>
      <c r="HWQ45" s="234"/>
      <c r="HWR45" s="234"/>
      <c r="HWS45" s="234"/>
      <c r="HWT45" s="234"/>
      <c r="HWU45" s="234"/>
      <c r="HWV45" s="234"/>
      <c r="HWW45" s="234"/>
      <c r="HWX45" s="234"/>
      <c r="HWY45" s="234"/>
      <c r="HWZ45" s="234"/>
      <c r="HXA45" s="234"/>
      <c r="HXB45" s="234"/>
      <c r="HXC45" s="234"/>
      <c r="HXD45" s="234"/>
      <c r="HXE45" s="234"/>
      <c r="HXF45" s="234"/>
      <c r="HXG45" s="234"/>
      <c r="HXH45" s="234"/>
      <c r="HXI45" s="234"/>
      <c r="HXJ45" s="234"/>
      <c r="HXK45" s="234"/>
      <c r="HXL45" s="234"/>
      <c r="HXM45" s="234"/>
      <c r="HXN45" s="234"/>
      <c r="HXO45" s="234"/>
      <c r="HXP45" s="234"/>
      <c r="HXQ45" s="234"/>
      <c r="HXR45" s="234"/>
      <c r="HXS45" s="234"/>
      <c r="HXT45" s="234"/>
      <c r="HXU45" s="234"/>
      <c r="HXV45" s="234"/>
      <c r="HXW45" s="234"/>
      <c r="HXX45" s="234"/>
      <c r="HXY45" s="234"/>
      <c r="HXZ45" s="234"/>
      <c r="HYA45" s="234"/>
      <c r="HYB45" s="234"/>
      <c r="HYC45" s="234"/>
      <c r="HYD45" s="234"/>
      <c r="HYE45" s="234"/>
      <c r="HYF45" s="234"/>
      <c r="HYG45" s="234"/>
      <c r="HYH45" s="234"/>
      <c r="HYI45" s="234"/>
      <c r="HYJ45" s="234"/>
      <c r="HYK45" s="234"/>
      <c r="HYL45" s="234"/>
      <c r="HYM45" s="234"/>
      <c r="HYN45" s="234"/>
      <c r="HYO45" s="234"/>
      <c r="HYP45" s="234"/>
      <c r="HYQ45" s="234"/>
      <c r="HYR45" s="234"/>
      <c r="HYS45" s="234"/>
      <c r="HYT45" s="234"/>
      <c r="HYU45" s="234"/>
      <c r="HYV45" s="234"/>
      <c r="HYW45" s="234"/>
      <c r="HYX45" s="234"/>
      <c r="HYY45" s="234"/>
      <c r="HYZ45" s="234"/>
      <c r="HZA45" s="234"/>
      <c r="HZB45" s="234"/>
      <c r="HZC45" s="234"/>
      <c r="HZD45" s="234"/>
      <c r="HZE45" s="234"/>
      <c r="HZF45" s="234"/>
      <c r="HZG45" s="234"/>
      <c r="HZH45" s="234"/>
      <c r="HZI45" s="234"/>
      <c r="HZJ45" s="234"/>
      <c r="HZK45" s="234"/>
      <c r="HZL45" s="234"/>
      <c r="HZM45" s="234"/>
      <c r="HZN45" s="234"/>
      <c r="HZO45" s="234"/>
      <c r="HZP45" s="234"/>
      <c r="HZQ45" s="234"/>
      <c r="HZR45" s="234"/>
      <c r="HZS45" s="234"/>
      <c r="HZT45" s="234"/>
      <c r="HZU45" s="234"/>
      <c r="HZV45" s="234"/>
      <c r="HZW45" s="234"/>
      <c r="HZX45" s="234"/>
      <c r="HZY45" s="234"/>
      <c r="HZZ45" s="234"/>
      <c r="IAA45" s="234"/>
      <c r="IAB45" s="234"/>
      <c r="IAC45" s="234"/>
      <c r="IAD45" s="234"/>
      <c r="IAE45" s="234"/>
      <c r="IAF45" s="234"/>
      <c r="IAG45" s="234"/>
      <c r="IAH45" s="234"/>
      <c r="IAI45" s="234"/>
      <c r="IAJ45" s="234"/>
      <c r="IAK45" s="234"/>
      <c r="IAL45" s="234"/>
      <c r="IAM45" s="234"/>
      <c r="IAN45" s="234"/>
      <c r="IAO45" s="234"/>
      <c r="IAP45" s="234"/>
      <c r="IAQ45" s="234"/>
      <c r="IAR45" s="234"/>
      <c r="IAS45" s="234"/>
      <c r="IAT45" s="234"/>
      <c r="IAU45" s="234"/>
      <c r="IAV45" s="234"/>
      <c r="IAW45" s="234"/>
      <c r="IAX45" s="234"/>
      <c r="IAY45" s="234"/>
      <c r="IAZ45" s="234"/>
      <c r="IBA45" s="234"/>
      <c r="IBB45" s="234"/>
      <c r="IBC45" s="234"/>
      <c r="IBD45" s="234"/>
      <c r="IBE45" s="234"/>
      <c r="IBF45" s="234"/>
      <c r="IBG45" s="234"/>
      <c r="IBH45" s="234"/>
      <c r="IBI45" s="234"/>
      <c r="IBJ45" s="234"/>
      <c r="IBK45" s="234"/>
      <c r="IBL45" s="234"/>
      <c r="IBM45" s="234"/>
      <c r="IBN45" s="234"/>
      <c r="IBO45" s="234"/>
      <c r="IBP45" s="234"/>
      <c r="IBQ45" s="234"/>
      <c r="IBR45" s="234"/>
      <c r="IBS45" s="234"/>
      <c r="IBT45" s="234"/>
      <c r="IBU45" s="234"/>
      <c r="IBV45" s="234"/>
      <c r="IBW45" s="234"/>
      <c r="IBX45" s="234"/>
      <c r="IBY45" s="234"/>
      <c r="IBZ45" s="234"/>
      <c r="ICA45" s="234"/>
      <c r="ICB45" s="234"/>
      <c r="ICC45" s="234"/>
      <c r="ICD45" s="234"/>
      <c r="ICE45" s="234"/>
      <c r="ICF45" s="234"/>
      <c r="ICG45" s="234"/>
      <c r="ICH45" s="234"/>
      <c r="ICI45" s="234"/>
      <c r="ICJ45" s="234"/>
      <c r="ICK45" s="234"/>
      <c r="ICL45" s="234"/>
      <c r="ICM45" s="234"/>
      <c r="ICN45" s="234"/>
      <c r="ICO45" s="234"/>
      <c r="ICP45" s="234"/>
      <c r="ICQ45" s="234"/>
      <c r="ICR45" s="234"/>
      <c r="ICS45" s="234"/>
      <c r="ICT45" s="234"/>
      <c r="ICU45" s="234"/>
      <c r="ICV45" s="234"/>
      <c r="ICW45" s="234"/>
      <c r="ICX45" s="234"/>
      <c r="ICY45" s="234"/>
      <c r="ICZ45" s="234"/>
      <c r="IDA45" s="234"/>
      <c r="IDB45" s="234"/>
      <c r="IDC45" s="234"/>
      <c r="IDD45" s="234"/>
      <c r="IDE45" s="234"/>
      <c r="IDF45" s="234"/>
      <c r="IDG45" s="234"/>
      <c r="IDH45" s="234"/>
      <c r="IDI45" s="234"/>
      <c r="IDJ45" s="234"/>
      <c r="IDK45" s="234"/>
      <c r="IDL45" s="234"/>
      <c r="IDM45" s="234"/>
      <c r="IDN45" s="234"/>
      <c r="IDO45" s="234"/>
      <c r="IDP45" s="234"/>
      <c r="IDQ45" s="234"/>
      <c r="IDR45" s="234"/>
      <c r="IDS45" s="234"/>
      <c r="IDT45" s="234"/>
      <c r="IDU45" s="234"/>
      <c r="IDV45" s="234"/>
      <c r="IDW45" s="234"/>
      <c r="IDX45" s="234"/>
      <c r="IDY45" s="234"/>
      <c r="IDZ45" s="234"/>
      <c r="IEA45" s="234"/>
      <c r="IEB45" s="234"/>
      <c r="IEC45" s="234"/>
      <c r="IED45" s="234"/>
      <c r="IEE45" s="234"/>
      <c r="IEF45" s="234"/>
      <c r="IEG45" s="234"/>
      <c r="IEH45" s="234"/>
      <c r="IEI45" s="234"/>
      <c r="IEJ45" s="234"/>
      <c r="IEK45" s="234"/>
      <c r="IEL45" s="234"/>
      <c r="IEM45" s="234"/>
      <c r="IEN45" s="234"/>
      <c r="IEO45" s="234"/>
      <c r="IEP45" s="234"/>
      <c r="IEQ45" s="234"/>
      <c r="IER45" s="234"/>
      <c r="IES45" s="234"/>
      <c r="IET45" s="234"/>
      <c r="IEU45" s="234"/>
      <c r="IEV45" s="234"/>
      <c r="IEW45" s="234"/>
      <c r="IEX45" s="234"/>
      <c r="IEY45" s="234"/>
      <c r="IEZ45" s="234"/>
      <c r="IFA45" s="234"/>
      <c r="IFB45" s="234"/>
      <c r="IFC45" s="234"/>
      <c r="IFD45" s="234"/>
      <c r="IFE45" s="234"/>
      <c r="IFF45" s="234"/>
      <c r="IFG45" s="234"/>
      <c r="IFH45" s="234"/>
      <c r="IFI45" s="234"/>
      <c r="IFJ45" s="234"/>
      <c r="IFK45" s="234"/>
      <c r="IFL45" s="234"/>
      <c r="IFM45" s="234"/>
      <c r="IFN45" s="234"/>
      <c r="IFO45" s="234"/>
      <c r="IFP45" s="234"/>
      <c r="IFQ45" s="234"/>
      <c r="IFR45" s="234"/>
      <c r="IFS45" s="234"/>
      <c r="IFT45" s="234"/>
      <c r="IFU45" s="234"/>
      <c r="IFV45" s="234"/>
      <c r="IFW45" s="234"/>
      <c r="IFX45" s="234"/>
      <c r="IFY45" s="234"/>
      <c r="IFZ45" s="234"/>
      <c r="IGA45" s="234"/>
      <c r="IGB45" s="234"/>
      <c r="IGC45" s="234"/>
      <c r="IGD45" s="234"/>
      <c r="IGE45" s="234"/>
      <c r="IGF45" s="234"/>
      <c r="IGG45" s="234"/>
      <c r="IGH45" s="234"/>
      <c r="IGI45" s="234"/>
      <c r="IGJ45" s="234"/>
      <c r="IGK45" s="234"/>
      <c r="IGL45" s="234"/>
      <c r="IGM45" s="234"/>
      <c r="IGN45" s="234"/>
      <c r="IGO45" s="234"/>
      <c r="IGP45" s="234"/>
      <c r="IGQ45" s="234"/>
      <c r="IGR45" s="234"/>
      <c r="IGS45" s="234"/>
      <c r="IGT45" s="234"/>
      <c r="IGU45" s="234"/>
      <c r="IGV45" s="234"/>
      <c r="IGW45" s="234"/>
      <c r="IGX45" s="234"/>
      <c r="IGY45" s="234"/>
      <c r="IGZ45" s="234"/>
      <c r="IHA45" s="234"/>
      <c r="IHB45" s="234"/>
      <c r="IHC45" s="234"/>
      <c r="IHD45" s="234"/>
      <c r="IHE45" s="234"/>
      <c r="IHF45" s="234"/>
      <c r="IHG45" s="234"/>
      <c r="IHH45" s="234"/>
      <c r="IHI45" s="234"/>
      <c r="IHJ45" s="234"/>
      <c r="IHK45" s="234"/>
      <c r="IHL45" s="234"/>
      <c r="IHM45" s="234"/>
      <c r="IHN45" s="234"/>
      <c r="IHO45" s="234"/>
      <c r="IHP45" s="234"/>
      <c r="IHQ45" s="234"/>
      <c r="IHR45" s="234"/>
      <c r="IHS45" s="234"/>
      <c r="IHT45" s="234"/>
      <c r="IHU45" s="234"/>
      <c r="IHV45" s="234"/>
      <c r="IHW45" s="234"/>
      <c r="IHX45" s="234"/>
      <c r="IHY45" s="234"/>
      <c r="IHZ45" s="234"/>
      <c r="IIA45" s="234"/>
      <c r="IIB45" s="234"/>
      <c r="IIC45" s="234"/>
      <c r="IID45" s="234"/>
      <c r="IIE45" s="234"/>
      <c r="IIF45" s="234"/>
      <c r="IIG45" s="234"/>
      <c r="IIH45" s="234"/>
      <c r="III45" s="234"/>
      <c r="IIJ45" s="234"/>
      <c r="IIK45" s="234"/>
      <c r="IIL45" s="234"/>
      <c r="IIM45" s="234"/>
      <c r="IIN45" s="234"/>
      <c r="IIO45" s="234"/>
      <c r="IIP45" s="234"/>
      <c r="IIQ45" s="234"/>
      <c r="IIR45" s="234"/>
      <c r="IIS45" s="234"/>
      <c r="IIT45" s="234"/>
      <c r="IIU45" s="234"/>
      <c r="IIV45" s="234"/>
      <c r="IIW45" s="234"/>
      <c r="IIX45" s="234"/>
      <c r="IIY45" s="234"/>
      <c r="IIZ45" s="234"/>
      <c r="IJA45" s="234"/>
      <c r="IJB45" s="234"/>
      <c r="IJC45" s="234"/>
      <c r="IJD45" s="234"/>
      <c r="IJE45" s="234"/>
      <c r="IJF45" s="234"/>
      <c r="IJG45" s="234"/>
      <c r="IJH45" s="234"/>
      <c r="IJI45" s="234"/>
      <c r="IJJ45" s="234"/>
      <c r="IJK45" s="234"/>
      <c r="IJL45" s="234"/>
      <c r="IJM45" s="234"/>
      <c r="IJN45" s="234"/>
      <c r="IJO45" s="234"/>
      <c r="IJP45" s="234"/>
      <c r="IJQ45" s="234"/>
      <c r="IJR45" s="234"/>
      <c r="IJS45" s="234"/>
      <c r="IJT45" s="234"/>
      <c r="IJU45" s="234"/>
      <c r="IJV45" s="234"/>
      <c r="IJW45" s="234"/>
      <c r="IJX45" s="234"/>
      <c r="IJY45" s="234"/>
      <c r="IJZ45" s="234"/>
      <c r="IKA45" s="234"/>
      <c r="IKB45" s="234"/>
      <c r="IKC45" s="234"/>
      <c r="IKD45" s="234"/>
      <c r="IKE45" s="234"/>
      <c r="IKF45" s="234"/>
      <c r="IKG45" s="234"/>
      <c r="IKH45" s="234"/>
      <c r="IKI45" s="234"/>
      <c r="IKJ45" s="234"/>
      <c r="IKK45" s="234"/>
      <c r="IKL45" s="234"/>
      <c r="IKM45" s="234"/>
      <c r="IKN45" s="234"/>
      <c r="IKO45" s="234"/>
      <c r="IKP45" s="234"/>
      <c r="IKQ45" s="234"/>
      <c r="IKR45" s="234"/>
      <c r="IKS45" s="234"/>
      <c r="IKT45" s="234"/>
      <c r="IKU45" s="234"/>
      <c r="IKV45" s="234"/>
      <c r="IKW45" s="234"/>
      <c r="IKX45" s="234"/>
      <c r="IKY45" s="234"/>
      <c r="IKZ45" s="234"/>
      <c r="ILA45" s="234"/>
      <c r="ILB45" s="234"/>
      <c r="ILC45" s="234"/>
      <c r="ILD45" s="234"/>
      <c r="ILE45" s="234"/>
      <c r="ILF45" s="234"/>
      <c r="ILG45" s="234"/>
      <c r="ILH45" s="234"/>
      <c r="ILI45" s="234"/>
      <c r="ILJ45" s="234"/>
      <c r="ILK45" s="234"/>
      <c r="ILL45" s="234"/>
      <c r="ILM45" s="234"/>
      <c r="ILN45" s="234"/>
      <c r="ILO45" s="234"/>
      <c r="ILP45" s="234"/>
      <c r="ILQ45" s="234"/>
      <c r="ILR45" s="234"/>
      <c r="ILS45" s="234"/>
      <c r="ILT45" s="234"/>
      <c r="ILU45" s="234"/>
      <c r="ILV45" s="234"/>
      <c r="ILW45" s="234"/>
      <c r="ILX45" s="234"/>
      <c r="ILY45" s="234"/>
      <c r="ILZ45" s="234"/>
      <c r="IMA45" s="234"/>
      <c r="IMB45" s="234"/>
      <c r="IMC45" s="234"/>
      <c r="IMD45" s="234"/>
      <c r="IME45" s="234"/>
      <c r="IMF45" s="234"/>
      <c r="IMG45" s="234"/>
      <c r="IMH45" s="234"/>
      <c r="IMI45" s="234"/>
      <c r="IMJ45" s="234"/>
      <c r="IMK45" s="234"/>
      <c r="IML45" s="234"/>
      <c r="IMM45" s="234"/>
      <c r="IMN45" s="234"/>
      <c r="IMO45" s="234"/>
      <c r="IMP45" s="234"/>
      <c r="IMQ45" s="234"/>
      <c r="IMR45" s="234"/>
      <c r="IMS45" s="234"/>
      <c r="IMT45" s="234"/>
      <c r="IMU45" s="234"/>
      <c r="IMV45" s="234"/>
      <c r="IMW45" s="234"/>
      <c r="IMX45" s="234"/>
      <c r="IMY45" s="234"/>
      <c r="IMZ45" s="234"/>
      <c r="INA45" s="234"/>
      <c r="INB45" s="234"/>
      <c r="INC45" s="234"/>
      <c r="IND45" s="234"/>
      <c r="INE45" s="234"/>
      <c r="INF45" s="234"/>
      <c r="ING45" s="234"/>
      <c r="INH45" s="234"/>
      <c r="INI45" s="234"/>
      <c r="INJ45" s="234"/>
      <c r="INK45" s="234"/>
      <c r="INL45" s="234"/>
      <c r="INM45" s="234"/>
      <c r="INN45" s="234"/>
      <c r="INO45" s="234"/>
      <c r="INP45" s="234"/>
      <c r="INQ45" s="234"/>
      <c r="INR45" s="234"/>
      <c r="INS45" s="234"/>
      <c r="INT45" s="234"/>
      <c r="INU45" s="234"/>
      <c r="INV45" s="234"/>
      <c r="INW45" s="234"/>
      <c r="INX45" s="234"/>
      <c r="INY45" s="234"/>
      <c r="INZ45" s="234"/>
      <c r="IOA45" s="234"/>
      <c r="IOB45" s="234"/>
      <c r="IOC45" s="234"/>
      <c r="IOD45" s="234"/>
      <c r="IOE45" s="234"/>
      <c r="IOF45" s="234"/>
      <c r="IOG45" s="234"/>
      <c r="IOH45" s="234"/>
      <c r="IOI45" s="234"/>
      <c r="IOJ45" s="234"/>
      <c r="IOK45" s="234"/>
      <c r="IOL45" s="234"/>
      <c r="IOM45" s="234"/>
      <c r="ION45" s="234"/>
      <c r="IOO45" s="234"/>
      <c r="IOP45" s="234"/>
      <c r="IOQ45" s="234"/>
      <c r="IOR45" s="234"/>
      <c r="IOS45" s="234"/>
      <c r="IOT45" s="234"/>
      <c r="IOU45" s="234"/>
      <c r="IOV45" s="234"/>
      <c r="IOW45" s="234"/>
      <c r="IOX45" s="234"/>
      <c r="IOY45" s="234"/>
      <c r="IOZ45" s="234"/>
      <c r="IPA45" s="234"/>
      <c r="IPB45" s="234"/>
      <c r="IPC45" s="234"/>
      <c r="IPD45" s="234"/>
      <c r="IPE45" s="234"/>
      <c r="IPF45" s="234"/>
      <c r="IPG45" s="234"/>
      <c r="IPH45" s="234"/>
      <c r="IPI45" s="234"/>
      <c r="IPJ45" s="234"/>
      <c r="IPK45" s="234"/>
      <c r="IPL45" s="234"/>
      <c r="IPM45" s="234"/>
      <c r="IPN45" s="234"/>
      <c r="IPO45" s="234"/>
      <c r="IPP45" s="234"/>
      <c r="IPQ45" s="234"/>
      <c r="IPR45" s="234"/>
      <c r="IPS45" s="234"/>
      <c r="IPT45" s="234"/>
      <c r="IPU45" s="234"/>
      <c r="IPV45" s="234"/>
      <c r="IPW45" s="234"/>
      <c r="IPX45" s="234"/>
      <c r="IPY45" s="234"/>
      <c r="IPZ45" s="234"/>
      <c r="IQA45" s="234"/>
      <c r="IQB45" s="234"/>
      <c r="IQC45" s="234"/>
      <c r="IQD45" s="234"/>
      <c r="IQE45" s="234"/>
      <c r="IQF45" s="234"/>
      <c r="IQG45" s="234"/>
      <c r="IQH45" s="234"/>
      <c r="IQI45" s="234"/>
      <c r="IQJ45" s="234"/>
      <c r="IQK45" s="234"/>
      <c r="IQL45" s="234"/>
      <c r="IQM45" s="234"/>
      <c r="IQN45" s="234"/>
      <c r="IQO45" s="234"/>
      <c r="IQP45" s="234"/>
      <c r="IQQ45" s="234"/>
      <c r="IQR45" s="234"/>
      <c r="IQS45" s="234"/>
      <c r="IQT45" s="234"/>
      <c r="IQU45" s="234"/>
      <c r="IQV45" s="234"/>
      <c r="IQW45" s="234"/>
      <c r="IQX45" s="234"/>
      <c r="IQY45" s="234"/>
      <c r="IQZ45" s="234"/>
      <c r="IRA45" s="234"/>
      <c r="IRB45" s="234"/>
      <c r="IRC45" s="234"/>
      <c r="IRD45" s="234"/>
      <c r="IRE45" s="234"/>
      <c r="IRF45" s="234"/>
      <c r="IRG45" s="234"/>
      <c r="IRH45" s="234"/>
      <c r="IRI45" s="234"/>
      <c r="IRJ45" s="234"/>
      <c r="IRK45" s="234"/>
      <c r="IRL45" s="234"/>
      <c r="IRM45" s="234"/>
      <c r="IRN45" s="234"/>
      <c r="IRO45" s="234"/>
      <c r="IRP45" s="234"/>
      <c r="IRQ45" s="234"/>
      <c r="IRR45" s="234"/>
      <c r="IRS45" s="234"/>
      <c r="IRT45" s="234"/>
      <c r="IRU45" s="234"/>
      <c r="IRV45" s="234"/>
      <c r="IRW45" s="234"/>
      <c r="IRX45" s="234"/>
      <c r="IRY45" s="234"/>
      <c r="IRZ45" s="234"/>
      <c r="ISA45" s="234"/>
      <c r="ISB45" s="234"/>
      <c r="ISC45" s="234"/>
      <c r="ISD45" s="234"/>
      <c r="ISE45" s="234"/>
      <c r="ISF45" s="234"/>
      <c r="ISG45" s="234"/>
      <c r="ISH45" s="234"/>
      <c r="ISI45" s="234"/>
      <c r="ISJ45" s="234"/>
      <c r="ISK45" s="234"/>
      <c r="ISL45" s="234"/>
      <c r="ISM45" s="234"/>
      <c r="ISN45" s="234"/>
      <c r="ISO45" s="234"/>
      <c r="ISP45" s="234"/>
      <c r="ISQ45" s="234"/>
      <c r="ISR45" s="234"/>
      <c r="ISS45" s="234"/>
      <c r="IST45" s="234"/>
      <c r="ISU45" s="234"/>
      <c r="ISV45" s="234"/>
      <c r="ISW45" s="234"/>
      <c r="ISX45" s="234"/>
      <c r="ISY45" s="234"/>
      <c r="ISZ45" s="234"/>
      <c r="ITA45" s="234"/>
      <c r="ITB45" s="234"/>
      <c r="ITC45" s="234"/>
      <c r="ITD45" s="234"/>
      <c r="ITE45" s="234"/>
      <c r="ITF45" s="234"/>
      <c r="ITG45" s="234"/>
      <c r="ITH45" s="234"/>
      <c r="ITI45" s="234"/>
      <c r="ITJ45" s="234"/>
      <c r="ITK45" s="234"/>
      <c r="ITL45" s="234"/>
      <c r="ITM45" s="234"/>
      <c r="ITN45" s="234"/>
      <c r="ITO45" s="234"/>
      <c r="ITP45" s="234"/>
      <c r="ITQ45" s="234"/>
      <c r="ITR45" s="234"/>
      <c r="ITS45" s="234"/>
      <c r="ITT45" s="234"/>
      <c r="ITU45" s="234"/>
      <c r="ITV45" s="234"/>
      <c r="ITW45" s="234"/>
      <c r="ITX45" s="234"/>
      <c r="ITY45" s="234"/>
      <c r="ITZ45" s="234"/>
      <c r="IUA45" s="234"/>
      <c r="IUB45" s="234"/>
      <c r="IUC45" s="234"/>
      <c r="IUD45" s="234"/>
      <c r="IUE45" s="234"/>
      <c r="IUF45" s="234"/>
      <c r="IUG45" s="234"/>
      <c r="IUH45" s="234"/>
      <c r="IUI45" s="234"/>
      <c r="IUJ45" s="234"/>
      <c r="IUK45" s="234"/>
      <c r="IUL45" s="234"/>
      <c r="IUM45" s="234"/>
      <c r="IUN45" s="234"/>
      <c r="IUO45" s="234"/>
      <c r="IUP45" s="234"/>
      <c r="IUQ45" s="234"/>
      <c r="IUR45" s="234"/>
      <c r="IUS45" s="234"/>
      <c r="IUT45" s="234"/>
      <c r="IUU45" s="234"/>
      <c r="IUV45" s="234"/>
      <c r="IUW45" s="234"/>
      <c r="IUX45" s="234"/>
      <c r="IUY45" s="234"/>
      <c r="IUZ45" s="234"/>
      <c r="IVA45" s="234"/>
      <c r="IVB45" s="234"/>
      <c r="IVC45" s="234"/>
      <c r="IVD45" s="234"/>
      <c r="IVE45" s="234"/>
      <c r="IVF45" s="234"/>
      <c r="IVG45" s="234"/>
      <c r="IVH45" s="234"/>
      <c r="IVI45" s="234"/>
      <c r="IVJ45" s="234"/>
      <c r="IVK45" s="234"/>
      <c r="IVL45" s="234"/>
      <c r="IVM45" s="234"/>
      <c r="IVN45" s="234"/>
      <c r="IVO45" s="234"/>
      <c r="IVP45" s="234"/>
      <c r="IVQ45" s="234"/>
      <c r="IVR45" s="234"/>
      <c r="IVS45" s="234"/>
      <c r="IVT45" s="234"/>
      <c r="IVU45" s="234"/>
      <c r="IVV45" s="234"/>
      <c r="IVW45" s="234"/>
      <c r="IVX45" s="234"/>
      <c r="IVY45" s="234"/>
      <c r="IVZ45" s="234"/>
      <c r="IWA45" s="234"/>
      <c r="IWB45" s="234"/>
      <c r="IWC45" s="234"/>
      <c r="IWD45" s="234"/>
      <c r="IWE45" s="234"/>
      <c r="IWF45" s="234"/>
      <c r="IWG45" s="234"/>
      <c r="IWH45" s="234"/>
      <c r="IWI45" s="234"/>
      <c r="IWJ45" s="234"/>
      <c r="IWK45" s="234"/>
      <c r="IWL45" s="234"/>
      <c r="IWM45" s="234"/>
      <c r="IWN45" s="234"/>
      <c r="IWO45" s="234"/>
      <c r="IWP45" s="234"/>
      <c r="IWQ45" s="234"/>
      <c r="IWR45" s="234"/>
      <c r="IWS45" s="234"/>
      <c r="IWT45" s="234"/>
      <c r="IWU45" s="234"/>
      <c r="IWV45" s="234"/>
      <c r="IWW45" s="234"/>
      <c r="IWX45" s="234"/>
      <c r="IWY45" s="234"/>
      <c r="IWZ45" s="234"/>
      <c r="IXA45" s="234"/>
      <c r="IXB45" s="234"/>
      <c r="IXC45" s="234"/>
      <c r="IXD45" s="234"/>
      <c r="IXE45" s="234"/>
      <c r="IXF45" s="234"/>
      <c r="IXG45" s="234"/>
      <c r="IXH45" s="234"/>
      <c r="IXI45" s="234"/>
      <c r="IXJ45" s="234"/>
      <c r="IXK45" s="234"/>
      <c r="IXL45" s="234"/>
      <c r="IXM45" s="234"/>
      <c r="IXN45" s="234"/>
      <c r="IXO45" s="234"/>
      <c r="IXP45" s="234"/>
      <c r="IXQ45" s="234"/>
      <c r="IXR45" s="234"/>
      <c r="IXS45" s="234"/>
      <c r="IXT45" s="234"/>
      <c r="IXU45" s="234"/>
      <c r="IXV45" s="234"/>
      <c r="IXW45" s="234"/>
      <c r="IXX45" s="234"/>
      <c r="IXY45" s="234"/>
      <c r="IXZ45" s="234"/>
      <c r="IYA45" s="234"/>
      <c r="IYB45" s="234"/>
      <c r="IYC45" s="234"/>
      <c r="IYD45" s="234"/>
      <c r="IYE45" s="234"/>
      <c r="IYF45" s="234"/>
      <c r="IYG45" s="234"/>
      <c r="IYH45" s="234"/>
      <c r="IYI45" s="234"/>
      <c r="IYJ45" s="234"/>
      <c r="IYK45" s="234"/>
      <c r="IYL45" s="234"/>
      <c r="IYM45" s="234"/>
      <c r="IYN45" s="234"/>
      <c r="IYO45" s="234"/>
      <c r="IYP45" s="234"/>
      <c r="IYQ45" s="234"/>
      <c r="IYR45" s="234"/>
      <c r="IYS45" s="234"/>
      <c r="IYT45" s="234"/>
      <c r="IYU45" s="234"/>
      <c r="IYV45" s="234"/>
      <c r="IYW45" s="234"/>
      <c r="IYX45" s="234"/>
      <c r="IYY45" s="234"/>
      <c r="IYZ45" s="234"/>
      <c r="IZA45" s="234"/>
      <c r="IZB45" s="234"/>
      <c r="IZC45" s="234"/>
      <c r="IZD45" s="234"/>
      <c r="IZE45" s="234"/>
      <c r="IZF45" s="234"/>
      <c r="IZG45" s="234"/>
      <c r="IZH45" s="234"/>
      <c r="IZI45" s="234"/>
      <c r="IZJ45" s="234"/>
      <c r="IZK45" s="234"/>
      <c r="IZL45" s="234"/>
      <c r="IZM45" s="234"/>
      <c r="IZN45" s="234"/>
      <c r="IZO45" s="234"/>
      <c r="IZP45" s="234"/>
      <c r="IZQ45" s="234"/>
      <c r="IZR45" s="234"/>
      <c r="IZS45" s="234"/>
      <c r="IZT45" s="234"/>
      <c r="IZU45" s="234"/>
      <c r="IZV45" s="234"/>
      <c r="IZW45" s="234"/>
      <c r="IZX45" s="234"/>
      <c r="IZY45" s="234"/>
      <c r="IZZ45" s="234"/>
      <c r="JAA45" s="234"/>
      <c r="JAB45" s="234"/>
      <c r="JAC45" s="234"/>
      <c r="JAD45" s="234"/>
      <c r="JAE45" s="234"/>
      <c r="JAF45" s="234"/>
      <c r="JAG45" s="234"/>
      <c r="JAH45" s="234"/>
      <c r="JAI45" s="234"/>
      <c r="JAJ45" s="234"/>
      <c r="JAK45" s="234"/>
      <c r="JAL45" s="234"/>
      <c r="JAM45" s="234"/>
      <c r="JAN45" s="234"/>
      <c r="JAO45" s="234"/>
      <c r="JAP45" s="234"/>
      <c r="JAQ45" s="234"/>
      <c r="JAR45" s="234"/>
      <c r="JAS45" s="234"/>
      <c r="JAT45" s="234"/>
      <c r="JAU45" s="234"/>
      <c r="JAV45" s="234"/>
      <c r="JAW45" s="234"/>
      <c r="JAX45" s="234"/>
      <c r="JAY45" s="234"/>
      <c r="JAZ45" s="234"/>
      <c r="JBA45" s="234"/>
      <c r="JBB45" s="234"/>
      <c r="JBC45" s="234"/>
      <c r="JBD45" s="234"/>
      <c r="JBE45" s="234"/>
      <c r="JBF45" s="234"/>
      <c r="JBG45" s="234"/>
      <c r="JBH45" s="234"/>
      <c r="JBI45" s="234"/>
      <c r="JBJ45" s="234"/>
      <c r="JBK45" s="234"/>
      <c r="JBL45" s="234"/>
      <c r="JBM45" s="234"/>
      <c r="JBN45" s="234"/>
      <c r="JBO45" s="234"/>
      <c r="JBP45" s="234"/>
      <c r="JBQ45" s="234"/>
      <c r="JBR45" s="234"/>
      <c r="JBS45" s="234"/>
      <c r="JBT45" s="234"/>
      <c r="JBU45" s="234"/>
      <c r="JBV45" s="234"/>
      <c r="JBW45" s="234"/>
      <c r="JBX45" s="234"/>
      <c r="JBY45" s="234"/>
      <c r="JBZ45" s="234"/>
      <c r="JCA45" s="234"/>
      <c r="JCB45" s="234"/>
      <c r="JCC45" s="234"/>
      <c r="JCD45" s="234"/>
      <c r="JCE45" s="234"/>
      <c r="JCF45" s="234"/>
      <c r="JCG45" s="234"/>
      <c r="JCH45" s="234"/>
      <c r="JCI45" s="234"/>
      <c r="JCJ45" s="234"/>
      <c r="JCK45" s="234"/>
      <c r="JCL45" s="234"/>
      <c r="JCM45" s="234"/>
      <c r="JCN45" s="234"/>
      <c r="JCO45" s="234"/>
      <c r="JCP45" s="234"/>
      <c r="JCQ45" s="234"/>
      <c r="JCR45" s="234"/>
      <c r="JCS45" s="234"/>
      <c r="JCT45" s="234"/>
      <c r="JCU45" s="234"/>
      <c r="JCV45" s="234"/>
      <c r="JCW45" s="234"/>
      <c r="JCX45" s="234"/>
      <c r="JCY45" s="234"/>
      <c r="JCZ45" s="234"/>
      <c r="JDA45" s="234"/>
      <c r="JDB45" s="234"/>
      <c r="JDC45" s="234"/>
      <c r="JDD45" s="234"/>
      <c r="JDE45" s="234"/>
      <c r="JDF45" s="234"/>
      <c r="JDG45" s="234"/>
      <c r="JDH45" s="234"/>
      <c r="JDI45" s="234"/>
      <c r="JDJ45" s="234"/>
      <c r="JDK45" s="234"/>
      <c r="JDL45" s="234"/>
      <c r="JDM45" s="234"/>
      <c r="JDN45" s="234"/>
      <c r="JDO45" s="234"/>
      <c r="JDP45" s="234"/>
      <c r="JDQ45" s="234"/>
      <c r="JDR45" s="234"/>
      <c r="JDS45" s="234"/>
      <c r="JDT45" s="234"/>
      <c r="JDU45" s="234"/>
      <c r="JDV45" s="234"/>
      <c r="JDW45" s="234"/>
      <c r="JDX45" s="234"/>
      <c r="JDY45" s="234"/>
      <c r="JDZ45" s="234"/>
      <c r="JEA45" s="234"/>
      <c r="JEB45" s="234"/>
      <c r="JEC45" s="234"/>
      <c r="JED45" s="234"/>
      <c r="JEE45" s="234"/>
      <c r="JEF45" s="234"/>
      <c r="JEG45" s="234"/>
      <c r="JEH45" s="234"/>
      <c r="JEI45" s="234"/>
      <c r="JEJ45" s="234"/>
      <c r="JEK45" s="234"/>
      <c r="JEL45" s="234"/>
      <c r="JEM45" s="234"/>
      <c r="JEN45" s="234"/>
      <c r="JEO45" s="234"/>
      <c r="JEP45" s="234"/>
      <c r="JEQ45" s="234"/>
      <c r="JER45" s="234"/>
      <c r="JES45" s="234"/>
      <c r="JET45" s="234"/>
      <c r="JEU45" s="234"/>
      <c r="JEV45" s="234"/>
      <c r="JEW45" s="234"/>
      <c r="JEX45" s="234"/>
      <c r="JEY45" s="234"/>
      <c r="JEZ45" s="234"/>
      <c r="JFA45" s="234"/>
      <c r="JFB45" s="234"/>
      <c r="JFC45" s="234"/>
      <c r="JFD45" s="234"/>
      <c r="JFE45" s="234"/>
      <c r="JFF45" s="234"/>
      <c r="JFG45" s="234"/>
      <c r="JFH45" s="234"/>
      <c r="JFI45" s="234"/>
      <c r="JFJ45" s="234"/>
      <c r="JFK45" s="234"/>
      <c r="JFL45" s="234"/>
      <c r="JFM45" s="234"/>
      <c r="JFN45" s="234"/>
      <c r="JFO45" s="234"/>
      <c r="JFP45" s="234"/>
      <c r="JFQ45" s="234"/>
      <c r="JFR45" s="234"/>
      <c r="JFS45" s="234"/>
      <c r="JFT45" s="234"/>
      <c r="JFU45" s="234"/>
      <c r="JFV45" s="234"/>
      <c r="JFW45" s="234"/>
      <c r="JFX45" s="234"/>
      <c r="JFY45" s="234"/>
      <c r="JFZ45" s="234"/>
      <c r="JGA45" s="234"/>
      <c r="JGB45" s="234"/>
      <c r="JGC45" s="234"/>
      <c r="JGD45" s="234"/>
      <c r="JGE45" s="234"/>
      <c r="JGF45" s="234"/>
      <c r="JGG45" s="234"/>
      <c r="JGH45" s="234"/>
      <c r="JGI45" s="234"/>
      <c r="JGJ45" s="234"/>
      <c r="JGK45" s="234"/>
      <c r="JGL45" s="234"/>
      <c r="JGM45" s="234"/>
      <c r="JGN45" s="234"/>
      <c r="JGO45" s="234"/>
      <c r="JGP45" s="234"/>
      <c r="JGQ45" s="234"/>
      <c r="JGR45" s="234"/>
      <c r="JGS45" s="234"/>
      <c r="JGT45" s="234"/>
      <c r="JGU45" s="234"/>
      <c r="JGV45" s="234"/>
      <c r="JGW45" s="234"/>
      <c r="JGX45" s="234"/>
      <c r="JGY45" s="234"/>
      <c r="JGZ45" s="234"/>
      <c r="JHA45" s="234"/>
      <c r="JHB45" s="234"/>
      <c r="JHC45" s="234"/>
      <c r="JHD45" s="234"/>
      <c r="JHE45" s="234"/>
      <c r="JHF45" s="234"/>
      <c r="JHG45" s="234"/>
      <c r="JHH45" s="234"/>
      <c r="JHI45" s="234"/>
      <c r="JHJ45" s="234"/>
      <c r="JHK45" s="234"/>
      <c r="JHL45" s="234"/>
      <c r="JHM45" s="234"/>
      <c r="JHN45" s="234"/>
      <c r="JHO45" s="234"/>
      <c r="JHP45" s="234"/>
      <c r="JHQ45" s="234"/>
      <c r="JHR45" s="234"/>
      <c r="JHS45" s="234"/>
      <c r="JHT45" s="234"/>
      <c r="JHU45" s="234"/>
      <c r="JHV45" s="234"/>
      <c r="JHW45" s="234"/>
      <c r="JHX45" s="234"/>
      <c r="JHY45" s="234"/>
      <c r="JHZ45" s="234"/>
      <c r="JIA45" s="234"/>
      <c r="JIB45" s="234"/>
      <c r="JIC45" s="234"/>
      <c r="JID45" s="234"/>
      <c r="JIE45" s="234"/>
      <c r="JIF45" s="234"/>
      <c r="JIG45" s="234"/>
      <c r="JIH45" s="234"/>
      <c r="JII45" s="234"/>
      <c r="JIJ45" s="234"/>
      <c r="JIK45" s="234"/>
      <c r="JIL45" s="234"/>
      <c r="JIM45" s="234"/>
      <c r="JIN45" s="234"/>
      <c r="JIO45" s="234"/>
      <c r="JIP45" s="234"/>
      <c r="JIQ45" s="234"/>
      <c r="JIR45" s="234"/>
      <c r="JIS45" s="234"/>
      <c r="JIT45" s="234"/>
      <c r="JIU45" s="234"/>
      <c r="JIV45" s="234"/>
      <c r="JIW45" s="234"/>
      <c r="JIX45" s="234"/>
      <c r="JIY45" s="234"/>
      <c r="JIZ45" s="234"/>
      <c r="JJA45" s="234"/>
      <c r="JJB45" s="234"/>
      <c r="JJC45" s="234"/>
      <c r="JJD45" s="234"/>
      <c r="JJE45" s="234"/>
      <c r="JJF45" s="234"/>
      <c r="JJG45" s="234"/>
      <c r="JJH45" s="234"/>
      <c r="JJI45" s="234"/>
      <c r="JJJ45" s="234"/>
      <c r="JJK45" s="234"/>
      <c r="JJL45" s="234"/>
      <c r="JJM45" s="234"/>
      <c r="JJN45" s="234"/>
      <c r="JJO45" s="234"/>
      <c r="JJP45" s="234"/>
      <c r="JJQ45" s="234"/>
      <c r="JJR45" s="234"/>
      <c r="JJS45" s="234"/>
      <c r="JJT45" s="234"/>
      <c r="JJU45" s="234"/>
      <c r="JJV45" s="234"/>
      <c r="JJW45" s="234"/>
      <c r="JJX45" s="234"/>
      <c r="JJY45" s="234"/>
      <c r="JJZ45" s="234"/>
      <c r="JKA45" s="234"/>
      <c r="JKB45" s="234"/>
      <c r="JKC45" s="234"/>
      <c r="JKD45" s="234"/>
      <c r="JKE45" s="234"/>
      <c r="JKF45" s="234"/>
      <c r="JKG45" s="234"/>
      <c r="JKH45" s="234"/>
      <c r="JKI45" s="234"/>
      <c r="JKJ45" s="234"/>
      <c r="JKK45" s="234"/>
      <c r="JKL45" s="234"/>
      <c r="JKM45" s="234"/>
      <c r="JKN45" s="234"/>
      <c r="JKO45" s="234"/>
      <c r="JKP45" s="234"/>
      <c r="JKQ45" s="234"/>
      <c r="JKR45" s="234"/>
      <c r="JKS45" s="234"/>
      <c r="JKT45" s="234"/>
      <c r="JKU45" s="234"/>
      <c r="JKV45" s="234"/>
      <c r="JKW45" s="234"/>
      <c r="JKX45" s="234"/>
      <c r="JKY45" s="234"/>
      <c r="JKZ45" s="234"/>
      <c r="JLA45" s="234"/>
      <c r="JLB45" s="234"/>
      <c r="JLC45" s="234"/>
      <c r="JLD45" s="234"/>
      <c r="JLE45" s="234"/>
      <c r="JLF45" s="234"/>
      <c r="JLG45" s="234"/>
      <c r="JLH45" s="234"/>
      <c r="JLI45" s="234"/>
      <c r="JLJ45" s="234"/>
      <c r="JLK45" s="234"/>
      <c r="JLL45" s="234"/>
      <c r="JLM45" s="234"/>
      <c r="JLN45" s="234"/>
      <c r="JLO45" s="234"/>
      <c r="JLP45" s="234"/>
      <c r="JLQ45" s="234"/>
      <c r="JLR45" s="234"/>
      <c r="JLS45" s="234"/>
      <c r="JLT45" s="234"/>
      <c r="JLU45" s="234"/>
      <c r="JLV45" s="234"/>
      <c r="JLW45" s="234"/>
      <c r="JLX45" s="234"/>
      <c r="JLY45" s="234"/>
      <c r="JLZ45" s="234"/>
      <c r="JMA45" s="234"/>
      <c r="JMB45" s="234"/>
      <c r="JMC45" s="234"/>
      <c r="JMD45" s="234"/>
      <c r="JME45" s="234"/>
      <c r="JMF45" s="234"/>
      <c r="JMG45" s="234"/>
      <c r="JMH45" s="234"/>
      <c r="JMI45" s="234"/>
      <c r="JMJ45" s="234"/>
      <c r="JMK45" s="234"/>
      <c r="JML45" s="234"/>
      <c r="JMM45" s="234"/>
      <c r="JMN45" s="234"/>
      <c r="JMO45" s="234"/>
      <c r="JMP45" s="234"/>
      <c r="JMQ45" s="234"/>
      <c r="JMR45" s="234"/>
      <c r="JMS45" s="234"/>
      <c r="JMT45" s="234"/>
      <c r="JMU45" s="234"/>
      <c r="JMV45" s="234"/>
      <c r="JMW45" s="234"/>
      <c r="JMX45" s="234"/>
      <c r="JMY45" s="234"/>
      <c r="JMZ45" s="234"/>
      <c r="JNA45" s="234"/>
      <c r="JNB45" s="234"/>
      <c r="JNC45" s="234"/>
      <c r="JND45" s="234"/>
      <c r="JNE45" s="234"/>
      <c r="JNF45" s="234"/>
      <c r="JNG45" s="234"/>
      <c r="JNH45" s="234"/>
      <c r="JNI45" s="234"/>
      <c r="JNJ45" s="234"/>
      <c r="JNK45" s="234"/>
      <c r="JNL45" s="234"/>
      <c r="JNM45" s="234"/>
      <c r="JNN45" s="234"/>
      <c r="JNO45" s="234"/>
      <c r="JNP45" s="234"/>
      <c r="JNQ45" s="234"/>
      <c r="JNR45" s="234"/>
      <c r="JNS45" s="234"/>
      <c r="JNT45" s="234"/>
      <c r="JNU45" s="234"/>
      <c r="JNV45" s="234"/>
      <c r="JNW45" s="234"/>
      <c r="JNX45" s="234"/>
      <c r="JNY45" s="234"/>
      <c r="JNZ45" s="234"/>
      <c r="JOA45" s="234"/>
      <c r="JOB45" s="234"/>
      <c r="JOC45" s="234"/>
      <c r="JOD45" s="234"/>
      <c r="JOE45" s="234"/>
      <c r="JOF45" s="234"/>
      <c r="JOG45" s="234"/>
      <c r="JOH45" s="234"/>
      <c r="JOI45" s="234"/>
      <c r="JOJ45" s="234"/>
      <c r="JOK45" s="234"/>
      <c r="JOL45" s="234"/>
      <c r="JOM45" s="234"/>
      <c r="JON45" s="234"/>
      <c r="JOO45" s="234"/>
      <c r="JOP45" s="234"/>
      <c r="JOQ45" s="234"/>
      <c r="JOR45" s="234"/>
      <c r="JOS45" s="234"/>
      <c r="JOT45" s="234"/>
      <c r="JOU45" s="234"/>
      <c r="JOV45" s="234"/>
      <c r="JOW45" s="234"/>
      <c r="JOX45" s="234"/>
      <c r="JOY45" s="234"/>
      <c r="JOZ45" s="234"/>
      <c r="JPA45" s="234"/>
      <c r="JPB45" s="234"/>
      <c r="JPC45" s="234"/>
      <c r="JPD45" s="234"/>
      <c r="JPE45" s="234"/>
      <c r="JPF45" s="234"/>
      <c r="JPG45" s="234"/>
      <c r="JPH45" s="234"/>
      <c r="JPI45" s="234"/>
      <c r="JPJ45" s="234"/>
      <c r="JPK45" s="234"/>
      <c r="JPL45" s="234"/>
      <c r="JPM45" s="234"/>
      <c r="JPN45" s="234"/>
      <c r="JPO45" s="234"/>
      <c r="JPP45" s="234"/>
      <c r="JPQ45" s="234"/>
      <c r="JPR45" s="234"/>
      <c r="JPS45" s="234"/>
      <c r="JPT45" s="234"/>
      <c r="JPU45" s="234"/>
      <c r="JPV45" s="234"/>
      <c r="JPW45" s="234"/>
      <c r="JPX45" s="234"/>
      <c r="JPY45" s="234"/>
      <c r="JPZ45" s="234"/>
      <c r="JQA45" s="234"/>
      <c r="JQB45" s="234"/>
      <c r="JQC45" s="234"/>
      <c r="JQD45" s="234"/>
      <c r="JQE45" s="234"/>
      <c r="JQF45" s="234"/>
      <c r="JQG45" s="234"/>
      <c r="JQH45" s="234"/>
      <c r="JQI45" s="234"/>
      <c r="JQJ45" s="234"/>
      <c r="JQK45" s="234"/>
      <c r="JQL45" s="234"/>
      <c r="JQM45" s="234"/>
      <c r="JQN45" s="234"/>
      <c r="JQO45" s="234"/>
      <c r="JQP45" s="234"/>
      <c r="JQQ45" s="234"/>
      <c r="JQR45" s="234"/>
      <c r="JQS45" s="234"/>
      <c r="JQT45" s="234"/>
      <c r="JQU45" s="234"/>
      <c r="JQV45" s="234"/>
      <c r="JQW45" s="234"/>
      <c r="JQX45" s="234"/>
      <c r="JQY45" s="234"/>
      <c r="JQZ45" s="234"/>
      <c r="JRA45" s="234"/>
      <c r="JRB45" s="234"/>
      <c r="JRC45" s="234"/>
      <c r="JRD45" s="234"/>
      <c r="JRE45" s="234"/>
      <c r="JRF45" s="234"/>
      <c r="JRG45" s="234"/>
      <c r="JRH45" s="234"/>
      <c r="JRI45" s="234"/>
      <c r="JRJ45" s="234"/>
      <c r="JRK45" s="234"/>
      <c r="JRL45" s="234"/>
      <c r="JRM45" s="234"/>
      <c r="JRN45" s="234"/>
      <c r="JRO45" s="234"/>
      <c r="JRP45" s="234"/>
      <c r="JRQ45" s="234"/>
      <c r="JRR45" s="234"/>
      <c r="JRS45" s="234"/>
      <c r="JRT45" s="234"/>
      <c r="JRU45" s="234"/>
      <c r="JRV45" s="234"/>
      <c r="JRW45" s="234"/>
      <c r="JRX45" s="234"/>
      <c r="JRY45" s="234"/>
      <c r="JRZ45" s="234"/>
      <c r="JSA45" s="234"/>
      <c r="JSB45" s="234"/>
      <c r="JSC45" s="234"/>
      <c r="JSD45" s="234"/>
      <c r="JSE45" s="234"/>
      <c r="JSF45" s="234"/>
      <c r="JSG45" s="234"/>
      <c r="JSH45" s="234"/>
      <c r="JSI45" s="234"/>
      <c r="JSJ45" s="234"/>
      <c r="JSK45" s="234"/>
      <c r="JSL45" s="234"/>
      <c r="JSM45" s="234"/>
      <c r="JSN45" s="234"/>
      <c r="JSO45" s="234"/>
      <c r="JSP45" s="234"/>
      <c r="JSQ45" s="234"/>
      <c r="JSR45" s="234"/>
      <c r="JSS45" s="234"/>
      <c r="JST45" s="234"/>
      <c r="JSU45" s="234"/>
      <c r="JSV45" s="234"/>
      <c r="JSW45" s="234"/>
      <c r="JSX45" s="234"/>
      <c r="JSY45" s="234"/>
      <c r="JSZ45" s="234"/>
      <c r="JTA45" s="234"/>
      <c r="JTB45" s="234"/>
      <c r="JTC45" s="234"/>
      <c r="JTD45" s="234"/>
      <c r="JTE45" s="234"/>
      <c r="JTF45" s="234"/>
      <c r="JTG45" s="234"/>
      <c r="JTH45" s="234"/>
      <c r="JTI45" s="234"/>
      <c r="JTJ45" s="234"/>
      <c r="JTK45" s="234"/>
      <c r="JTL45" s="234"/>
      <c r="JTM45" s="234"/>
      <c r="JTN45" s="234"/>
      <c r="JTO45" s="234"/>
      <c r="JTP45" s="234"/>
      <c r="JTQ45" s="234"/>
      <c r="JTR45" s="234"/>
      <c r="JTS45" s="234"/>
      <c r="JTT45" s="234"/>
      <c r="JTU45" s="234"/>
      <c r="JTV45" s="234"/>
      <c r="JTW45" s="234"/>
      <c r="JTX45" s="234"/>
      <c r="JTY45" s="234"/>
      <c r="JTZ45" s="234"/>
      <c r="JUA45" s="234"/>
      <c r="JUB45" s="234"/>
      <c r="JUC45" s="234"/>
      <c r="JUD45" s="234"/>
      <c r="JUE45" s="234"/>
      <c r="JUF45" s="234"/>
      <c r="JUG45" s="234"/>
      <c r="JUH45" s="234"/>
      <c r="JUI45" s="234"/>
      <c r="JUJ45" s="234"/>
      <c r="JUK45" s="234"/>
      <c r="JUL45" s="234"/>
      <c r="JUM45" s="234"/>
      <c r="JUN45" s="234"/>
      <c r="JUO45" s="234"/>
      <c r="JUP45" s="234"/>
      <c r="JUQ45" s="234"/>
      <c r="JUR45" s="234"/>
      <c r="JUS45" s="234"/>
      <c r="JUT45" s="234"/>
      <c r="JUU45" s="234"/>
      <c r="JUV45" s="234"/>
      <c r="JUW45" s="234"/>
      <c r="JUX45" s="234"/>
      <c r="JUY45" s="234"/>
      <c r="JUZ45" s="234"/>
      <c r="JVA45" s="234"/>
      <c r="JVB45" s="234"/>
      <c r="JVC45" s="234"/>
      <c r="JVD45" s="234"/>
      <c r="JVE45" s="234"/>
      <c r="JVF45" s="234"/>
      <c r="JVG45" s="234"/>
      <c r="JVH45" s="234"/>
      <c r="JVI45" s="234"/>
      <c r="JVJ45" s="234"/>
      <c r="JVK45" s="234"/>
      <c r="JVL45" s="234"/>
      <c r="JVM45" s="234"/>
      <c r="JVN45" s="234"/>
      <c r="JVO45" s="234"/>
      <c r="JVP45" s="234"/>
      <c r="JVQ45" s="234"/>
      <c r="JVR45" s="234"/>
      <c r="JVS45" s="234"/>
      <c r="JVT45" s="234"/>
      <c r="JVU45" s="234"/>
      <c r="JVV45" s="234"/>
      <c r="JVW45" s="234"/>
      <c r="JVX45" s="234"/>
      <c r="JVY45" s="234"/>
      <c r="JVZ45" s="234"/>
      <c r="JWA45" s="234"/>
      <c r="JWB45" s="234"/>
      <c r="JWC45" s="234"/>
      <c r="JWD45" s="234"/>
      <c r="JWE45" s="234"/>
      <c r="JWF45" s="234"/>
      <c r="JWG45" s="234"/>
      <c r="JWH45" s="234"/>
      <c r="JWI45" s="234"/>
      <c r="JWJ45" s="234"/>
      <c r="JWK45" s="234"/>
      <c r="JWL45" s="234"/>
      <c r="JWM45" s="234"/>
      <c r="JWN45" s="234"/>
      <c r="JWO45" s="234"/>
      <c r="JWP45" s="234"/>
      <c r="JWQ45" s="234"/>
      <c r="JWR45" s="234"/>
      <c r="JWS45" s="234"/>
      <c r="JWT45" s="234"/>
      <c r="JWU45" s="234"/>
      <c r="JWV45" s="234"/>
      <c r="JWW45" s="234"/>
      <c r="JWX45" s="234"/>
      <c r="JWY45" s="234"/>
      <c r="JWZ45" s="234"/>
      <c r="JXA45" s="234"/>
      <c r="JXB45" s="234"/>
      <c r="JXC45" s="234"/>
      <c r="JXD45" s="234"/>
      <c r="JXE45" s="234"/>
      <c r="JXF45" s="234"/>
      <c r="JXG45" s="234"/>
      <c r="JXH45" s="234"/>
      <c r="JXI45" s="234"/>
      <c r="JXJ45" s="234"/>
      <c r="JXK45" s="234"/>
      <c r="JXL45" s="234"/>
      <c r="JXM45" s="234"/>
      <c r="JXN45" s="234"/>
      <c r="JXO45" s="234"/>
      <c r="JXP45" s="234"/>
      <c r="JXQ45" s="234"/>
      <c r="JXR45" s="234"/>
      <c r="JXS45" s="234"/>
      <c r="JXT45" s="234"/>
      <c r="JXU45" s="234"/>
      <c r="JXV45" s="234"/>
      <c r="JXW45" s="234"/>
      <c r="JXX45" s="234"/>
      <c r="JXY45" s="234"/>
      <c r="JXZ45" s="234"/>
      <c r="JYA45" s="234"/>
      <c r="JYB45" s="234"/>
      <c r="JYC45" s="234"/>
      <c r="JYD45" s="234"/>
      <c r="JYE45" s="234"/>
      <c r="JYF45" s="234"/>
      <c r="JYG45" s="234"/>
      <c r="JYH45" s="234"/>
      <c r="JYI45" s="234"/>
      <c r="JYJ45" s="234"/>
      <c r="JYK45" s="234"/>
      <c r="JYL45" s="234"/>
      <c r="JYM45" s="234"/>
      <c r="JYN45" s="234"/>
      <c r="JYO45" s="234"/>
      <c r="JYP45" s="234"/>
      <c r="JYQ45" s="234"/>
      <c r="JYR45" s="234"/>
      <c r="JYS45" s="234"/>
      <c r="JYT45" s="234"/>
      <c r="JYU45" s="234"/>
      <c r="JYV45" s="234"/>
      <c r="JYW45" s="234"/>
      <c r="JYX45" s="234"/>
      <c r="JYY45" s="234"/>
      <c r="JYZ45" s="234"/>
      <c r="JZA45" s="234"/>
      <c r="JZB45" s="234"/>
      <c r="JZC45" s="234"/>
      <c r="JZD45" s="234"/>
      <c r="JZE45" s="234"/>
      <c r="JZF45" s="234"/>
      <c r="JZG45" s="234"/>
      <c r="JZH45" s="234"/>
      <c r="JZI45" s="234"/>
      <c r="JZJ45" s="234"/>
      <c r="JZK45" s="234"/>
      <c r="JZL45" s="234"/>
      <c r="JZM45" s="234"/>
      <c r="JZN45" s="234"/>
      <c r="JZO45" s="234"/>
      <c r="JZP45" s="234"/>
      <c r="JZQ45" s="234"/>
      <c r="JZR45" s="234"/>
      <c r="JZS45" s="234"/>
      <c r="JZT45" s="234"/>
      <c r="JZU45" s="234"/>
      <c r="JZV45" s="234"/>
      <c r="JZW45" s="234"/>
      <c r="JZX45" s="234"/>
      <c r="JZY45" s="234"/>
      <c r="JZZ45" s="234"/>
      <c r="KAA45" s="234"/>
      <c r="KAB45" s="234"/>
      <c r="KAC45" s="234"/>
      <c r="KAD45" s="234"/>
      <c r="KAE45" s="234"/>
      <c r="KAF45" s="234"/>
      <c r="KAG45" s="234"/>
      <c r="KAH45" s="234"/>
      <c r="KAI45" s="234"/>
      <c r="KAJ45" s="234"/>
      <c r="KAK45" s="234"/>
      <c r="KAL45" s="234"/>
      <c r="KAM45" s="234"/>
      <c r="KAN45" s="234"/>
      <c r="KAO45" s="234"/>
      <c r="KAP45" s="234"/>
      <c r="KAQ45" s="234"/>
      <c r="KAR45" s="234"/>
      <c r="KAS45" s="234"/>
      <c r="KAT45" s="234"/>
      <c r="KAU45" s="234"/>
      <c r="KAV45" s="234"/>
      <c r="KAW45" s="234"/>
      <c r="KAX45" s="234"/>
      <c r="KAY45" s="234"/>
      <c r="KAZ45" s="234"/>
      <c r="KBA45" s="234"/>
      <c r="KBB45" s="234"/>
      <c r="KBC45" s="234"/>
      <c r="KBD45" s="234"/>
      <c r="KBE45" s="234"/>
      <c r="KBF45" s="234"/>
      <c r="KBG45" s="234"/>
      <c r="KBH45" s="234"/>
      <c r="KBI45" s="234"/>
      <c r="KBJ45" s="234"/>
      <c r="KBK45" s="234"/>
      <c r="KBL45" s="234"/>
      <c r="KBM45" s="234"/>
      <c r="KBN45" s="234"/>
      <c r="KBO45" s="234"/>
      <c r="KBP45" s="234"/>
      <c r="KBQ45" s="234"/>
      <c r="KBR45" s="234"/>
      <c r="KBS45" s="234"/>
      <c r="KBT45" s="234"/>
      <c r="KBU45" s="234"/>
      <c r="KBV45" s="234"/>
      <c r="KBW45" s="234"/>
      <c r="KBX45" s="234"/>
      <c r="KBY45" s="234"/>
      <c r="KBZ45" s="234"/>
      <c r="KCA45" s="234"/>
      <c r="KCB45" s="234"/>
      <c r="KCC45" s="234"/>
      <c r="KCD45" s="234"/>
      <c r="KCE45" s="234"/>
      <c r="KCF45" s="234"/>
      <c r="KCG45" s="234"/>
      <c r="KCH45" s="234"/>
      <c r="KCI45" s="234"/>
      <c r="KCJ45" s="234"/>
      <c r="KCK45" s="234"/>
      <c r="KCL45" s="234"/>
      <c r="KCM45" s="234"/>
      <c r="KCN45" s="234"/>
      <c r="KCO45" s="234"/>
      <c r="KCP45" s="234"/>
      <c r="KCQ45" s="234"/>
      <c r="KCR45" s="234"/>
      <c r="KCS45" s="234"/>
      <c r="KCT45" s="234"/>
      <c r="KCU45" s="234"/>
      <c r="KCV45" s="234"/>
      <c r="KCW45" s="234"/>
      <c r="KCX45" s="234"/>
      <c r="KCY45" s="234"/>
      <c r="KCZ45" s="234"/>
      <c r="KDA45" s="234"/>
      <c r="KDB45" s="234"/>
      <c r="KDC45" s="234"/>
      <c r="KDD45" s="234"/>
      <c r="KDE45" s="234"/>
      <c r="KDF45" s="234"/>
      <c r="KDG45" s="234"/>
      <c r="KDH45" s="234"/>
      <c r="KDI45" s="234"/>
      <c r="KDJ45" s="234"/>
      <c r="KDK45" s="234"/>
      <c r="KDL45" s="234"/>
      <c r="KDM45" s="234"/>
      <c r="KDN45" s="234"/>
      <c r="KDO45" s="234"/>
      <c r="KDP45" s="234"/>
      <c r="KDQ45" s="234"/>
      <c r="KDR45" s="234"/>
      <c r="KDS45" s="234"/>
      <c r="KDT45" s="234"/>
      <c r="KDU45" s="234"/>
      <c r="KDV45" s="234"/>
      <c r="KDW45" s="234"/>
      <c r="KDX45" s="234"/>
      <c r="KDY45" s="234"/>
      <c r="KDZ45" s="234"/>
      <c r="KEA45" s="234"/>
      <c r="KEB45" s="234"/>
      <c r="KEC45" s="234"/>
      <c r="KED45" s="234"/>
      <c r="KEE45" s="234"/>
      <c r="KEF45" s="234"/>
      <c r="KEG45" s="234"/>
      <c r="KEH45" s="234"/>
      <c r="KEI45" s="234"/>
      <c r="KEJ45" s="234"/>
      <c r="KEK45" s="234"/>
      <c r="KEL45" s="234"/>
      <c r="KEM45" s="234"/>
      <c r="KEN45" s="234"/>
      <c r="KEO45" s="234"/>
      <c r="KEP45" s="234"/>
      <c r="KEQ45" s="234"/>
      <c r="KER45" s="234"/>
      <c r="KES45" s="234"/>
      <c r="KET45" s="234"/>
      <c r="KEU45" s="234"/>
      <c r="KEV45" s="234"/>
      <c r="KEW45" s="234"/>
      <c r="KEX45" s="234"/>
      <c r="KEY45" s="234"/>
      <c r="KEZ45" s="234"/>
      <c r="KFA45" s="234"/>
      <c r="KFB45" s="234"/>
      <c r="KFC45" s="234"/>
      <c r="KFD45" s="234"/>
      <c r="KFE45" s="234"/>
      <c r="KFF45" s="234"/>
      <c r="KFG45" s="234"/>
      <c r="KFH45" s="234"/>
      <c r="KFI45" s="234"/>
      <c r="KFJ45" s="234"/>
      <c r="KFK45" s="234"/>
      <c r="KFL45" s="234"/>
      <c r="KFM45" s="234"/>
      <c r="KFN45" s="234"/>
      <c r="KFO45" s="234"/>
      <c r="KFP45" s="234"/>
      <c r="KFQ45" s="234"/>
      <c r="KFR45" s="234"/>
      <c r="KFS45" s="234"/>
      <c r="KFT45" s="234"/>
      <c r="KFU45" s="234"/>
      <c r="KFV45" s="234"/>
      <c r="KFW45" s="234"/>
      <c r="KFX45" s="234"/>
      <c r="KFY45" s="234"/>
      <c r="KFZ45" s="234"/>
      <c r="KGA45" s="234"/>
      <c r="KGB45" s="234"/>
      <c r="KGC45" s="234"/>
      <c r="KGD45" s="234"/>
      <c r="KGE45" s="234"/>
      <c r="KGF45" s="234"/>
      <c r="KGG45" s="234"/>
      <c r="KGH45" s="234"/>
      <c r="KGI45" s="234"/>
      <c r="KGJ45" s="234"/>
      <c r="KGK45" s="234"/>
      <c r="KGL45" s="234"/>
      <c r="KGM45" s="234"/>
      <c r="KGN45" s="234"/>
      <c r="KGO45" s="234"/>
      <c r="KGP45" s="234"/>
      <c r="KGQ45" s="234"/>
      <c r="KGR45" s="234"/>
      <c r="KGS45" s="234"/>
      <c r="KGT45" s="234"/>
      <c r="KGU45" s="234"/>
      <c r="KGV45" s="234"/>
      <c r="KGW45" s="234"/>
      <c r="KGX45" s="234"/>
      <c r="KGY45" s="234"/>
      <c r="KGZ45" s="234"/>
      <c r="KHA45" s="234"/>
      <c r="KHB45" s="234"/>
      <c r="KHC45" s="234"/>
      <c r="KHD45" s="234"/>
      <c r="KHE45" s="234"/>
      <c r="KHF45" s="234"/>
      <c r="KHG45" s="234"/>
      <c r="KHH45" s="234"/>
      <c r="KHI45" s="234"/>
      <c r="KHJ45" s="234"/>
      <c r="KHK45" s="234"/>
      <c r="KHL45" s="234"/>
      <c r="KHM45" s="234"/>
      <c r="KHN45" s="234"/>
      <c r="KHO45" s="234"/>
      <c r="KHP45" s="234"/>
      <c r="KHQ45" s="234"/>
      <c r="KHR45" s="234"/>
      <c r="KHS45" s="234"/>
      <c r="KHT45" s="234"/>
      <c r="KHU45" s="234"/>
      <c r="KHV45" s="234"/>
      <c r="KHW45" s="234"/>
      <c r="KHX45" s="234"/>
      <c r="KHY45" s="234"/>
      <c r="KHZ45" s="234"/>
      <c r="KIA45" s="234"/>
      <c r="KIB45" s="234"/>
      <c r="KIC45" s="234"/>
      <c r="KID45" s="234"/>
      <c r="KIE45" s="234"/>
      <c r="KIF45" s="234"/>
      <c r="KIG45" s="234"/>
      <c r="KIH45" s="234"/>
      <c r="KII45" s="234"/>
      <c r="KIJ45" s="234"/>
      <c r="KIK45" s="234"/>
      <c r="KIL45" s="234"/>
      <c r="KIM45" s="234"/>
      <c r="KIN45" s="234"/>
      <c r="KIO45" s="234"/>
      <c r="KIP45" s="234"/>
      <c r="KIQ45" s="234"/>
      <c r="KIR45" s="234"/>
      <c r="KIS45" s="234"/>
      <c r="KIT45" s="234"/>
      <c r="KIU45" s="234"/>
      <c r="KIV45" s="234"/>
      <c r="KIW45" s="234"/>
      <c r="KIX45" s="234"/>
      <c r="KIY45" s="234"/>
      <c r="KIZ45" s="234"/>
      <c r="KJA45" s="234"/>
      <c r="KJB45" s="234"/>
      <c r="KJC45" s="234"/>
      <c r="KJD45" s="234"/>
      <c r="KJE45" s="234"/>
      <c r="KJF45" s="234"/>
      <c r="KJG45" s="234"/>
      <c r="KJH45" s="234"/>
      <c r="KJI45" s="234"/>
      <c r="KJJ45" s="234"/>
      <c r="KJK45" s="234"/>
      <c r="KJL45" s="234"/>
      <c r="KJM45" s="234"/>
      <c r="KJN45" s="234"/>
      <c r="KJO45" s="234"/>
      <c r="KJP45" s="234"/>
      <c r="KJQ45" s="234"/>
      <c r="KJR45" s="234"/>
      <c r="KJS45" s="234"/>
      <c r="KJT45" s="234"/>
      <c r="KJU45" s="234"/>
      <c r="KJV45" s="234"/>
      <c r="KJW45" s="234"/>
      <c r="KJX45" s="234"/>
      <c r="KJY45" s="234"/>
      <c r="KJZ45" s="234"/>
      <c r="KKA45" s="234"/>
      <c r="KKB45" s="234"/>
      <c r="KKC45" s="234"/>
      <c r="KKD45" s="234"/>
      <c r="KKE45" s="234"/>
      <c r="KKF45" s="234"/>
      <c r="KKG45" s="234"/>
      <c r="KKH45" s="234"/>
      <c r="KKI45" s="234"/>
      <c r="KKJ45" s="234"/>
      <c r="KKK45" s="234"/>
      <c r="KKL45" s="234"/>
      <c r="KKM45" s="234"/>
      <c r="KKN45" s="234"/>
      <c r="KKO45" s="234"/>
      <c r="KKP45" s="234"/>
      <c r="KKQ45" s="234"/>
      <c r="KKR45" s="234"/>
      <c r="KKS45" s="234"/>
      <c r="KKT45" s="234"/>
      <c r="KKU45" s="234"/>
      <c r="KKV45" s="234"/>
      <c r="KKW45" s="234"/>
      <c r="KKX45" s="234"/>
      <c r="KKY45" s="234"/>
      <c r="KKZ45" s="234"/>
      <c r="KLA45" s="234"/>
      <c r="KLB45" s="234"/>
      <c r="KLC45" s="234"/>
      <c r="KLD45" s="234"/>
      <c r="KLE45" s="234"/>
      <c r="KLF45" s="234"/>
      <c r="KLG45" s="234"/>
      <c r="KLH45" s="234"/>
      <c r="KLI45" s="234"/>
      <c r="KLJ45" s="234"/>
      <c r="KLK45" s="234"/>
      <c r="KLL45" s="234"/>
      <c r="KLM45" s="234"/>
      <c r="KLN45" s="234"/>
      <c r="KLO45" s="234"/>
      <c r="KLP45" s="234"/>
      <c r="KLQ45" s="234"/>
      <c r="KLR45" s="234"/>
      <c r="KLS45" s="234"/>
      <c r="KLT45" s="234"/>
      <c r="KLU45" s="234"/>
      <c r="KLV45" s="234"/>
      <c r="KLW45" s="234"/>
      <c r="KLX45" s="234"/>
      <c r="KLY45" s="234"/>
      <c r="KLZ45" s="234"/>
      <c r="KMA45" s="234"/>
      <c r="KMB45" s="234"/>
      <c r="KMC45" s="234"/>
      <c r="KMD45" s="234"/>
      <c r="KME45" s="234"/>
      <c r="KMF45" s="234"/>
      <c r="KMG45" s="234"/>
      <c r="KMH45" s="234"/>
      <c r="KMI45" s="234"/>
      <c r="KMJ45" s="234"/>
      <c r="KMK45" s="234"/>
      <c r="KML45" s="234"/>
      <c r="KMM45" s="234"/>
      <c r="KMN45" s="234"/>
      <c r="KMO45" s="234"/>
      <c r="KMP45" s="234"/>
      <c r="KMQ45" s="234"/>
      <c r="KMR45" s="234"/>
      <c r="KMS45" s="234"/>
      <c r="KMT45" s="234"/>
      <c r="KMU45" s="234"/>
      <c r="KMV45" s="234"/>
      <c r="KMW45" s="234"/>
      <c r="KMX45" s="234"/>
      <c r="KMY45" s="234"/>
      <c r="KMZ45" s="234"/>
      <c r="KNA45" s="234"/>
      <c r="KNB45" s="234"/>
      <c r="KNC45" s="234"/>
      <c r="KND45" s="234"/>
      <c r="KNE45" s="234"/>
      <c r="KNF45" s="234"/>
      <c r="KNG45" s="234"/>
      <c r="KNH45" s="234"/>
      <c r="KNI45" s="234"/>
      <c r="KNJ45" s="234"/>
      <c r="KNK45" s="234"/>
      <c r="KNL45" s="234"/>
      <c r="KNM45" s="234"/>
      <c r="KNN45" s="234"/>
      <c r="KNO45" s="234"/>
      <c r="KNP45" s="234"/>
      <c r="KNQ45" s="234"/>
      <c r="KNR45" s="234"/>
      <c r="KNS45" s="234"/>
      <c r="KNT45" s="234"/>
      <c r="KNU45" s="234"/>
      <c r="KNV45" s="234"/>
      <c r="KNW45" s="234"/>
      <c r="KNX45" s="234"/>
      <c r="KNY45" s="234"/>
      <c r="KNZ45" s="234"/>
      <c r="KOA45" s="234"/>
      <c r="KOB45" s="234"/>
      <c r="KOC45" s="234"/>
      <c r="KOD45" s="234"/>
      <c r="KOE45" s="234"/>
      <c r="KOF45" s="234"/>
      <c r="KOG45" s="234"/>
      <c r="KOH45" s="234"/>
      <c r="KOI45" s="234"/>
      <c r="KOJ45" s="234"/>
      <c r="KOK45" s="234"/>
      <c r="KOL45" s="234"/>
      <c r="KOM45" s="234"/>
      <c r="KON45" s="234"/>
      <c r="KOO45" s="234"/>
      <c r="KOP45" s="234"/>
      <c r="KOQ45" s="234"/>
      <c r="KOR45" s="234"/>
      <c r="KOS45" s="234"/>
      <c r="KOT45" s="234"/>
      <c r="KOU45" s="234"/>
      <c r="KOV45" s="234"/>
      <c r="KOW45" s="234"/>
      <c r="KOX45" s="234"/>
      <c r="KOY45" s="234"/>
      <c r="KOZ45" s="234"/>
      <c r="KPA45" s="234"/>
      <c r="KPB45" s="234"/>
      <c r="KPC45" s="234"/>
      <c r="KPD45" s="234"/>
      <c r="KPE45" s="234"/>
      <c r="KPF45" s="234"/>
      <c r="KPG45" s="234"/>
      <c r="KPH45" s="234"/>
      <c r="KPI45" s="234"/>
      <c r="KPJ45" s="234"/>
      <c r="KPK45" s="234"/>
      <c r="KPL45" s="234"/>
      <c r="KPM45" s="234"/>
      <c r="KPN45" s="234"/>
      <c r="KPO45" s="234"/>
      <c r="KPP45" s="234"/>
      <c r="KPQ45" s="234"/>
      <c r="KPR45" s="234"/>
      <c r="KPS45" s="234"/>
      <c r="KPT45" s="234"/>
      <c r="KPU45" s="234"/>
      <c r="KPV45" s="234"/>
      <c r="KPW45" s="234"/>
      <c r="KPX45" s="234"/>
      <c r="KPY45" s="234"/>
      <c r="KPZ45" s="234"/>
      <c r="KQA45" s="234"/>
      <c r="KQB45" s="234"/>
      <c r="KQC45" s="234"/>
      <c r="KQD45" s="234"/>
      <c r="KQE45" s="234"/>
      <c r="KQF45" s="234"/>
      <c r="KQG45" s="234"/>
      <c r="KQH45" s="234"/>
      <c r="KQI45" s="234"/>
      <c r="KQJ45" s="234"/>
      <c r="KQK45" s="234"/>
      <c r="KQL45" s="234"/>
      <c r="KQM45" s="234"/>
      <c r="KQN45" s="234"/>
      <c r="KQO45" s="234"/>
      <c r="KQP45" s="234"/>
      <c r="KQQ45" s="234"/>
      <c r="KQR45" s="234"/>
      <c r="KQS45" s="234"/>
      <c r="KQT45" s="234"/>
      <c r="KQU45" s="234"/>
      <c r="KQV45" s="234"/>
      <c r="KQW45" s="234"/>
      <c r="KQX45" s="234"/>
      <c r="KQY45" s="234"/>
      <c r="KQZ45" s="234"/>
      <c r="KRA45" s="234"/>
      <c r="KRB45" s="234"/>
      <c r="KRC45" s="234"/>
      <c r="KRD45" s="234"/>
      <c r="KRE45" s="234"/>
      <c r="KRF45" s="234"/>
      <c r="KRG45" s="234"/>
      <c r="KRH45" s="234"/>
      <c r="KRI45" s="234"/>
      <c r="KRJ45" s="234"/>
      <c r="KRK45" s="234"/>
      <c r="KRL45" s="234"/>
      <c r="KRM45" s="234"/>
      <c r="KRN45" s="234"/>
      <c r="KRO45" s="234"/>
      <c r="KRP45" s="234"/>
      <c r="KRQ45" s="234"/>
      <c r="KRR45" s="234"/>
      <c r="KRS45" s="234"/>
      <c r="KRT45" s="234"/>
      <c r="KRU45" s="234"/>
      <c r="KRV45" s="234"/>
      <c r="KRW45" s="234"/>
      <c r="KRX45" s="234"/>
      <c r="KRY45" s="234"/>
      <c r="KRZ45" s="234"/>
      <c r="KSA45" s="234"/>
      <c r="KSB45" s="234"/>
      <c r="KSC45" s="234"/>
      <c r="KSD45" s="234"/>
      <c r="KSE45" s="234"/>
      <c r="KSF45" s="234"/>
      <c r="KSG45" s="234"/>
      <c r="KSH45" s="234"/>
      <c r="KSI45" s="234"/>
      <c r="KSJ45" s="234"/>
      <c r="KSK45" s="234"/>
      <c r="KSL45" s="234"/>
      <c r="KSM45" s="234"/>
      <c r="KSN45" s="234"/>
      <c r="KSO45" s="234"/>
      <c r="KSP45" s="234"/>
      <c r="KSQ45" s="234"/>
      <c r="KSR45" s="234"/>
      <c r="KSS45" s="234"/>
      <c r="KST45" s="234"/>
      <c r="KSU45" s="234"/>
      <c r="KSV45" s="234"/>
      <c r="KSW45" s="234"/>
      <c r="KSX45" s="234"/>
      <c r="KSY45" s="234"/>
      <c r="KSZ45" s="234"/>
      <c r="KTA45" s="234"/>
      <c r="KTB45" s="234"/>
      <c r="KTC45" s="234"/>
      <c r="KTD45" s="234"/>
      <c r="KTE45" s="234"/>
      <c r="KTF45" s="234"/>
      <c r="KTG45" s="234"/>
      <c r="KTH45" s="234"/>
      <c r="KTI45" s="234"/>
      <c r="KTJ45" s="234"/>
      <c r="KTK45" s="234"/>
      <c r="KTL45" s="234"/>
      <c r="KTM45" s="234"/>
      <c r="KTN45" s="234"/>
      <c r="KTO45" s="234"/>
      <c r="KTP45" s="234"/>
      <c r="KTQ45" s="234"/>
      <c r="KTR45" s="234"/>
      <c r="KTS45" s="234"/>
      <c r="KTT45" s="234"/>
      <c r="KTU45" s="234"/>
      <c r="KTV45" s="234"/>
      <c r="KTW45" s="234"/>
      <c r="KTX45" s="234"/>
      <c r="KTY45" s="234"/>
      <c r="KTZ45" s="234"/>
      <c r="KUA45" s="234"/>
      <c r="KUB45" s="234"/>
      <c r="KUC45" s="234"/>
      <c r="KUD45" s="234"/>
      <c r="KUE45" s="234"/>
      <c r="KUF45" s="234"/>
      <c r="KUG45" s="234"/>
      <c r="KUH45" s="234"/>
      <c r="KUI45" s="234"/>
      <c r="KUJ45" s="234"/>
      <c r="KUK45" s="234"/>
      <c r="KUL45" s="234"/>
      <c r="KUM45" s="234"/>
      <c r="KUN45" s="234"/>
      <c r="KUO45" s="234"/>
      <c r="KUP45" s="234"/>
      <c r="KUQ45" s="234"/>
      <c r="KUR45" s="234"/>
      <c r="KUS45" s="234"/>
      <c r="KUT45" s="234"/>
      <c r="KUU45" s="234"/>
      <c r="KUV45" s="234"/>
      <c r="KUW45" s="234"/>
      <c r="KUX45" s="234"/>
      <c r="KUY45" s="234"/>
      <c r="KUZ45" s="234"/>
      <c r="KVA45" s="234"/>
      <c r="KVB45" s="234"/>
      <c r="KVC45" s="234"/>
      <c r="KVD45" s="234"/>
      <c r="KVE45" s="234"/>
      <c r="KVF45" s="234"/>
      <c r="KVG45" s="234"/>
      <c r="KVH45" s="234"/>
      <c r="KVI45" s="234"/>
      <c r="KVJ45" s="234"/>
      <c r="KVK45" s="234"/>
      <c r="KVL45" s="234"/>
      <c r="KVM45" s="234"/>
      <c r="KVN45" s="234"/>
      <c r="KVO45" s="234"/>
      <c r="KVP45" s="234"/>
      <c r="KVQ45" s="234"/>
      <c r="KVR45" s="234"/>
      <c r="KVS45" s="234"/>
      <c r="KVT45" s="234"/>
      <c r="KVU45" s="234"/>
      <c r="KVV45" s="234"/>
      <c r="KVW45" s="234"/>
      <c r="KVX45" s="234"/>
      <c r="KVY45" s="234"/>
      <c r="KVZ45" s="234"/>
      <c r="KWA45" s="234"/>
      <c r="KWB45" s="234"/>
      <c r="KWC45" s="234"/>
      <c r="KWD45" s="234"/>
      <c r="KWE45" s="234"/>
      <c r="KWF45" s="234"/>
      <c r="KWG45" s="234"/>
      <c r="KWH45" s="234"/>
      <c r="KWI45" s="234"/>
      <c r="KWJ45" s="234"/>
      <c r="KWK45" s="234"/>
      <c r="KWL45" s="234"/>
      <c r="KWM45" s="234"/>
      <c r="KWN45" s="234"/>
      <c r="KWO45" s="234"/>
      <c r="KWP45" s="234"/>
      <c r="KWQ45" s="234"/>
      <c r="KWR45" s="234"/>
      <c r="KWS45" s="234"/>
      <c r="KWT45" s="234"/>
      <c r="KWU45" s="234"/>
      <c r="KWV45" s="234"/>
      <c r="KWW45" s="234"/>
      <c r="KWX45" s="234"/>
      <c r="KWY45" s="234"/>
      <c r="KWZ45" s="234"/>
      <c r="KXA45" s="234"/>
      <c r="KXB45" s="234"/>
      <c r="KXC45" s="234"/>
      <c r="KXD45" s="234"/>
      <c r="KXE45" s="234"/>
      <c r="KXF45" s="234"/>
      <c r="KXG45" s="234"/>
      <c r="KXH45" s="234"/>
      <c r="KXI45" s="234"/>
      <c r="KXJ45" s="234"/>
      <c r="KXK45" s="234"/>
      <c r="KXL45" s="234"/>
      <c r="KXM45" s="234"/>
      <c r="KXN45" s="234"/>
      <c r="KXO45" s="234"/>
      <c r="KXP45" s="234"/>
      <c r="KXQ45" s="234"/>
      <c r="KXR45" s="234"/>
      <c r="KXS45" s="234"/>
      <c r="KXT45" s="234"/>
      <c r="KXU45" s="234"/>
      <c r="KXV45" s="234"/>
      <c r="KXW45" s="234"/>
      <c r="KXX45" s="234"/>
      <c r="KXY45" s="234"/>
      <c r="KXZ45" s="234"/>
      <c r="KYA45" s="234"/>
      <c r="KYB45" s="234"/>
      <c r="KYC45" s="234"/>
      <c r="KYD45" s="234"/>
      <c r="KYE45" s="234"/>
      <c r="KYF45" s="234"/>
      <c r="KYG45" s="234"/>
      <c r="KYH45" s="234"/>
      <c r="KYI45" s="234"/>
      <c r="KYJ45" s="234"/>
      <c r="KYK45" s="234"/>
      <c r="KYL45" s="234"/>
      <c r="KYM45" s="234"/>
      <c r="KYN45" s="234"/>
      <c r="KYO45" s="234"/>
      <c r="KYP45" s="234"/>
      <c r="KYQ45" s="234"/>
      <c r="KYR45" s="234"/>
      <c r="KYS45" s="234"/>
      <c r="KYT45" s="234"/>
      <c r="KYU45" s="234"/>
      <c r="KYV45" s="234"/>
      <c r="KYW45" s="234"/>
      <c r="KYX45" s="234"/>
      <c r="KYY45" s="234"/>
      <c r="KYZ45" s="234"/>
      <c r="KZA45" s="234"/>
      <c r="KZB45" s="234"/>
      <c r="KZC45" s="234"/>
      <c r="KZD45" s="234"/>
      <c r="KZE45" s="234"/>
      <c r="KZF45" s="234"/>
      <c r="KZG45" s="234"/>
      <c r="KZH45" s="234"/>
      <c r="KZI45" s="234"/>
      <c r="KZJ45" s="234"/>
      <c r="KZK45" s="234"/>
      <c r="KZL45" s="234"/>
      <c r="KZM45" s="234"/>
      <c r="KZN45" s="234"/>
      <c r="KZO45" s="234"/>
      <c r="KZP45" s="234"/>
      <c r="KZQ45" s="234"/>
      <c r="KZR45" s="234"/>
      <c r="KZS45" s="234"/>
      <c r="KZT45" s="234"/>
      <c r="KZU45" s="234"/>
      <c r="KZV45" s="234"/>
      <c r="KZW45" s="234"/>
      <c r="KZX45" s="234"/>
      <c r="KZY45" s="234"/>
      <c r="KZZ45" s="234"/>
      <c r="LAA45" s="234"/>
      <c r="LAB45" s="234"/>
      <c r="LAC45" s="234"/>
      <c r="LAD45" s="234"/>
      <c r="LAE45" s="234"/>
      <c r="LAF45" s="234"/>
      <c r="LAG45" s="234"/>
      <c r="LAH45" s="234"/>
      <c r="LAI45" s="234"/>
      <c r="LAJ45" s="234"/>
      <c r="LAK45" s="234"/>
      <c r="LAL45" s="234"/>
      <c r="LAM45" s="234"/>
      <c r="LAN45" s="234"/>
      <c r="LAO45" s="234"/>
      <c r="LAP45" s="234"/>
      <c r="LAQ45" s="234"/>
      <c r="LAR45" s="234"/>
      <c r="LAS45" s="234"/>
      <c r="LAT45" s="234"/>
      <c r="LAU45" s="234"/>
      <c r="LAV45" s="234"/>
      <c r="LAW45" s="234"/>
      <c r="LAX45" s="234"/>
      <c r="LAY45" s="234"/>
      <c r="LAZ45" s="234"/>
      <c r="LBA45" s="234"/>
      <c r="LBB45" s="234"/>
      <c r="LBC45" s="234"/>
      <c r="LBD45" s="234"/>
      <c r="LBE45" s="234"/>
      <c r="LBF45" s="234"/>
      <c r="LBG45" s="234"/>
      <c r="LBH45" s="234"/>
      <c r="LBI45" s="234"/>
      <c r="LBJ45" s="234"/>
      <c r="LBK45" s="234"/>
      <c r="LBL45" s="234"/>
      <c r="LBM45" s="234"/>
      <c r="LBN45" s="234"/>
      <c r="LBO45" s="234"/>
      <c r="LBP45" s="234"/>
      <c r="LBQ45" s="234"/>
      <c r="LBR45" s="234"/>
      <c r="LBS45" s="234"/>
      <c r="LBT45" s="234"/>
      <c r="LBU45" s="234"/>
      <c r="LBV45" s="234"/>
      <c r="LBW45" s="234"/>
      <c r="LBX45" s="234"/>
      <c r="LBY45" s="234"/>
      <c r="LBZ45" s="234"/>
      <c r="LCA45" s="234"/>
      <c r="LCB45" s="234"/>
      <c r="LCC45" s="234"/>
      <c r="LCD45" s="234"/>
      <c r="LCE45" s="234"/>
      <c r="LCF45" s="234"/>
      <c r="LCG45" s="234"/>
      <c r="LCH45" s="234"/>
      <c r="LCI45" s="234"/>
      <c r="LCJ45" s="234"/>
      <c r="LCK45" s="234"/>
      <c r="LCL45" s="234"/>
      <c r="LCM45" s="234"/>
      <c r="LCN45" s="234"/>
      <c r="LCO45" s="234"/>
      <c r="LCP45" s="234"/>
      <c r="LCQ45" s="234"/>
      <c r="LCR45" s="234"/>
      <c r="LCS45" s="234"/>
      <c r="LCT45" s="234"/>
      <c r="LCU45" s="234"/>
      <c r="LCV45" s="234"/>
      <c r="LCW45" s="234"/>
      <c r="LCX45" s="234"/>
      <c r="LCY45" s="234"/>
      <c r="LCZ45" s="234"/>
      <c r="LDA45" s="234"/>
      <c r="LDB45" s="234"/>
      <c r="LDC45" s="234"/>
      <c r="LDD45" s="234"/>
      <c r="LDE45" s="234"/>
      <c r="LDF45" s="234"/>
      <c r="LDG45" s="234"/>
      <c r="LDH45" s="234"/>
      <c r="LDI45" s="234"/>
      <c r="LDJ45" s="234"/>
      <c r="LDK45" s="234"/>
      <c r="LDL45" s="234"/>
      <c r="LDM45" s="234"/>
      <c r="LDN45" s="234"/>
      <c r="LDO45" s="234"/>
      <c r="LDP45" s="234"/>
      <c r="LDQ45" s="234"/>
      <c r="LDR45" s="234"/>
      <c r="LDS45" s="234"/>
      <c r="LDT45" s="234"/>
      <c r="LDU45" s="234"/>
      <c r="LDV45" s="234"/>
      <c r="LDW45" s="234"/>
      <c r="LDX45" s="234"/>
      <c r="LDY45" s="234"/>
      <c r="LDZ45" s="234"/>
      <c r="LEA45" s="234"/>
      <c r="LEB45" s="234"/>
      <c r="LEC45" s="234"/>
      <c r="LED45" s="234"/>
      <c r="LEE45" s="234"/>
      <c r="LEF45" s="234"/>
      <c r="LEG45" s="234"/>
      <c r="LEH45" s="234"/>
      <c r="LEI45" s="234"/>
      <c r="LEJ45" s="234"/>
      <c r="LEK45" s="234"/>
      <c r="LEL45" s="234"/>
      <c r="LEM45" s="234"/>
      <c r="LEN45" s="234"/>
      <c r="LEO45" s="234"/>
      <c r="LEP45" s="234"/>
      <c r="LEQ45" s="234"/>
      <c r="LER45" s="234"/>
      <c r="LES45" s="234"/>
      <c r="LET45" s="234"/>
      <c r="LEU45" s="234"/>
      <c r="LEV45" s="234"/>
      <c r="LEW45" s="234"/>
      <c r="LEX45" s="234"/>
      <c r="LEY45" s="234"/>
      <c r="LEZ45" s="234"/>
      <c r="LFA45" s="234"/>
      <c r="LFB45" s="234"/>
      <c r="LFC45" s="234"/>
      <c r="LFD45" s="234"/>
      <c r="LFE45" s="234"/>
      <c r="LFF45" s="234"/>
      <c r="LFG45" s="234"/>
      <c r="LFH45" s="234"/>
      <c r="LFI45" s="234"/>
      <c r="LFJ45" s="234"/>
      <c r="LFK45" s="234"/>
      <c r="LFL45" s="234"/>
      <c r="LFM45" s="234"/>
      <c r="LFN45" s="234"/>
      <c r="LFO45" s="234"/>
      <c r="LFP45" s="234"/>
      <c r="LFQ45" s="234"/>
      <c r="LFR45" s="234"/>
      <c r="LFS45" s="234"/>
      <c r="LFT45" s="234"/>
      <c r="LFU45" s="234"/>
      <c r="LFV45" s="234"/>
      <c r="LFW45" s="234"/>
      <c r="LFX45" s="234"/>
      <c r="LFY45" s="234"/>
      <c r="LFZ45" s="234"/>
      <c r="LGA45" s="234"/>
      <c r="LGB45" s="234"/>
      <c r="LGC45" s="234"/>
      <c r="LGD45" s="234"/>
      <c r="LGE45" s="234"/>
      <c r="LGF45" s="234"/>
      <c r="LGG45" s="234"/>
      <c r="LGH45" s="234"/>
      <c r="LGI45" s="234"/>
      <c r="LGJ45" s="234"/>
      <c r="LGK45" s="234"/>
      <c r="LGL45" s="234"/>
      <c r="LGM45" s="234"/>
      <c r="LGN45" s="234"/>
      <c r="LGO45" s="234"/>
      <c r="LGP45" s="234"/>
      <c r="LGQ45" s="234"/>
      <c r="LGR45" s="234"/>
      <c r="LGS45" s="234"/>
      <c r="LGT45" s="234"/>
      <c r="LGU45" s="234"/>
      <c r="LGV45" s="234"/>
      <c r="LGW45" s="234"/>
      <c r="LGX45" s="234"/>
      <c r="LGY45" s="234"/>
      <c r="LGZ45" s="234"/>
      <c r="LHA45" s="234"/>
      <c r="LHB45" s="234"/>
      <c r="LHC45" s="234"/>
      <c r="LHD45" s="234"/>
      <c r="LHE45" s="234"/>
      <c r="LHF45" s="234"/>
      <c r="LHG45" s="234"/>
      <c r="LHH45" s="234"/>
      <c r="LHI45" s="234"/>
      <c r="LHJ45" s="234"/>
      <c r="LHK45" s="234"/>
      <c r="LHL45" s="234"/>
      <c r="LHM45" s="234"/>
      <c r="LHN45" s="234"/>
      <c r="LHO45" s="234"/>
      <c r="LHP45" s="234"/>
      <c r="LHQ45" s="234"/>
      <c r="LHR45" s="234"/>
      <c r="LHS45" s="234"/>
      <c r="LHT45" s="234"/>
      <c r="LHU45" s="234"/>
      <c r="LHV45" s="234"/>
      <c r="LHW45" s="234"/>
      <c r="LHX45" s="234"/>
      <c r="LHY45" s="234"/>
      <c r="LHZ45" s="234"/>
      <c r="LIA45" s="234"/>
      <c r="LIB45" s="234"/>
      <c r="LIC45" s="234"/>
      <c r="LID45" s="234"/>
      <c r="LIE45" s="234"/>
      <c r="LIF45" s="234"/>
      <c r="LIG45" s="234"/>
      <c r="LIH45" s="234"/>
      <c r="LII45" s="234"/>
      <c r="LIJ45" s="234"/>
      <c r="LIK45" s="234"/>
      <c r="LIL45" s="234"/>
      <c r="LIM45" s="234"/>
      <c r="LIN45" s="234"/>
      <c r="LIO45" s="234"/>
      <c r="LIP45" s="234"/>
      <c r="LIQ45" s="234"/>
      <c r="LIR45" s="234"/>
      <c r="LIS45" s="234"/>
      <c r="LIT45" s="234"/>
      <c r="LIU45" s="234"/>
      <c r="LIV45" s="234"/>
      <c r="LIW45" s="234"/>
      <c r="LIX45" s="234"/>
      <c r="LIY45" s="234"/>
      <c r="LIZ45" s="234"/>
      <c r="LJA45" s="234"/>
      <c r="LJB45" s="234"/>
      <c r="LJC45" s="234"/>
      <c r="LJD45" s="234"/>
      <c r="LJE45" s="234"/>
      <c r="LJF45" s="234"/>
      <c r="LJG45" s="234"/>
      <c r="LJH45" s="234"/>
      <c r="LJI45" s="234"/>
      <c r="LJJ45" s="234"/>
      <c r="LJK45" s="234"/>
      <c r="LJL45" s="234"/>
      <c r="LJM45" s="234"/>
      <c r="LJN45" s="234"/>
      <c r="LJO45" s="234"/>
      <c r="LJP45" s="234"/>
      <c r="LJQ45" s="234"/>
      <c r="LJR45" s="234"/>
      <c r="LJS45" s="234"/>
      <c r="LJT45" s="234"/>
      <c r="LJU45" s="234"/>
      <c r="LJV45" s="234"/>
      <c r="LJW45" s="234"/>
      <c r="LJX45" s="234"/>
      <c r="LJY45" s="234"/>
      <c r="LJZ45" s="234"/>
      <c r="LKA45" s="234"/>
      <c r="LKB45" s="234"/>
      <c r="LKC45" s="234"/>
      <c r="LKD45" s="234"/>
      <c r="LKE45" s="234"/>
      <c r="LKF45" s="234"/>
      <c r="LKG45" s="234"/>
      <c r="LKH45" s="234"/>
      <c r="LKI45" s="234"/>
      <c r="LKJ45" s="234"/>
      <c r="LKK45" s="234"/>
      <c r="LKL45" s="234"/>
      <c r="LKM45" s="234"/>
      <c r="LKN45" s="234"/>
      <c r="LKO45" s="234"/>
      <c r="LKP45" s="234"/>
      <c r="LKQ45" s="234"/>
      <c r="LKR45" s="234"/>
      <c r="LKS45" s="234"/>
      <c r="LKT45" s="234"/>
      <c r="LKU45" s="234"/>
      <c r="LKV45" s="234"/>
      <c r="LKW45" s="234"/>
      <c r="LKX45" s="234"/>
      <c r="LKY45" s="234"/>
      <c r="LKZ45" s="234"/>
      <c r="LLA45" s="234"/>
      <c r="LLB45" s="234"/>
      <c r="LLC45" s="234"/>
      <c r="LLD45" s="234"/>
      <c r="LLE45" s="234"/>
      <c r="LLF45" s="234"/>
      <c r="LLG45" s="234"/>
      <c r="LLH45" s="234"/>
      <c r="LLI45" s="234"/>
      <c r="LLJ45" s="234"/>
      <c r="LLK45" s="234"/>
      <c r="LLL45" s="234"/>
      <c r="LLM45" s="234"/>
      <c r="LLN45" s="234"/>
      <c r="LLO45" s="234"/>
      <c r="LLP45" s="234"/>
      <c r="LLQ45" s="234"/>
      <c r="LLR45" s="234"/>
      <c r="LLS45" s="234"/>
      <c r="LLT45" s="234"/>
      <c r="LLU45" s="234"/>
      <c r="LLV45" s="234"/>
      <c r="LLW45" s="234"/>
      <c r="LLX45" s="234"/>
      <c r="LLY45" s="234"/>
      <c r="LLZ45" s="234"/>
      <c r="LMA45" s="234"/>
      <c r="LMB45" s="234"/>
      <c r="LMC45" s="234"/>
      <c r="LMD45" s="234"/>
      <c r="LME45" s="234"/>
      <c r="LMF45" s="234"/>
      <c r="LMG45" s="234"/>
      <c r="LMH45" s="234"/>
      <c r="LMI45" s="234"/>
      <c r="LMJ45" s="234"/>
      <c r="LMK45" s="234"/>
      <c r="LML45" s="234"/>
      <c r="LMM45" s="234"/>
      <c r="LMN45" s="234"/>
      <c r="LMO45" s="234"/>
      <c r="LMP45" s="234"/>
      <c r="LMQ45" s="234"/>
      <c r="LMR45" s="234"/>
      <c r="LMS45" s="234"/>
      <c r="LMT45" s="234"/>
      <c r="LMU45" s="234"/>
      <c r="LMV45" s="234"/>
      <c r="LMW45" s="234"/>
      <c r="LMX45" s="234"/>
      <c r="LMY45" s="234"/>
      <c r="LMZ45" s="234"/>
      <c r="LNA45" s="234"/>
      <c r="LNB45" s="234"/>
      <c r="LNC45" s="234"/>
      <c r="LND45" s="234"/>
      <c r="LNE45" s="234"/>
      <c r="LNF45" s="234"/>
      <c r="LNG45" s="234"/>
      <c r="LNH45" s="234"/>
      <c r="LNI45" s="234"/>
      <c r="LNJ45" s="234"/>
      <c r="LNK45" s="234"/>
      <c r="LNL45" s="234"/>
      <c r="LNM45" s="234"/>
      <c r="LNN45" s="234"/>
      <c r="LNO45" s="234"/>
      <c r="LNP45" s="234"/>
      <c r="LNQ45" s="234"/>
      <c r="LNR45" s="234"/>
      <c r="LNS45" s="234"/>
      <c r="LNT45" s="234"/>
      <c r="LNU45" s="234"/>
      <c r="LNV45" s="234"/>
      <c r="LNW45" s="234"/>
      <c r="LNX45" s="234"/>
      <c r="LNY45" s="234"/>
      <c r="LNZ45" s="234"/>
      <c r="LOA45" s="234"/>
      <c r="LOB45" s="234"/>
      <c r="LOC45" s="234"/>
      <c r="LOD45" s="234"/>
      <c r="LOE45" s="234"/>
      <c r="LOF45" s="234"/>
      <c r="LOG45" s="234"/>
      <c r="LOH45" s="234"/>
      <c r="LOI45" s="234"/>
      <c r="LOJ45" s="234"/>
      <c r="LOK45" s="234"/>
      <c r="LOL45" s="234"/>
      <c r="LOM45" s="234"/>
      <c r="LON45" s="234"/>
      <c r="LOO45" s="234"/>
      <c r="LOP45" s="234"/>
      <c r="LOQ45" s="234"/>
      <c r="LOR45" s="234"/>
      <c r="LOS45" s="234"/>
      <c r="LOT45" s="234"/>
      <c r="LOU45" s="234"/>
      <c r="LOV45" s="234"/>
      <c r="LOW45" s="234"/>
      <c r="LOX45" s="234"/>
      <c r="LOY45" s="234"/>
      <c r="LOZ45" s="234"/>
      <c r="LPA45" s="234"/>
      <c r="LPB45" s="234"/>
      <c r="LPC45" s="234"/>
      <c r="LPD45" s="234"/>
      <c r="LPE45" s="234"/>
      <c r="LPF45" s="234"/>
      <c r="LPG45" s="234"/>
      <c r="LPH45" s="234"/>
      <c r="LPI45" s="234"/>
      <c r="LPJ45" s="234"/>
      <c r="LPK45" s="234"/>
      <c r="LPL45" s="234"/>
      <c r="LPM45" s="234"/>
      <c r="LPN45" s="234"/>
      <c r="LPO45" s="234"/>
      <c r="LPP45" s="234"/>
      <c r="LPQ45" s="234"/>
      <c r="LPR45" s="234"/>
      <c r="LPS45" s="234"/>
      <c r="LPT45" s="234"/>
      <c r="LPU45" s="234"/>
      <c r="LPV45" s="234"/>
      <c r="LPW45" s="234"/>
      <c r="LPX45" s="234"/>
      <c r="LPY45" s="234"/>
      <c r="LPZ45" s="234"/>
      <c r="LQA45" s="234"/>
      <c r="LQB45" s="234"/>
      <c r="LQC45" s="234"/>
      <c r="LQD45" s="234"/>
      <c r="LQE45" s="234"/>
      <c r="LQF45" s="234"/>
      <c r="LQG45" s="234"/>
      <c r="LQH45" s="234"/>
      <c r="LQI45" s="234"/>
      <c r="LQJ45" s="234"/>
      <c r="LQK45" s="234"/>
      <c r="LQL45" s="234"/>
      <c r="LQM45" s="234"/>
      <c r="LQN45" s="234"/>
      <c r="LQO45" s="234"/>
      <c r="LQP45" s="234"/>
      <c r="LQQ45" s="234"/>
      <c r="LQR45" s="234"/>
      <c r="LQS45" s="234"/>
      <c r="LQT45" s="234"/>
      <c r="LQU45" s="234"/>
      <c r="LQV45" s="234"/>
      <c r="LQW45" s="234"/>
      <c r="LQX45" s="234"/>
      <c r="LQY45" s="234"/>
      <c r="LQZ45" s="234"/>
      <c r="LRA45" s="234"/>
      <c r="LRB45" s="234"/>
      <c r="LRC45" s="234"/>
      <c r="LRD45" s="234"/>
      <c r="LRE45" s="234"/>
      <c r="LRF45" s="234"/>
      <c r="LRG45" s="234"/>
      <c r="LRH45" s="234"/>
      <c r="LRI45" s="234"/>
      <c r="LRJ45" s="234"/>
      <c r="LRK45" s="234"/>
      <c r="LRL45" s="234"/>
      <c r="LRM45" s="234"/>
      <c r="LRN45" s="234"/>
      <c r="LRO45" s="234"/>
      <c r="LRP45" s="234"/>
      <c r="LRQ45" s="234"/>
      <c r="LRR45" s="234"/>
      <c r="LRS45" s="234"/>
      <c r="LRT45" s="234"/>
      <c r="LRU45" s="234"/>
      <c r="LRV45" s="234"/>
      <c r="LRW45" s="234"/>
      <c r="LRX45" s="234"/>
      <c r="LRY45" s="234"/>
      <c r="LRZ45" s="234"/>
      <c r="LSA45" s="234"/>
      <c r="LSB45" s="234"/>
      <c r="LSC45" s="234"/>
      <c r="LSD45" s="234"/>
      <c r="LSE45" s="234"/>
      <c r="LSF45" s="234"/>
      <c r="LSG45" s="234"/>
      <c r="LSH45" s="234"/>
      <c r="LSI45" s="234"/>
      <c r="LSJ45" s="234"/>
      <c r="LSK45" s="234"/>
      <c r="LSL45" s="234"/>
      <c r="LSM45" s="234"/>
      <c r="LSN45" s="234"/>
      <c r="LSO45" s="234"/>
      <c r="LSP45" s="234"/>
      <c r="LSQ45" s="234"/>
      <c r="LSR45" s="234"/>
      <c r="LSS45" s="234"/>
      <c r="LST45" s="234"/>
      <c r="LSU45" s="234"/>
      <c r="LSV45" s="234"/>
      <c r="LSW45" s="234"/>
      <c r="LSX45" s="234"/>
      <c r="LSY45" s="234"/>
      <c r="LSZ45" s="234"/>
      <c r="LTA45" s="234"/>
      <c r="LTB45" s="234"/>
      <c r="LTC45" s="234"/>
      <c r="LTD45" s="234"/>
      <c r="LTE45" s="234"/>
      <c r="LTF45" s="234"/>
      <c r="LTG45" s="234"/>
      <c r="LTH45" s="234"/>
      <c r="LTI45" s="234"/>
      <c r="LTJ45" s="234"/>
      <c r="LTK45" s="234"/>
      <c r="LTL45" s="234"/>
      <c r="LTM45" s="234"/>
      <c r="LTN45" s="234"/>
      <c r="LTO45" s="234"/>
      <c r="LTP45" s="234"/>
      <c r="LTQ45" s="234"/>
      <c r="LTR45" s="234"/>
      <c r="LTS45" s="234"/>
      <c r="LTT45" s="234"/>
      <c r="LTU45" s="234"/>
      <c r="LTV45" s="234"/>
      <c r="LTW45" s="234"/>
      <c r="LTX45" s="234"/>
      <c r="LTY45" s="234"/>
      <c r="LTZ45" s="234"/>
      <c r="LUA45" s="234"/>
      <c r="LUB45" s="234"/>
      <c r="LUC45" s="234"/>
      <c r="LUD45" s="234"/>
      <c r="LUE45" s="234"/>
      <c r="LUF45" s="234"/>
      <c r="LUG45" s="234"/>
      <c r="LUH45" s="234"/>
      <c r="LUI45" s="234"/>
      <c r="LUJ45" s="234"/>
      <c r="LUK45" s="234"/>
      <c r="LUL45" s="234"/>
      <c r="LUM45" s="234"/>
      <c r="LUN45" s="234"/>
      <c r="LUO45" s="234"/>
      <c r="LUP45" s="234"/>
      <c r="LUQ45" s="234"/>
      <c r="LUR45" s="234"/>
      <c r="LUS45" s="234"/>
      <c r="LUT45" s="234"/>
      <c r="LUU45" s="234"/>
      <c r="LUV45" s="234"/>
      <c r="LUW45" s="234"/>
      <c r="LUX45" s="234"/>
      <c r="LUY45" s="234"/>
      <c r="LUZ45" s="234"/>
      <c r="LVA45" s="234"/>
      <c r="LVB45" s="234"/>
      <c r="LVC45" s="234"/>
      <c r="LVD45" s="234"/>
      <c r="LVE45" s="234"/>
      <c r="LVF45" s="234"/>
      <c r="LVG45" s="234"/>
      <c r="LVH45" s="234"/>
      <c r="LVI45" s="234"/>
      <c r="LVJ45" s="234"/>
      <c r="LVK45" s="234"/>
      <c r="LVL45" s="234"/>
      <c r="LVM45" s="234"/>
      <c r="LVN45" s="234"/>
      <c r="LVO45" s="234"/>
      <c r="LVP45" s="234"/>
      <c r="LVQ45" s="234"/>
      <c r="LVR45" s="234"/>
      <c r="LVS45" s="234"/>
      <c r="LVT45" s="234"/>
      <c r="LVU45" s="234"/>
      <c r="LVV45" s="234"/>
      <c r="LVW45" s="234"/>
      <c r="LVX45" s="234"/>
      <c r="LVY45" s="234"/>
      <c r="LVZ45" s="234"/>
      <c r="LWA45" s="234"/>
      <c r="LWB45" s="234"/>
      <c r="LWC45" s="234"/>
      <c r="LWD45" s="234"/>
      <c r="LWE45" s="234"/>
      <c r="LWF45" s="234"/>
      <c r="LWG45" s="234"/>
      <c r="LWH45" s="234"/>
      <c r="LWI45" s="234"/>
      <c r="LWJ45" s="234"/>
      <c r="LWK45" s="234"/>
      <c r="LWL45" s="234"/>
      <c r="LWM45" s="234"/>
      <c r="LWN45" s="234"/>
      <c r="LWO45" s="234"/>
      <c r="LWP45" s="234"/>
      <c r="LWQ45" s="234"/>
      <c r="LWR45" s="234"/>
      <c r="LWS45" s="234"/>
      <c r="LWT45" s="234"/>
      <c r="LWU45" s="234"/>
      <c r="LWV45" s="234"/>
      <c r="LWW45" s="234"/>
      <c r="LWX45" s="234"/>
      <c r="LWY45" s="234"/>
      <c r="LWZ45" s="234"/>
      <c r="LXA45" s="234"/>
      <c r="LXB45" s="234"/>
      <c r="LXC45" s="234"/>
      <c r="LXD45" s="234"/>
      <c r="LXE45" s="234"/>
      <c r="LXF45" s="234"/>
      <c r="LXG45" s="234"/>
      <c r="LXH45" s="234"/>
      <c r="LXI45" s="234"/>
      <c r="LXJ45" s="234"/>
      <c r="LXK45" s="234"/>
      <c r="LXL45" s="234"/>
      <c r="LXM45" s="234"/>
      <c r="LXN45" s="234"/>
      <c r="LXO45" s="234"/>
      <c r="LXP45" s="234"/>
      <c r="LXQ45" s="234"/>
      <c r="LXR45" s="234"/>
      <c r="LXS45" s="234"/>
      <c r="LXT45" s="234"/>
      <c r="LXU45" s="234"/>
      <c r="LXV45" s="234"/>
      <c r="LXW45" s="234"/>
      <c r="LXX45" s="234"/>
      <c r="LXY45" s="234"/>
      <c r="LXZ45" s="234"/>
      <c r="LYA45" s="234"/>
      <c r="LYB45" s="234"/>
      <c r="LYC45" s="234"/>
      <c r="LYD45" s="234"/>
      <c r="LYE45" s="234"/>
      <c r="LYF45" s="234"/>
      <c r="LYG45" s="234"/>
      <c r="LYH45" s="234"/>
      <c r="LYI45" s="234"/>
      <c r="LYJ45" s="234"/>
      <c r="LYK45" s="234"/>
      <c r="LYL45" s="234"/>
      <c r="LYM45" s="234"/>
      <c r="LYN45" s="234"/>
      <c r="LYO45" s="234"/>
      <c r="LYP45" s="234"/>
      <c r="LYQ45" s="234"/>
      <c r="LYR45" s="234"/>
      <c r="LYS45" s="234"/>
      <c r="LYT45" s="234"/>
      <c r="LYU45" s="234"/>
      <c r="LYV45" s="234"/>
      <c r="LYW45" s="234"/>
      <c r="LYX45" s="234"/>
      <c r="LYY45" s="234"/>
      <c r="LYZ45" s="234"/>
      <c r="LZA45" s="234"/>
      <c r="LZB45" s="234"/>
      <c r="LZC45" s="234"/>
      <c r="LZD45" s="234"/>
      <c r="LZE45" s="234"/>
      <c r="LZF45" s="234"/>
      <c r="LZG45" s="234"/>
      <c r="LZH45" s="234"/>
      <c r="LZI45" s="234"/>
      <c r="LZJ45" s="234"/>
      <c r="LZK45" s="234"/>
      <c r="LZL45" s="234"/>
      <c r="LZM45" s="234"/>
      <c r="LZN45" s="234"/>
      <c r="LZO45" s="234"/>
      <c r="LZP45" s="234"/>
      <c r="LZQ45" s="234"/>
      <c r="LZR45" s="234"/>
      <c r="LZS45" s="234"/>
      <c r="LZT45" s="234"/>
      <c r="LZU45" s="234"/>
      <c r="LZV45" s="234"/>
      <c r="LZW45" s="234"/>
      <c r="LZX45" s="234"/>
      <c r="LZY45" s="234"/>
      <c r="LZZ45" s="234"/>
      <c r="MAA45" s="234"/>
      <c r="MAB45" s="234"/>
      <c r="MAC45" s="234"/>
      <c r="MAD45" s="234"/>
      <c r="MAE45" s="234"/>
      <c r="MAF45" s="234"/>
      <c r="MAG45" s="234"/>
      <c r="MAH45" s="234"/>
      <c r="MAI45" s="234"/>
      <c r="MAJ45" s="234"/>
      <c r="MAK45" s="234"/>
      <c r="MAL45" s="234"/>
      <c r="MAM45" s="234"/>
      <c r="MAN45" s="234"/>
      <c r="MAO45" s="234"/>
      <c r="MAP45" s="234"/>
      <c r="MAQ45" s="234"/>
      <c r="MAR45" s="234"/>
      <c r="MAS45" s="234"/>
      <c r="MAT45" s="234"/>
      <c r="MAU45" s="234"/>
      <c r="MAV45" s="234"/>
      <c r="MAW45" s="234"/>
      <c r="MAX45" s="234"/>
      <c r="MAY45" s="234"/>
      <c r="MAZ45" s="234"/>
      <c r="MBA45" s="234"/>
      <c r="MBB45" s="234"/>
      <c r="MBC45" s="234"/>
      <c r="MBD45" s="234"/>
      <c r="MBE45" s="234"/>
      <c r="MBF45" s="234"/>
      <c r="MBG45" s="234"/>
      <c r="MBH45" s="234"/>
      <c r="MBI45" s="234"/>
      <c r="MBJ45" s="234"/>
      <c r="MBK45" s="234"/>
      <c r="MBL45" s="234"/>
      <c r="MBM45" s="234"/>
      <c r="MBN45" s="234"/>
      <c r="MBO45" s="234"/>
      <c r="MBP45" s="234"/>
      <c r="MBQ45" s="234"/>
      <c r="MBR45" s="234"/>
      <c r="MBS45" s="234"/>
      <c r="MBT45" s="234"/>
      <c r="MBU45" s="234"/>
      <c r="MBV45" s="234"/>
      <c r="MBW45" s="234"/>
      <c r="MBX45" s="234"/>
      <c r="MBY45" s="234"/>
      <c r="MBZ45" s="234"/>
      <c r="MCA45" s="234"/>
      <c r="MCB45" s="234"/>
      <c r="MCC45" s="234"/>
      <c r="MCD45" s="234"/>
      <c r="MCE45" s="234"/>
      <c r="MCF45" s="234"/>
      <c r="MCG45" s="234"/>
      <c r="MCH45" s="234"/>
      <c r="MCI45" s="234"/>
      <c r="MCJ45" s="234"/>
      <c r="MCK45" s="234"/>
      <c r="MCL45" s="234"/>
      <c r="MCM45" s="234"/>
      <c r="MCN45" s="234"/>
      <c r="MCO45" s="234"/>
      <c r="MCP45" s="234"/>
      <c r="MCQ45" s="234"/>
      <c r="MCR45" s="234"/>
      <c r="MCS45" s="234"/>
      <c r="MCT45" s="234"/>
      <c r="MCU45" s="234"/>
      <c r="MCV45" s="234"/>
      <c r="MCW45" s="234"/>
      <c r="MCX45" s="234"/>
      <c r="MCY45" s="234"/>
      <c r="MCZ45" s="234"/>
      <c r="MDA45" s="234"/>
      <c r="MDB45" s="234"/>
      <c r="MDC45" s="234"/>
      <c r="MDD45" s="234"/>
      <c r="MDE45" s="234"/>
      <c r="MDF45" s="234"/>
      <c r="MDG45" s="234"/>
      <c r="MDH45" s="234"/>
      <c r="MDI45" s="234"/>
      <c r="MDJ45" s="234"/>
      <c r="MDK45" s="234"/>
      <c r="MDL45" s="234"/>
      <c r="MDM45" s="234"/>
      <c r="MDN45" s="234"/>
      <c r="MDO45" s="234"/>
      <c r="MDP45" s="234"/>
      <c r="MDQ45" s="234"/>
      <c r="MDR45" s="234"/>
      <c r="MDS45" s="234"/>
      <c r="MDT45" s="234"/>
      <c r="MDU45" s="234"/>
      <c r="MDV45" s="234"/>
      <c r="MDW45" s="234"/>
      <c r="MDX45" s="234"/>
      <c r="MDY45" s="234"/>
      <c r="MDZ45" s="234"/>
      <c r="MEA45" s="234"/>
      <c r="MEB45" s="234"/>
      <c r="MEC45" s="234"/>
      <c r="MED45" s="234"/>
      <c r="MEE45" s="234"/>
      <c r="MEF45" s="234"/>
      <c r="MEG45" s="234"/>
      <c r="MEH45" s="234"/>
      <c r="MEI45" s="234"/>
      <c r="MEJ45" s="234"/>
      <c r="MEK45" s="234"/>
      <c r="MEL45" s="234"/>
      <c r="MEM45" s="234"/>
      <c r="MEN45" s="234"/>
      <c r="MEO45" s="234"/>
      <c r="MEP45" s="234"/>
      <c r="MEQ45" s="234"/>
      <c r="MER45" s="234"/>
      <c r="MES45" s="234"/>
      <c r="MET45" s="234"/>
      <c r="MEU45" s="234"/>
      <c r="MEV45" s="234"/>
      <c r="MEW45" s="234"/>
      <c r="MEX45" s="234"/>
      <c r="MEY45" s="234"/>
      <c r="MEZ45" s="234"/>
      <c r="MFA45" s="234"/>
      <c r="MFB45" s="234"/>
      <c r="MFC45" s="234"/>
      <c r="MFD45" s="234"/>
      <c r="MFE45" s="234"/>
      <c r="MFF45" s="234"/>
      <c r="MFG45" s="234"/>
      <c r="MFH45" s="234"/>
      <c r="MFI45" s="234"/>
      <c r="MFJ45" s="234"/>
      <c r="MFK45" s="234"/>
      <c r="MFL45" s="234"/>
      <c r="MFM45" s="234"/>
      <c r="MFN45" s="234"/>
      <c r="MFO45" s="234"/>
      <c r="MFP45" s="234"/>
      <c r="MFQ45" s="234"/>
      <c r="MFR45" s="234"/>
      <c r="MFS45" s="234"/>
      <c r="MFT45" s="234"/>
      <c r="MFU45" s="234"/>
      <c r="MFV45" s="234"/>
      <c r="MFW45" s="234"/>
      <c r="MFX45" s="234"/>
      <c r="MFY45" s="234"/>
      <c r="MFZ45" s="234"/>
      <c r="MGA45" s="234"/>
      <c r="MGB45" s="234"/>
      <c r="MGC45" s="234"/>
      <c r="MGD45" s="234"/>
      <c r="MGE45" s="234"/>
      <c r="MGF45" s="234"/>
      <c r="MGG45" s="234"/>
      <c r="MGH45" s="234"/>
      <c r="MGI45" s="234"/>
      <c r="MGJ45" s="234"/>
      <c r="MGK45" s="234"/>
      <c r="MGL45" s="234"/>
      <c r="MGM45" s="234"/>
      <c r="MGN45" s="234"/>
      <c r="MGO45" s="234"/>
      <c r="MGP45" s="234"/>
      <c r="MGQ45" s="234"/>
      <c r="MGR45" s="234"/>
      <c r="MGS45" s="234"/>
      <c r="MGT45" s="234"/>
      <c r="MGU45" s="234"/>
      <c r="MGV45" s="234"/>
      <c r="MGW45" s="234"/>
      <c r="MGX45" s="234"/>
      <c r="MGY45" s="234"/>
      <c r="MGZ45" s="234"/>
      <c r="MHA45" s="234"/>
      <c r="MHB45" s="234"/>
      <c r="MHC45" s="234"/>
      <c r="MHD45" s="234"/>
      <c r="MHE45" s="234"/>
      <c r="MHF45" s="234"/>
      <c r="MHG45" s="234"/>
      <c r="MHH45" s="234"/>
      <c r="MHI45" s="234"/>
      <c r="MHJ45" s="234"/>
      <c r="MHK45" s="234"/>
      <c r="MHL45" s="234"/>
      <c r="MHM45" s="234"/>
      <c r="MHN45" s="234"/>
      <c r="MHO45" s="234"/>
      <c r="MHP45" s="234"/>
      <c r="MHQ45" s="234"/>
      <c r="MHR45" s="234"/>
      <c r="MHS45" s="234"/>
      <c r="MHT45" s="234"/>
      <c r="MHU45" s="234"/>
      <c r="MHV45" s="234"/>
      <c r="MHW45" s="234"/>
      <c r="MHX45" s="234"/>
      <c r="MHY45" s="234"/>
      <c r="MHZ45" s="234"/>
      <c r="MIA45" s="234"/>
      <c r="MIB45" s="234"/>
      <c r="MIC45" s="234"/>
      <c r="MID45" s="234"/>
      <c r="MIE45" s="234"/>
      <c r="MIF45" s="234"/>
      <c r="MIG45" s="234"/>
      <c r="MIH45" s="234"/>
      <c r="MII45" s="234"/>
      <c r="MIJ45" s="234"/>
      <c r="MIK45" s="234"/>
      <c r="MIL45" s="234"/>
      <c r="MIM45" s="234"/>
      <c r="MIN45" s="234"/>
      <c r="MIO45" s="234"/>
      <c r="MIP45" s="234"/>
      <c r="MIQ45" s="234"/>
      <c r="MIR45" s="234"/>
      <c r="MIS45" s="234"/>
      <c r="MIT45" s="234"/>
      <c r="MIU45" s="234"/>
      <c r="MIV45" s="234"/>
      <c r="MIW45" s="234"/>
      <c r="MIX45" s="234"/>
      <c r="MIY45" s="234"/>
      <c r="MIZ45" s="234"/>
      <c r="MJA45" s="234"/>
      <c r="MJB45" s="234"/>
      <c r="MJC45" s="234"/>
      <c r="MJD45" s="234"/>
      <c r="MJE45" s="234"/>
      <c r="MJF45" s="234"/>
      <c r="MJG45" s="234"/>
      <c r="MJH45" s="234"/>
      <c r="MJI45" s="234"/>
      <c r="MJJ45" s="234"/>
      <c r="MJK45" s="234"/>
      <c r="MJL45" s="234"/>
      <c r="MJM45" s="234"/>
      <c r="MJN45" s="234"/>
      <c r="MJO45" s="234"/>
      <c r="MJP45" s="234"/>
      <c r="MJQ45" s="234"/>
      <c r="MJR45" s="234"/>
      <c r="MJS45" s="234"/>
      <c r="MJT45" s="234"/>
      <c r="MJU45" s="234"/>
      <c r="MJV45" s="234"/>
      <c r="MJW45" s="234"/>
      <c r="MJX45" s="234"/>
      <c r="MJY45" s="234"/>
      <c r="MJZ45" s="234"/>
      <c r="MKA45" s="234"/>
      <c r="MKB45" s="234"/>
      <c r="MKC45" s="234"/>
      <c r="MKD45" s="234"/>
      <c r="MKE45" s="234"/>
      <c r="MKF45" s="234"/>
      <c r="MKG45" s="234"/>
      <c r="MKH45" s="234"/>
      <c r="MKI45" s="234"/>
      <c r="MKJ45" s="234"/>
      <c r="MKK45" s="234"/>
      <c r="MKL45" s="234"/>
      <c r="MKM45" s="234"/>
      <c r="MKN45" s="234"/>
      <c r="MKO45" s="234"/>
      <c r="MKP45" s="234"/>
      <c r="MKQ45" s="234"/>
      <c r="MKR45" s="234"/>
      <c r="MKS45" s="234"/>
      <c r="MKT45" s="234"/>
      <c r="MKU45" s="234"/>
      <c r="MKV45" s="234"/>
      <c r="MKW45" s="234"/>
      <c r="MKX45" s="234"/>
      <c r="MKY45" s="234"/>
      <c r="MKZ45" s="234"/>
      <c r="MLA45" s="234"/>
      <c r="MLB45" s="234"/>
      <c r="MLC45" s="234"/>
      <c r="MLD45" s="234"/>
      <c r="MLE45" s="234"/>
      <c r="MLF45" s="234"/>
      <c r="MLG45" s="234"/>
      <c r="MLH45" s="234"/>
      <c r="MLI45" s="234"/>
      <c r="MLJ45" s="234"/>
      <c r="MLK45" s="234"/>
      <c r="MLL45" s="234"/>
      <c r="MLM45" s="234"/>
      <c r="MLN45" s="234"/>
      <c r="MLO45" s="234"/>
      <c r="MLP45" s="234"/>
      <c r="MLQ45" s="234"/>
      <c r="MLR45" s="234"/>
      <c r="MLS45" s="234"/>
      <c r="MLT45" s="234"/>
      <c r="MLU45" s="234"/>
      <c r="MLV45" s="234"/>
      <c r="MLW45" s="234"/>
      <c r="MLX45" s="234"/>
      <c r="MLY45" s="234"/>
      <c r="MLZ45" s="234"/>
      <c r="MMA45" s="234"/>
      <c r="MMB45" s="234"/>
      <c r="MMC45" s="234"/>
      <c r="MMD45" s="234"/>
      <c r="MME45" s="234"/>
      <c r="MMF45" s="234"/>
      <c r="MMG45" s="234"/>
      <c r="MMH45" s="234"/>
      <c r="MMI45" s="234"/>
      <c r="MMJ45" s="234"/>
      <c r="MMK45" s="234"/>
      <c r="MML45" s="234"/>
      <c r="MMM45" s="234"/>
      <c r="MMN45" s="234"/>
      <c r="MMO45" s="234"/>
      <c r="MMP45" s="234"/>
      <c r="MMQ45" s="234"/>
      <c r="MMR45" s="234"/>
      <c r="MMS45" s="234"/>
      <c r="MMT45" s="234"/>
      <c r="MMU45" s="234"/>
      <c r="MMV45" s="234"/>
      <c r="MMW45" s="234"/>
      <c r="MMX45" s="234"/>
      <c r="MMY45" s="234"/>
      <c r="MMZ45" s="234"/>
      <c r="MNA45" s="234"/>
      <c r="MNB45" s="234"/>
      <c r="MNC45" s="234"/>
      <c r="MND45" s="234"/>
      <c r="MNE45" s="234"/>
      <c r="MNF45" s="234"/>
      <c r="MNG45" s="234"/>
      <c r="MNH45" s="234"/>
      <c r="MNI45" s="234"/>
      <c r="MNJ45" s="234"/>
      <c r="MNK45" s="234"/>
      <c r="MNL45" s="234"/>
      <c r="MNM45" s="234"/>
      <c r="MNN45" s="234"/>
      <c r="MNO45" s="234"/>
      <c r="MNP45" s="234"/>
      <c r="MNQ45" s="234"/>
      <c r="MNR45" s="234"/>
      <c r="MNS45" s="234"/>
      <c r="MNT45" s="234"/>
      <c r="MNU45" s="234"/>
      <c r="MNV45" s="234"/>
      <c r="MNW45" s="234"/>
      <c r="MNX45" s="234"/>
      <c r="MNY45" s="234"/>
      <c r="MNZ45" s="234"/>
      <c r="MOA45" s="234"/>
      <c r="MOB45" s="234"/>
      <c r="MOC45" s="234"/>
      <c r="MOD45" s="234"/>
      <c r="MOE45" s="234"/>
      <c r="MOF45" s="234"/>
      <c r="MOG45" s="234"/>
      <c r="MOH45" s="234"/>
      <c r="MOI45" s="234"/>
      <c r="MOJ45" s="234"/>
      <c r="MOK45" s="234"/>
      <c r="MOL45" s="234"/>
      <c r="MOM45" s="234"/>
      <c r="MON45" s="234"/>
      <c r="MOO45" s="234"/>
      <c r="MOP45" s="234"/>
      <c r="MOQ45" s="234"/>
      <c r="MOR45" s="234"/>
      <c r="MOS45" s="234"/>
      <c r="MOT45" s="234"/>
      <c r="MOU45" s="234"/>
      <c r="MOV45" s="234"/>
      <c r="MOW45" s="234"/>
      <c r="MOX45" s="234"/>
      <c r="MOY45" s="234"/>
      <c r="MOZ45" s="234"/>
      <c r="MPA45" s="234"/>
      <c r="MPB45" s="234"/>
      <c r="MPC45" s="234"/>
      <c r="MPD45" s="234"/>
      <c r="MPE45" s="234"/>
      <c r="MPF45" s="234"/>
      <c r="MPG45" s="234"/>
      <c r="MPH45" s="234"/>
      <c r="MPI45" s="234"/>
      <c r="MPJ45" s="234"/>
      <c r="MPK45" s="234"/>
      <c r="MPL45" s="234"/>
      <c r="MPM45" s="234"/>
      <c r="MPN45" s="234"/>
      <c r="MPO45" s="234"/>
      <c r="MPP45" s="234"/>
      <c r="MPQ45" s="234"/>
      <c r="MPR45" s="234"/>
      <c r="MPS45" s="234"/>
      <c r="MPT45" s="234"/>
      <c r="MPU45" s="234"/>
      <c r="MPV45" s="234"/>
      <c r="MPW45" s="234"/>
      <c r="MPX45" s="234"/>
      <c r="MPY45" s="234"/>
      <c r="MPZ45" s="234"/>
      <c r="MQA45" s="234"/>
      <c r="MQB45" s="234"/>
      <c r="MQC45" s="234"/>
      <c r="MQD45" s="234"/>
      <c r="MQE45" s="234"/>
      <c r="MQF45" s="234"/>
      <c r="MQG45" s="234"/>
      <c r="MQH45" s="234"/>
      <c r="MQI45" s="234"/>
      <c r="MQJ45" s="234"/>
      <c r="MQK45" s="234"/>
      <c r="MQL45" s="234"/>
      <c r="MQM45" s="234"/>
      <c r="MQN45" s="234"/>
      <c r="MQO45" s="234"/>
      <c r="MQP45" s="234"/>
      <c r="MQQ45" s="234"/>
      <c r="MQR45" s="234"/>
      <c r="MQS45" s="234"/>
      <c r="MQT45" s="234"/>
      <c r="MQU45" s="234"/>
      <c r="MQV45" s="234"/>
      <c r="MQW45" s="234"/>
      <c r="MQX45" s="234"/>
      <c r="MQY45" s="234"/>
      <c r="MQZ45" s="234"/>
      <c r="MRA45" s="234"/>
      <c r="MRB45" s="234"/>
      <c r="MRC45" s="234"/>
      <c r="MRD45" s="234"/>
      <c r="MRE45" s="234"/>
      <c r="MRF45" s="234"/>
      <c r="MRG45" s="234"/>
      <c r="MRH45" s="234"/>
      <c r="MRI45" s="234"/>
      <c r="MRJ45" s="234"/>
      <c r="MRK45" s="234"/>
      <c r="MRL45" s="234"/>
      <c r="MRM45" s="234"/>
      <c r="MRN45" s="234"/>
      <c r="MRO45" s="234"/>
      <c r="MRP45" s="234"/>
      <c r="MRQ45" s="234"/>
      <c r="MRR45" s="234"/>
      <c r="MRS45" s="234"/>
      <c r="MRT45" s="234"/>
      <c r="MRU45" s="234"/>
      <c r="MRV45" s="234"/>
      <c r="MRW45" s="234"/>
      <c r="MRX45" s="234"/>
      <c r="MRY45" s="234"/>
      <c r="MRZ45" s="234"/>
      <c r="MSA45" s="234"/>
      <c r="MSB45" s="234"/>
      <c r="MSC45" s="234"/>
      <c r="MSD45" s="234"/>
      <c r="MSE45" s="234"/>
      <c r="MSF45" s="234"/>
      <c r="MSG45" s="234"/>
      <c r="MSH45" s="234"/>
      <c r="MSI45" s="234"/>
      <c r="MSJ45" s="234"/>
      <c r="MSK45" s="234"/>
      <c r="MSL45" s="234"/>
      <c r="MSM45" s="234"/>
      <c r="MSN45" s="234"/>
      <c r="MSO45" s="234"/>
      <c r="MSP45" s="234"/>
      <c r="MSQ45" s="234"/>
      <c r="MSR45" s="234"/>
      <c r="MSS45" s="234"/>
      <c r="MST45" s="234"/>
      <c r="MSU45" s="234"/>
      <c r="MSV45" s="234"/>
      <c r="MSW45" s="234"/>
      <c r="MSX45" s="234"/>
      <c r="MSY45" s="234"/>
      <c r="MSZ45" s="234"/>
      <c r="MTA45" s="234"/>
      <c r="MTB45" s="234"/>
      <c r="MTC45" s="234"/>
      <c r="MTD45" s="234"/>
      <c r="MTE45" s="234"/>
      <c r="MTF45" s="234"/>
      <c r="MTG45" s="234"/>
      <c r="MTH45" s="234"/>
      <c r="MTI45" s="234"/>
      <c r="MTJ45" s="234"/>
      <c r="MTK45" s="234"/>
      <c r="MTL45" s="234"/>
      <c r="MTM45" s="234"/>
      <c r="MTN45" s="234"/>
      <c r="MTO45" s="234"/>
      <c r="MTP45" s="234"/>
      <c r="MTQ45" s="234"/>
      <c r="MTR45" s="234"/>
      <c r="MTS45" s="234"/>
      <c r="MTT45" s="234"/>
      <c r="MTU45" s="234"/>
      <c r="MTV45" s="234"/>
      <c r="MTW45" s="234"/>
      <c r="MTX45" s="234"/>
      <c r="MTY45" s="234"/>
      <c r="MTZ45" s="234"/>
      <c r="MUA45" s="234"/>
      <c r="MUB45" s="234"/>
      <c r="MUC45" s="234"/>
      <c r="MUD45" s="234"/>
      <c r="MUE45" s="234"/>
      <c r="MUF45" s="234"/>
      <c r="MUG45" s="234"/>
      <c r="MUH45" s="234"/>
      <c r="MUI45" s="234"/>
      <c r="MUJ45" s="234"/>
      <c r="MUK45" s="234"/>
      <c r="MUL45" s="234"/>
      <c r="MUM45" s="234"/>
      <c r="MUN45" s="234"/>
      <c r="MUO45" s="234"/>
      <c r="MUP45" s="234"/>
      <c r="MUQ45" s="234"/>
      <c r="MUR45" s="234"/>
      <c r="MUS45" s="234"/>
      <c r="MUT45" s="234"/>
      <c r="MUU45" s="234"/>
      <c r="MUV45" s="234"/>
      <c r="MUW45" s="234"/>
      <c r="MUX45" s="234"/>
      <c r="MUY45" s="234"/>
      <c r="MUZ45" s="234"/>
      <c r="MVA45" s="234"/>
      <c r="MVB45" s="234"/>
      <c r="MVC45" s="234"/>
      <c r="MVD45" s="234"/>
      <c r="MVE45" s="234"/>
      <c r="MVF45" s="234"/>
      <c r="MVG45" s="234"/>
      <c r="MVH45" s="234"/>
      <c r="MVI45" s="234"/>
      <c r="MVJ45" s="234"/>
      <c r="MVK45" s="234"/>
      <c r="MVL45" s="234"/>
      <c r="MVM45" s="234"/>
      <c r="MVN45" s="234"/>
      <c r="MVO45" s="234"/>
      <c r="MVP45" s="234"/>
      <c r="MVQ45" s="234"/>
      <c r="MVR45" s="234"/>
      <c r="MVS45" s="234"/>
      <c r="MVT45" s="234"/>
      <c r="MVU45" s="234"/>
      <c r="MVV45" s="234"/>
      <c r="MVW45" s="234"/>
      <c r="MVX45" s="234"/>
      <c r="MVY45" s="234"/>
      <c r="MVZ45" s="234"/>
      <c r="MWA45" s="234"/>
      <c r="MWB45" s="234"/>
      <c r="MWC45" s="234"/>
      <c r="MWD45" s="234"/>
      <c r="MWE45" s="234"/>
      <c r="MWF45" s="234"/>
      <c r="MWG45" s="234"/>
      <c r="MWH45" s="234"/>
      <c r="MWI45" s="234"/>
      <c r="MWJ45" s="234"/>
      <c r="MWK45" s="234"/>
      <c r="MWL45" s="234"/>
      <c r="MWM45" s="234"/>
      <c r="MWN45" s="234"/>
      <c r="MWO45" s="234"/>
      <c r="MWP45" s="234"/>
      <c r="MWQ45" s="234"/>
      <c r="MWR45" s="234"/>
      <c r="MWS45" s="234"/>
      <c r="MWT45" s="234"/>
      <c r="MWU45" s="234"/>
      <c r="MWV45" s="234"/>
      <c r="MWW45" s="234"/>
      <c r="MWX45" s="234"/>
      <c r="MWY45" s="234"/>
      <c r="MWZ45" s="234"/>
      <c r="MXA45" s="234"/>
      <c r="MXB45" s="234"/>
      <c r="MXC45" s="234"/>
      <c r="MXD45" s="234"/>
      <c r="MXE45" s="234"/>
      <c r="MXF45" s="234"/>
      <c r="MXG45" s="234"/>
      <c r="MXH45" s="234"/>
      <c r="MXI45" s="234"/>
      <c r="MXJ45" s="234"/>
      <c r="MXK45" s="234"/>
      <c r="MXL45" s="234"/>
      <c r="MXM45" s="234"/>
      <c r="MXN45" s="234"/>
      <c r="MXO45" s="234"/>
      <c r="MXP45" s="234"/>
      <c r="MXQ45" s="234"/>
      <c r="MXR45" s="234"/>
      <c r="MXS45" s="234"/>
      <c r="MXT45" s="234"/>
      <c r="MXU45" s="234"/>
      <c r="MXV45" s="234"/>
      <c r="MXW45" s="234"/>
      <c r="MXX45" s="234"/>
      <c r="MXY45" s="234"/>
      <c r="MXZ45" s="234"/>
      <c r="MYA45" s="234"/>
      <c r="MYB45" s="234"/>
      <c r="MYC45" s="234"/>
      <c r="MYD45" s="234"/>
      <c r="MYE45" s="234"/>
      <c r="MYF45" s="234"/>
      <c r="MYG45" s="234"/>
      <c r="MYH45" s="234"/>
      <c r="MYI45" s="234"/>
      <c r="MYJ45" s="234"/>
      <c r="MYK45" s="234"/>
      <c r="MYL45" s="234"/>
      <c r="MYM45" s="234"/>
      <c r="MYN45" s="234"/>
      <c r="MYO45" s="234"/>
      <c r="MYP45" s="234"/>
      <c r="MYQ45" s="234"/>
      <c r="MYR45" s="234"/>
      <c r="MYS45" s="234"/>
      <c r="MYT45" s="234"/>
      <c r="MYU45" s="234"/>
      <c r="MYV45" s="234"/>
      <c r="MYW45" s="234"/>
      <c r="MYX45" s="234"/>
      <c r="MYY45" s="234"/>
      <c r="MYZ45" s="234"/>
      <c r="MZA45" s="234"/>
      <c r="MZB45" s="234"/>
      <c r="MZC45" s="234"/>
      <c r="MZD45" s="234"/>
      <c r="MZE45" s="234"/>
      <c r="MZF45" s="234"/>
      <c r="MZG45" s="234"/>
      <c r="MZH45" s="234"/>
      <c r="MZI45" s="234"/>
      <c r="MZJ45" s="234"/>
      <c r="MZK45" s="234"/>
      <c r="MZL45" s="234"/>
      <c r="MZM45" s="234"/>
      <c r="MZN45" s="234"/>
      <c r="MZO45" s="234"/>
      <c r="MZP45" s="234"/>
      <c r="MZQ45" s="234"/>
      <c r="MZR45" s="234"/>
      <c r="MZS45" s="234"/>
      <c r="MZT45" s="234"/>
      <c r="MZU45" s="234"/>
      <c r="MZV45" s="234"/>
      <c r="MZW45" s="234"/>
      <c r="MZX45" s="234"/>
      <c r="MZY45" s="234"/>
      <c r="MZZ45" s="234"/>
      <c r="NAA45" s="234"/>
      <c r="NAB45" s="234"/>
      <c r="NAC45" s="234"/>
      <c r="NAD45" s="234"/>
      <c r="NAE45" s="234"/>
      <c r="NAF45" s="234"/>
      <c r="NAG45" s="234"/>
      <c r="NAH45" s="234"/>
      <c r="NAI45" s="234"/>
      <c r="NAJ45" s="234"/>
      <c r="NAK45" s="234"/>
      <c r="NAL45" s="234"/>
      <c r="NAM45" s="234"/>
      <c r="NAN45" s="234"/>
      <c r="NAO45" s="234"/>
      <c r="NAP45" s="234"/>
      <c r="NAQ45" s="234"/>
      <c r="NAR45" s="234"/>
      <c r="NAS45" s="234"/>
      <c r="NAT45" s="234"/>
      <c r="NAU45" s="234"/>
      <c r="NAV45" s="234"/>
      <c r="NAW45" s="234"/>
      <c r="NAX45" s="234"/>
      <c r="NAY45" s="234"/>
      <c r="NAZ45" s="234"/>
      <c r="NBA45" s="234"/>
      <c r="NBB45" s="234"/>
      <c r="NBC45" s="234"/>
      <c r="NBD45" s="234"/>
      <c r="NBE45" s="234"/>
      <c r="NBF45" s="234"/>
      <c r="NBG45" s="234"/>
      <c r="NBH45" s="234"/>
      <c r="NBI45" s="234"/>
      <c r="NBJ45" s="234"/>
      <c r="NBK45" s="234"/>
      <c r="NBL45" s="234"/>
      <c r="NBM45" s="234"/>
      <c r="NBN45" s="234"/>
      <c r="NBO45" s="234"/>
      <c r="NBP45" s="234"/>
      <c r="NBQ45" s="234"/>
      <c r="NBR45" s="234"/>
      <c r="NBS45" s="234"/>
      <c r="NBT45" s="234"/>
      <c r="NBU45" s="234"/>
      <c r="NBV45" s="234"/>
      <c r="NBW45" s="234"/>
      <c r="NBX45" s="234"/>
      <c r="NBY45" s="234"/>
      <c r="NBZ45" s="234"/>
      <c r="NCA45" s="234"/>
      <c r="NCB45" s="234"/>
      <c r="NCC45" s="234"/>
      <c r="NCD45" s="234"/>
      <c r="NCE45" s="234"/>
      <c r="NCF45" s="234"/>
      <c r="NCG45" s="234"/>
      <c r="NCH45" s="234"/>
      <c r="NCI45" s="234"/>
      <c r="NCJ45" s="234"/>
      <c r="NCK45" s="234"/>
      <c r="NCL45" s="234"/>
      <c r="NCM45" s="234"/>
      <c r="NCN45" s="234"/>
      <c r="NCO45" s="234"/>
      <c r="NCP45" s="234"/>
      <c r="NCQ45" s="234"/>
      <c r="NCR45" s="234"/>
      <c r="NCS45" s="234"/>
      <c r="NCT45" s="234"/>
      <c r="NCU45" s="234"/>
      <c r="NCV45" s="234"/>
      <c r="NCW45" s="234"/>
      <c r="NCX45" s="234"/>
      <c r="NCY45" s="234"/>
      <c r="NCZ45" s="234"/>
      <c r="NDA45" s="234"/>
      <c r="NDB45" s="234"/>
      <c r="NDC45" s="234"/>
      <c r="NDD45" s="234"/>
      <c r="NDE45" s="234"/>
      <c r="NDF45" s="234"/>
      <c r="NDG45" s="234"/>
      <c r="NDH45" s="234"/>
      <c r="NDI45" s="234"/>
      <c r="NDJ45" s="234"/>
      <c r="NDK45" s="234"/>
      <c r="NDL45" s="234"/>
      <c r="NDM45" s="234"/>
      <c r="NDN45" s="234"/>
      <c r="NDO45" s="234"/>
      <c r="NDP45" s="234"/>
      <c r="NDQ45" s="234"/>
      <c r="NDR45" s="234"/>
      <c r="NDS45" s="234"/>
      <c r="NDT45" s="234"/>
      <c r="NDU45" s="234"/>
      <c r="NDV45" s="234"/>
      <c r="NDW45" s="234"/>
      <c r="NDX45" s="234"/>
      <c r="NDY45" s="234"/>
      <c r="NDZ45" s="234"/>
      <c r="NEA45" s="234"/>
      <c r="NEB45" s="234"/>
      <c r="NEC45" s="234"/>
      <c r="NED45" s="234"/>
      <c r="NEE45" s="234"/>
      <c r="NEF45" s="234"/>
      <c r="NEG45" s="234"/>
      <c r="NEH45" s="234"/>
      <c r="NEI45" s="234"/>
      <c r="NEJ45" s="234"/>
      <c r="NEK45" s="234"/>
      <c r="NEL45" s="234"/>
      <c r="NEM45" s="234"/>
      <c r="NEN45" s="234"/>
      <c r="NEO45" s="234"/>
      <c r="NEP45" s="234"/>
      <c r="NEQ45" s="234"/>
      <c r="NER45" s="234"/>
      <c r="NES45" s="234"/>
      <c r="NET45" s="234"/>
      <c r="NEU45" s="234"/>
      <c r="NEV45" s="234"/>
      <c r="NEW45" s="234"/>
      <c r="NEX45" s="234"/>
      <c r="NEY45" s="234"/>
      <c r="NEZ45" s="234"/>
      <c r="NFA45" s="234"/>
      <c r="NFB45" s="234"/>
      <c r="NFC45" s="234"/>
      <c r="NFD45" s="234"/>
      <c r="NFE45" s="234"/>
      <c r="NFF45" s="234"/>
      <c r="NFG45" s="234"/>
      <c r="NFH45" s="234"/>
      <c r="NFI45" s="234"/>
      <c r="NFJ45" s="234"/>
      <c r="NFK45" s="234"/>
      <c r="NFL45" s="234"/>
      <c r="NFM45" s="234"/>
      <c r="NFN45" s="234"/>
      <c r="NFO45" s="234"/>
      <c r="NFP45" s="234"/>
      <c r="NFQ45" s="234"/>
      <c r="NFR45" s="234"/>
      <c r="NFS45" s="234"/>
      <c r="NFT45" s="234"/>
      <c r="NFU45" s="234"/>
      <c r="NFV45" s="234"/>
      <c r="NFW45" s="234"/>
      <c r="NFX45" s="234"/>
      <c r="NFY45" s="234"/>
      <c r="NFZ45" s="234"/>
      <c r="NGA45" s="234"/>
      <c r="NGB45" s="234"/>
      <c r="NGC45" s="234"/>
      <c r="NGD45" s="234"/>
      <c r="NGE45" s="234"/>
      <c r="NGF45" s="234"/>
      <c r="NGG45" s="234"/>
      <c r="NGH45" s="234"/>
      <c r="NGI45" s="234"/>
      <c r="NGJ45" s="234"/>
      <c r="NGK45" s="234"/>
      <c r="NGL45" s="234"/>
      <c r="NGM45" s="234"/>
      <c r="NGN45" s="234"/>
      <c r="NGO45" s="234"/>
      <c r="NGP45" s="234"/>
      <c r="NGQ45" s="234"/>
      <c r="NGR45" s="234"/>
      <c r="NGS45" s="234"/>
      <c r="NGT45" s="234"/>
      <c r="NGU45" s="234"/>
      <c r="NGV45" s="234"/>
      <c r="NGW45" s="234"/>
      <c r="NGX45" s="234"/>
      <c r="NGY45" s="234"/>
      <c r="NGZ45" s="234"/>
      <c r="NHA45" s="234"/>
      <c r="NHB45" s="234"/>
      <c r="NHC45" s="234"/>
      <c r="NHD45" s="234"/>
      <c r="NHE45" s="234"/>
      <c r="NHF45" s="234"/>
      <c r="NHG45" s="234"/>
      <c r="NHH45" s="234"/>
      <c r="NHI45" s="234"/>
      <c r="NHJ45" s="234"/>
      <c r="NHK45" s="234"/>
      <c r="NHL45" s="234"/>
      <c r="NHM45" s="234"/>
      <c r="NHN45" s="234"/>
      <c r="NHO45" s="234"/>
      <c r="NHP45" s="234"/>
      <c r="NHQ45" s="234"/>
      <c r="NHR45" s="234"/>
      <c r="NHS45" s="234"/>
      <c r="NHT45" s="234"/>
      <c r="NHU45" s="234"/>
      <c r="NHV45" s="234"/>
      <c r="NHW45" s="234"/>
      <c r="NHX45" s="234"/>
      <c r="NHY45" s="234"/>
      <c r="NHZ45" s="234"/>
      <c r="NIA45" s="234"/>
      <c r="NIB45" s="234"/>
      <c r="NIC45" s="234"/>
      <c r="NID45" s="234"/>
      <c r="NIE45" s="234"/>
      <c r="NIF45" s="234"/>
      <c r="NIG45" s="234"/>
      <c r="NIH45" s="234"/>
      <c r="NII45" s="234"/>
      <c r="NIJ45" s="234"/>
      <c r="NIK45" s="234"/>
      <c r="NIL45" s="234"/>
      <c r="NIM45" s="234"/>
      <c r="NIN45" s="234"/>
      <c r="NIO45" s="234"/>
      <c r="NIP45" s="234"/>
      <c r="NIQ45" s="234"/>
      <c r="NIR45" s="234"/>
      <c r="NIS45" s="234"/>
      <c r="NIT45" s="234"/>
      <c r="NIU45" s="234"/>
      <c r="NIV45" s="234"/>
      <c r="NIW45" s="234"/>
      <c r="NIX45" s="234"/>
      <c r="NIY45" s="234"/>
      <c r="NIZ45" s="234"/>
      <c r="NJA45" s="234"/>
      <c r="NJB45" s="234"/>
      <c r="NJC45" s="234"/>
      <c r="NJD45" s="234"/>
      <c r="NJE45" s="234"/>
      <c r="NJF45" s="234"/>
      <c r="NJG45" s="234"/>
      <c r="NJH45" s="234"/>
      <c r="NJI45" s="234"/>
      <c r="NJJ45" s="234"/>
      <c r="NJK45" s="234"/>
      <c r="NJL45" s="234"/>
      <c r="NJM45" s="234"/>
      <c r="NJN45" s="234"/>
      <c r="NJO45" s="234"/>
      <c r="NJP45" s="234"/>
      <c r="NJQ45" s="234"/>
      <c r="NJR45" s="234"/>
      <c r="NJS45" s="234"/>
      <c r="NJT45" s="234"/>
      <c r="NJU45" s="234"/>
      <c r="NJV45" s="234"/>
      <c r="NJW45" s="234"/>
      <c r="NJX45" s="234"/>
      <c r="NJY45" s="234"/>
      <c r="NJZ45" s="234"/>
      <c r="NKA45" s="234"/>
      <c r="NKB45" s="234"/>
      <c r="NKC45" s="234"/>
      <c r="NKD45" s="234"/>
      <c r="NKE45" s="234"/>
      <c r="NKF45" s="234"/>
      <c r="NKG45" s="234"/>
      <c r="NKH45" s="234"/>
      <c r="NKI45" s="234"/>
      <c r="NKJ45" s="234"/>
      <c r="NKK45" s="234"/>
      <c r="NKL45" s="234"/>
      <c r="NKM45" s="234"/>
      <c r="NKN45" s="234"/>
      <c r="NKO45" s="234"/>
      <c r="NKP45" s="234"/>
      <c r="NKQ45" s="234"/>
      <c r="NKR45" s="234"/>
      <c r="NKS45" s="234"/>
      <c r="NKT45" s="234"/>
      <c r="NKU45" s="234"/>
      <c r="NKV45" s="234"/>
      <c r="NKW45" s="234"/>
      <c r="NKX45" s="234"/>
      <c r="NKY45" s="234"/>
      <c r="NKZ45" s="234"/>
      <c r="NLA45" s="234"/>
      <c r="NLB45" s="234"/>
      <c r="NLC45" s="234"/>
      <c r="NLD45" s="234"/>
      <c r="NLE45" s="234"/>
      <c r="NLF45" s="234"/>
      <c r="NLG45" s="234"/>
      <c r="NLH45" s="234"/>
      <c r="NLI45" s="234"/>
      <c r="NLJ45" s="234"/>
      <c r="NLK45" s="234"/>
      <c r="NLL45" s="234"/>
      <c r="NLM45" s="234"/>
      <c r="NLN45" s="234"/>
      <c r="NLO45" s="234"/>
      <c r="NLP45" s="234"/>
      <c r="NLQ45" s="234"/>
      <c r="NLR45" s="234"/>
      <c r="NLS45" s="234"/>
      <c r="NLT45" s="234"/>
      <c r="NLU45" s="234"/>
      <c r="NLV45" s="234"/>
      <c r="NLW45" s="234"/>
      <c r="NLX45" s="234"/>
      <c r="NLY45" s="234"/>
      <c r="NLZ45" s="234"/>
      <c r="NMA45" s="234"/>
      <c r="NMB45" s="234"/>
      <c r="NMC45" s="234"/>
      <c r="NMD45" s="234"/>
      <c r="NME45" s="234"/>
      <c r="NMF45" s="234"/>
      <c r="NMG45" s="234"/>
      <c r="NMH45" s="234"/>
      <c r="NMI45" s="234"/>
      <c r="NMJ45" s="234"/>
      <c r="NMK45" s="234"/>
      <c r="NML45" s="234"/>
      <c r="NMM45" s="234"/>
      <c r="NMN45" s="234"/>
      <c r="NMO45" s="234"/>
      <c r="NMP45" s="234"/>
      <c r="NMQ45" s="234"/>
      <c r="NMR45" s="234"/>
      <c r="NMS45" s="234"/>
      <c r="NMT45" s="234"/>
      <c r="NMU45" s="234"/>
      <c r="NMV45" s="234"/>
      <c r="NMW45" s="234"/>
      <c r="NMX45" s="234"/>
      <c r="NMY45" s="234"/>
      <c r="NMZ45" s="234"/>
      <c r="NNA45" s="234"/>
      <c r="NNB45" s="234"/>
      <c r="NNC45" s="234"/>
      <c r="NND45" s="234"/>
      <c r="NNE45" s="234"/>
      <c r="NNF45" s="234"/>
      <c r="NNG45" s="234"/>
      <c r="NNH45" s="234"/>
      <c r="NNI45" s="234"/>
      <c r="NNJ45" s="234"/>
      <c r="NNK45" s="234"/>
      <c r="NNL45" s="234"/>
      <c r="NNM45" s="234"/>
      <c r="NNN45" s="234"/>
      <c r="NNO45" s="234"/>
      <c r="NNP45" s="234"/>
      <c r="NNQ45" s="234"/>
      <c r="NNR45" s="234"/>
      <c r="NNS45" s="234"/>
      <c r="NNT45" s="234"/>
      <c r="NNU45" s="234"/>
      <c r="NNV45" s="234"/>
      <c r="NNW45" s="234"/>
      <c r="NNX45" s="234"/>
      <c r="NNY45" s="234"/>
      <c r="NNZ45" s="234"/>
      <c r="NOA45" s="234"/>
      <c r="NOB45" s="234"/>
      <c r="NOC45" s="234"/>
      <c r="NOD45" s="234"/>
      <c r="NOE45" s="234"/>
      <c r="NOF45" s="234"/>
      <c r="NOG45" s="234"/>
      <c r="NOH45" s="234"/>
      <c r="NOI45" s="234"/>
      <c r="NOJ45" s="234"/>
      <c r="NOK45" s="234"/>
      <c r="NOL45" s="234"/>
      <c r="NOM45" s="234"/>
      <c r="NON45" s="234"/>
      <c r="NOO45" s="234"/>
      <c r="NOP45" s="234"/>
      <c r="NOQ45" s="234"/>
      <c r="NOR45" s="234"/>
      <c r="NOS45" s="234"/>
      <c r="NOT45" s="234"/>
      <c r="NOU45" s="234"/>
      <c r="NOV45" s="234"/>
      <c r="NOW45" s="234"/>
      <c r="NOX45" s="234"/>
      <c r="NOY45" s="234"/>
      <c r="NOZ45" s="234"/>
      <c r="NPA45" s="234"/>
      <c r="NPB45" s="234"/>
      <c r="NPC45" s="234"/>
      <c r="NPD45" s="234"/>
      <c r="NPE45" s="234"/>
      <c r="NPF45" s="234"/>
      <c r="NPG45" s="234"/>
      <c r="NPH45" s="234"/>
      <c r="NPI45" s="234"/>
      <c r="NPJ45" s="234"/>
      <c r="NPK45" s="234"/>
      <c r="NPL45" s="234"/>
      <c r="NPM45" s="234"/>
      <c r="NPN45" s="234"/>
      <c r="NPO45" s="234"/>
      <c r="NPP45" s="234"/>
      <c r="NPQ45" s="234"/>
      <c r="NPR45" s="234"/>
      <c r="NPS45" s="234"/>
      <c r="NPT45" s="234"/>
      <c r="NPU45" s="234"/>
      <c r="NPV45" s="234"/>
      <c r="NPW45" s="234"/>
      <c r="NPX45" s="234"/>
      <c r="NPY45" s="234"/>
      <c r="NPZ45" s="234"/>
      <c r="NQA45" s="234"/>
      <c r="NQB45" s="234"/>
      <c r="NQC45" s="234"/>
      <c r="NQD45" s="234"/>
      <c r="NQE45" s="234"/>
      <c r="NQF45" s="234"/>
      <c r="NQG45" s="234"/>
      <c r="NQH45" s="234"/>
      <c r="NQI45" s="234"/>
      <c r="NQJ45" s="234"/>
      <c r="NQK45" s="234"/>
      <c r="NQL45" s="234"/>
      <c r="NQM45" s="234"/>
      <c r="NQN45" s="234"/>
      <c r="NQO45" s="234"/>
      <c r="NQP45" s="234"/>
      <c r="NQQ45" s="234"/>
      <c r="NQR45" s="234"/>
      <c r="NQS45" s="234"/>
      <c r="NQT45" s="234"/>
      <c r="NQU45" s="234"/>
      <c r="NQV45" s="234"/>
      <c r="NQW45" s="234"/>
      <c r="NQX45" s="234"/>
      <c r="NQY45" s="234"/>
      <c r="NQZ45" s="234"/>
      <c r="NRA45" s="234"/>
      <c r="NRB45" s="234"/>
      <c r="NRC45" s="234"/>
      <c r="NRD45" s="234"/>
      <c r="NRE45" s="234"/>
      <c r="NRF45" s="234"/>
      <c r="NRG45" s="234"/>
      <c r="NRH45" s="234"/>
      <c r="NRI45" s="234"/>
      <c r="NRJ45" s="234"/>
      <c r="NRK45" s="234"/>
      <c r="NRL45" s="234"/>
      <c r="NRM45" s="234"/>
      <c r="NRN45" s="234"/>
      <c r="NRO45" s="234"/>
      <c r="NRP45" s="234"/>
      <c r="NRQ45" s="234"/>
      <c r="NRR45" s="234"/>
      <c r="NRS45" s="234"/>
      <c r="NRT45" s="234"/>
      <c r="NRU45" s="234"/>
      <c r="NRV45" s="234"/>
      <c r="NRW45" s="234"/>
      <c r="NRX45" s="234"/>
      <c r="NRY45" s="234"/>
      <c r="NRZ45" s="234"/>
      <c r="NSA45" s="234"/>
      <c r="NSB45" s="234"/>
      <c r="NSC45" s="234"/>
      <c r="NSD45" s="234"/>
      <c r="NSE45" s="234"/>
      <c r="NSF45" s="234"/>
      <c r="NSG45" s="234"/>
      <c r="NSH45" s="234"/>
      <c r="NSI45" s="234"/>
      <c r="NSJ45" s="234"/>
      <c r="NSK45" s="234"/>
      <c r="NSL45" s="234"/>
      <c r="NSM45" s="234"/>
      <c r="NSN45" s="234"/>
      <c r="NSO45" s="234"/>
      <c r="NSP45" s="234"/>
      <c r="NSQ45" s="234"/>
      <c r="NSR45" s="234"/>
      <c r="NSS45" s="234"/>
      <c r="NST45" s="234"/>
      <c r="NSU45" s="234"/>
      <c r="NSV45" s="234"/>
      <c r="NSW45" s="234"/>
      <c r="NSX45" s="234"/>
      <c r="NSY45" s="234"/>
      <c r="NSZ45" s="234"/>
      <c r="NTA45" s="234"/>
      <c r="NTB45" s="234"/>
      <c r="NTC45" s="234"/>
      <c r="NTD45" s="234"/>
      <c r="NTE45" s="234"/>
      <c r="NTF45" s="234"/>
      <c r="NTG45" s="234"/>
      <c r="NTH45" s="234"/>
      <c r="NTI45" s="234"/>
      <c r="NTJ45" s="234"/>
      <c r="NTK45" s="234"/>
      <c r="NTL45" s="234"/>
      <c r="NTM45" s="234"/>
      <c r="NTN45" s="234"/>
      <c r="NTO45" s="234"/>
      <c r="NTP45" s="234"/>
      <c r="NTQ45" s="234"/>
      <c r="NTR45" s="234"/>
      <c r="NTS45" s="234"/>
      <c r="NTT45" s="234"/>
      <c r="NTU45" s="234"/>
      <c r="NTV45" s="234"/>
      <c r="NTW45" s="234"/>
      <c r="NTX45" s="234"/>
      <c r="NTY45" s="234"/>
      <c r="NTZ45" s="234"/>
      <c r="NUA45" s="234"/>
      <c r="NUB45" s="234"/>
      <c r="NUC45" s="234"/>
      <c r="NUD45" s="234"/>
      <c r="NUE45" s="234"/>
      <c r="NUF45" s="234"/>
      <c r="NUG45" s="234"/>
      <c r="NUH45" s="234"/>
      <c r="NUI45" s="234"/>
      <c r="NUJ45" s="234"/>
      <c r="NUK45" s="234"/>
      <c r="NUL45" s="234"/>
      <c r="NUM45" s="234"/>
      <c r="NUN45" s="234"/>
      <c r="NUO45" s="234"/>
      <c r="NUP45" s="234"/>
      <c r="NUQ45" s="234"/>
      <c r="NUR45" s="234"/>
      <c r="NUS45" s="234"/>
      <c r="NUT45" s="234"/>
      <c r="NUU45" s="234"/>
      <c r="NUV45" s="234"/>
      <c r="NUW45" s="234"/>
      <c r="NUX45" s="234"/>
      <c r="NUY45" s="234"/>
      <c r="NUZ45" s="234"/>
      <c r="NVA45" s="234"/>
      <c r="NVB45" s="234"/>
      <c r="NVC45" s="234"/>
      <c r="NVD45" s="234"/>
      <c r="NVE45" s="234"/>
      <c r="NVF45" s="234"/>
      <c r="NVG45" s="234"/>
      <c r="NVH45" s="234"/>
      <c r="NVI45" s="234"/>
      <c r="NVJ45" s="234"/>
      <c r="NVK45" s="234"/>
      <c r="NVL45" s="234"/>
      <c r="NVM45" s="234"/>
      <c r="NVN45" s="234"/>
      <c r="NVO45" s="234"/>
      <c r="NVP45" s="234"/>
      <c r="NVQ45" s="234"/>
      <c r="NVR45" s="234"/>
      <c r="NVS45" s="234"/>
      <c r="NVT45" s="234"/>
      <c r="NVU45" s="234"/>
      <c r="NVV45" s="234"/>
      <c r="NVW45" s="234"/>
      <c r="NVX45" s="234"/>
      <c r="NVY45" s="234"/>
      <c r="NVZ45" s="234"/>
      <c r="NWA45" s="234"/>
      <c r="NWB45" s="234"/>
      <c r="NWC45" s="234"/>
      <c r="NWD45" s="234"/>
      <c r="NWE45" s="234"/>
      <c r="NWF45" s="234"/>
      <c r="NWG45" s="234"/>
      <c r="NWH45" s="234"/>
      <c r="NWI45" s="234"/>
      <c r="NWJ45" s="234"/>
      <c r="NWK45" s="234"/>
      <c r="NWL45" s="234"/>
      <c r="NWM45" s="234"/>
      <c r="NWN45" s="234"/>
      <c r="NWO45" s="234"/>
      <c r="NWP45" s="234"/>
      <c r="NWQ45" s="234"/>
      <c r="NWR45" s="234"/>
      <c r="NWS45" s="234"/>
      <c r="NWT45" s="234"/>
      <c r="NWU45" s="234"/>
      <c r="NWV45" s="234"/>
      <c r="NWW45" s="234"/>
      <c r="NWX45" s="234"/>
      <c r="NWY45" s="234"/>
      <c r="NWZ45" s="234"/>
      <c r="NXA45" s="234"/>
      <c r="NXB45" s="234"/>
      <c r="NXC45" s="234"/>
      <c r="NXD45" s="234"/>
      <c r="NXE45" s="234"/>
      <c r="NXF45" s="234"/>
      <c r="NXG45" s="234"/>
      <c r="NXH45" s="234"/>
      <c r="NXI45" s="234"/>
      <c r="NXJ45" s="234"/>
      <c r="NXK45" s="234"/>
      <c r="NXL45" s="234"/>
      <c r="NXM45" s="234"/>
      <c r="NXN45" s="234"/>
      <c r="NXO45" s="234"/>
      <c r="NXP45" s="234"/>
      <c r="NXQ45" s="234"/>
      <c r="NXR45" s="234"/>
      <c r="NXS45" s="234"/>
      <c r="NXT45" s="234"/>
      <c r="NXU45" s="234"/>
      <c r="NXV45" s="234"/>
      <c r="NXW45" s="234"/>
      <c r="NXX45" s="234"/>
      <c r="NXY45" s="234"/>
      <c r="NXZ45" s="234"/>
      <c r="NYA45" s="234"/>
      <c r="NYB45" s="234"/>
      <c r="NYC45" s="234"/>
      <c r="NYD45" s="234"/>
      <c r="NYE45" s="234"/>
      <c r="NYF45" s="234"/>
      <c r="NYG45" s="234"/>
      <c r="NYH45" s="234"/>
      <c r="NYI45" s="234"/>
      <c r="NYJ45" s="234"/>
      <c r="NYK45" s="234"/>
      <c r="NYL45" s="234"/>
      <c r="NYM45" s="234"/>
      <c r="NYN45" s="234"/>
      <c r="NYO45" s="234"/>
      <c r="NYP45" s="234"/>
      <c r="NYQ45" s="234"/>
      <c r="NYR45" s="234"/>
      <c r="NYS45" s="234"/>
      <c r="NYT45" s="234"/>
      <c r="NYU45" s="234"/>
      <c r="NYV45" s="234"/>
      <c r="NYW45" s="234"/>
      <c r="NYX45" s="234"/>
      <c r="NYY45" s="234"/>
      <c r="NYZ45" s="234"/>
      <c r="NZA45" s="234"/>
      <c r="NZB45" s="234"/>
      <c r="NZC45" s="234"/>
      <c r="NZD45" s="234"/>
      <c r="NZE45" s="234"/>
      <c r="NZF45" s="234"/>
      <c r="NZG45" s="234"/>
      <c r="NZH45" s="234"/>
      <c r="NZI45" s="234"/>
      <c r="NZJ45" s="234"/>
      <c r="NZK45" s="234"/>
      <c r="NZL45" s="234"/>
      <c r="NZM45" s="234"/>
      <c r="NZN45" s="234"/>
      <c r="NZO45" s="234"/>
      <c r="NZP45" s="234"/>
      <c r="NZQ45" s="234"/>
      <c r="NZR45" s="234"/>
      <c r="NZS45" s="234"/>
      <c r="NZT45" s="234"/>
      <c r="NZU45" s="234"/>
      <c r="NZV45" s="234"/>
      <c r="NZW45" s="234"/>
      <c r="NZX45" s="234"/>
      <c r="NZY45" s="234"/>
      <c r="NZZ45" s="234"/>
      <c r="OAA45" s="234"/>
      <c r="OAB45" s="234"/>
      <c r="OAC45" s="234"/>
      <c r="OAD45" s="234"/>
      <c r="OAE45" s="234"/>
      <c r="OAF45" s="234"/>
      <c r="OAG45" s="234"/>
      <c r="OAH45" s="234"/>
      <c r="OAI45" s="234"/>
      <c r="OAJ45" s="234"/>
      <c r="OAK45" s="234"/>
      <c r="OAL45" s="234"/>
      <c r="OAM45" s="234"/>
      <c r="OAN45" s="234"/>
      <c r="OAO45" s="234"/>
      <c r="OAP45" s="234"/>
      <c r="OAQ45" s="234"/>
      <c r="OAR45" s="234"/>
      <c r="OAS45" s="234"/>
      <c r="OAT45" s="234"/>
      <c r="OAU45" s="234"/>
      <c r="OAV45" s="234"/>
      <c r="OAW45" s="234"/>
      <c r="OAX45" s="234"/>
      <c r="OAY45" s="234"/>
      <c r="OAZ45" s="234"/>
      <c r="OBA45" s="234"/>
      <c r="OBB45" s="234"/>
      <c r="OBC45" s="234"/>
      <c r="OBD45" s="234"/>
      <c r="OBE45" s="234"/>
      <c r="OBF45" s="234"/>
      <c r="OBG45" s="234"/>
      <c r="OBH45" s="234"/>
      <c r="OBI45" s="234"/>
      <c r="OBJ45" s="234"/>
      <c r="OBK45" s="234"/>
      <c r="OBL45" s="234"/>
      <c r="OBM45" s="234"/>
      <c r="OBN45" s="234"/>
      <c r="OBO45" s="234"/>
      <c r="OBP45" s="234"/>
      <c r="OBQ45" s="234"/>
      <c r="OBR45" s="234"/>
      <c r="OBS45" s="234"/>
      <c r="OBT45" s="234"/>
      <c r="OBU45" s="234"/>
      <c r="OBV45" s="234"/>
      <c r="OBW45" s="234"/>
      <c r="OBX45" s="234"/>
      <c r="OBY45" s="234"/>
      <c r="OBZ45" s="234"/>
      <c r="OCA45" s="234"/>
      <c r="OCB45" s="234"/>
      <c r="OCC45" s="234"/>
      <c r="OCD45" s="234"/>
      <c r="OCE45" s="234"/>
      <c r="OCF45" s="234"/>
      <c r="OCG45" s="234"/>
      <c r="OCH45" s="234"/>
      <c r="OCI45" s="234"/>
      <c r="OCJ45" s="234"/>
      <c r="OCK45" s="234"/>
      <c r="OCL45" s="234"/>
      <c r="OCM45" s="234"/>
      <c r="OCN45" s="234"/>
      <c r="OCO45" s="234"/>
      <c r="OCP45" s="234"/>
      <c r="OCQ45" s="234"/>
      <c r="OCR45" s="234"/>
      <c r="OCS45" s="234"/>
      <c r="OCT45" s="234"/>
      <c r="OCU45" s="234"/>
      <c r="OCV45" s="234"/>
      <c r="OCW45" s="234"/>
      <c r="OCX45" s="234"/>
      <c r="OCY45" s="234"/>
      <c r="OCZ45" s="234"/>
      <c r="ODA45" s="234"/>
      <c r="ODB45" s="234"/>
      <c r="ODC45" s="234"/>
      <c r="ODD45" s="234"/>
      <c r="ODE45" s="234"/>
      <c r="ODF45" s="234"/>
      <c r="ODG45" s="234"/>
      <c r="ODH45" s="234"/>
      <c r="ODI45" s="234"/>
      <c r="ODJ45" s="234"/>
      <c r="ODK45" s="234"/>
      <c r="ODL45" s="234"/>
      <c r="ODM45" s="234"/>
      <c r="ODN45" s="234"/>
      <c r="ODO45" s="234"/>
      <c r="ODP45" s="234"/>
      <c r="ODQ45" s="234"/>
      <c r="ODR45" s="234"/>
      <c r="ODS45" s="234"/>
      <c r="ODT45" s="234"/>
      <c r="ODU45" s="234"/>
      <c r="ODV45" s="234"/>
      <c r="ODW45" s="234"/>
      <c r="ODX45" s="234"/>
      <c r="ODY45" s="234"/>
      <c r="ODZ45" s="234"/>
      <c r="OEA45" s="234"/>
      <c r="OEB45" s="234"/>
      <c r="OEC45" s="234"/>
      <c r="OED45" s="234"/>
      <c r="OEE45" s="234"/>
      <c r="OEF45" s="234"/>
      <c r="OEG45" s="234"/>
      <c r="OEH45" s="234"/>
      <c r="OEI45" s="234"/>
      <c r="OEJ45" s="234"/>
      <c r="OEK45" s="234"/>
      <c r="OEL45" s="234"/>
      <c r="OEM45" s="234"/>
      <c r="OEN45" s="234"/>
      <c r="OEO45" s="234"/>
      <c r="OEP45" s="234"/>
      <c r="OEQ45" s="234"/>
      <c r="OER45" s="234"/>
      <c r="OES45" s="234"/>
      <c r="OET45" s="234"/>
      <c r="OEU45" s="234"/>
      <c r="OEV45" s="234"/>
      <c r="OEW45" s="234"/>
      <c r="OEX45" s="234"/>
      <c r="OEY45" s="234"/>
      <c r="OEZ45" s="234"/>
      <c r="OFA45" s="234"/>
      <c r="OFB45" s="234"/>
      <c r="OFC45" s="234"/>
      <c r="OFD45" s="234"/>
      <c r="OFE45" s="234"/>
      <c r="OFF45" s="234"/>
      <c r="OFG45" s="234"/>
      <c r="OFH45" s="234"/>
      <c r="OFI45" s="234"/>
      <c r="OFJ45" s="234"/>
      <c r="OFK45" s="234"/>
      <c r="OFL45" s="234"/>
      <c r="OFM45" s="234"/>
      <c r="OFN45" s="234"/>
      <c r="OFO45" s="234"/>
      <c r="OFP45" s="234"/>
      <c r="OFQ45" s="234"/>
      <c r="OFR45" s="234"/>
      <c r="OFS45" s="234"/>
      <c r="OFT45" s="234"/>
      <c r="OFU45" s="234"/>
      <c r="OFV45" s="234"/>
      <c r="OFW45" s="234"/>
      <c r="OFX45" s="234"/>
      <c r="OFY45" s="234"/>
      <c r="OFZ45" s="234"/>
      <c r="OGA45" s="234"/>
      <c r="OGB45" s="234"/>
      <c r="OGC45" s="234"/>
      <c r="OGD45" s="234"/>
      <c r="OGE45" s="234"/>
      <c r="OGF45" s="234"/>
      <c r="OGG45" s="234"/>
      <c r="OGH45" s="234"/>
      <c r="OGI45" s="234"/>
      <c r="OGJ45" s="234"/>
      <c r="OGK45" s="234"/>
      <c r="OGL45" s="234"/>
      <c r="OGM45" s="234"/>
      <c r="OGN45" s="234"/>
      <c r="OGO45" s="234"/>
      <c r="OGP45" s="234"/>
      <c r="OGQ45" s="234"/>
      <c r="OGR45" s="234"/>
      <c r="OGS45" s="234"/>
      <c r="OGT45" s="234"/>
      <c r="OGU45" s="234"/>
      <c r="OGV45" s="234"/>
      <c r="OGW45" s="234"/>
      <c r="OGX45" s="234"/>
      <c r="OGY45" s="234"/>
      <c r="OGZ45" s="234"/>
      <c r="OHA45" s="234"/>
      <c r="OHB45" s="234"/>
      <c r="OHC45" s="234"/>
      <c r="OHD45" s="234"/>
      <c r="OHE45" s="234"/>
      <c r="OHF45" s="234"/>
      <c r="OHG45" s="234"/>
      <c r="OHH45" s="234"/>
      <c r="OHI45" s="234"/>
      <c r="OHJ45" s="234"/>
      <c r="OHK45" s="234"/>
      <c r="OHL45" s="234"/>
      <c r="OHM45" s="234"/>
      <c r="OHN45" s="234"/>
      <c r="OHO45" s="234"/>
      <c r="OHP45" s="234"/>
      <c r="OHQ45" s="234"/>
      <c r="OHR45" s="234"/>
      <c r="OHS45" s="234"/>
      <c r="OHT45" s="234"/>
      <c r="OHU45" s="234"/>
      <c r="OHV45" s="234"/>
      <c r="OHW45" s="234"/>
      <c r="OHX45" s="234"/>
      <c r="OHY45" s="234"/>
      <c r="OHZ45" s="234"/>
      <c r="OIA45" s="234"/>
      <c r="OIB45" s="234"/>
      <c r="OIC45" s="234"/>
      <c r="OID45" s="234"/>
      <c r="OIE45" s="234"/>
      <c r="OIF45" s="234"/>
      <c r="OIG45" s="234"/>
      <c r="OIH45" s="234"/>
      <c r="OII45" s="234"/>
      <c r="OIJ45" s="234"/>
      <c r="OIK45" s="234"/>
      <c r="OIL45" s="234"/>
      <c r="OIM45" s="234"/>
      <c r="OIN45" s="234"/>
      <c r="OIO45" s="234"/>
      <c r="OIP45" s="234"/>
      <c r="OIQ45" s="234"/>
      <c r="OIR45" s="234"/>
      <c r="OIS45" s="234"/>
      <c r="OIT45" s="234"/>
      <c r="OIU45" s="234"/>
      <c r="OIV45" s="234"/>
      <c r="OIW45" s="234"/>
      <c r="OIX45" s="234"/>
      <c r="OIY45" s="234"/>
      <c r="OIZ45" s="234"/>
      <c r="OJA45" s="234"/>
      <c r="OJB45" s="234"/>
      <c r="OJC45" s="234"/>
      <c r="OJD45" s="234"/>
      <c r="OJE45" s="234"/>
      <c r="OJF45" s="234"/>
      <c r="OJG45" s="234"/>
      <c r="OJH45" s="234"/>
      <c r="OJI45" s="234"/>
      <c r="OJJ45" s="234"/>
      <c r="OJK45" s="234"/>
      <c r="OJL45" s="234"/>
      <c r="OJM45" s="234"/>
      <c r="OJN45" s="234"/>
      <c r="OJO45" s="234"/>
      <c r="OJP45" s="234"/>
      <c r="OJQ45" s="234"/>
      <c r="OJR45" s="234"/>
      <c r="OJS45" s="234"/>
      <c r="OJT45" s="234"/>
      <c r="OJU45" s="234"/>
      <c r="OJV45" s="234"/>
      <c r="OJW45" s="234"/>
      <c r="OJX45" s="234"/>
      <c r="OJY45" s="234"/>
      <c r="OJZ45" s="234"/>
      <c r="OKA45" s="234"/>
      <c r="OKB45" s="234"/>
      <c r="OKC45" s="234"/>
      <c r="OKD45" s="234"/>
      <c r="OKE45" s="234"/>
      <c r="OKF45" s="234"/>
      <c r="OKG45" s="234"/>
      <c r="OKH45" s="234"/>
      <c r="OKI45" s="234"/>
      <c r="OKJ45" s="234"/>
      <c r="OKK45" s="234"/>
      <c r="OKL45" s="234"/>
      <c r="OKM45" s="234"/>
      <c r="OKN45" s="234"/>
      <c r="OKO45" s="234"/>
      <c r="OKP45" s="234"/>
      <c r="OKQ45" s="234"/>
      <c r="OKR45" s="234"/>
      <c r="OKS45" s="234"/>
      <c r="OKT45" s="234"/>
      <c r="OKU45" s="234"/>
      <c r="OKV45" s="234"/>
      <c r="OKW45" s="234"/>
      <c r="OKX45" s="234"/>
      <c r="OKY45" s="234"/>
      <c r="OKZ45" s="234"/>
      <c r="OLA45" s="234"/>
      <c r="OLB45" s="234"/>
      <c r="OLC45" s="234"/>
      <c r="OLD45" s="234"/>
      <c r="OLE45" s="234"/>
      <c r="OLF45" s="234"/>
      <c r="OLG45" s="234"/>
      <c r="OLH45" s="234"/>
      <c r="OLI45" s="234"/>
      <c r="OLJ45" s="234"/>
      <c r="OLK45" s="234"/>
      <c r="OLL45" s="234"/>
      <c r="OLM45" s="234"/>
      <c r="OLN45" s="234"/>
      <c r="OLO45" s="234"/>
      <c r="OLP45" s="234"/>
      <c r="OLQ45" s="234"/>
      <c r="OLR45" s="234"/>
      <c r="OLS45" s="234"/>
      <c r="OLT45" s="234"/>
      <c r="OLU45" s="234"/>
      <c r="OLV45" s="234"/>
      <c r="OLW45" s="234"/>
      <c r="OLX45" s="234"/>
      <c r="OLY45" s="234"/>
      <c r="OLZ45" s="234"/>
      <c r="OMA45" s="234"/>
      <c r="OMB45" s="234"/>
      <c r="OMC45" s="234"/>
      <c r="OMD45" s="234"/>
      <c r="OME45" s="234"/>
      <c r="OMF45" s="234"/>
      <c r="OMG45" s="234"/>
      <c r="OMH45" s="234"/>
      <c r="OMI45" s="234"/>
      <c r="OMJ45" s="234"/>
      <c r="OMK45" s="234"/>
      <c r="OML45" s="234"/>
      <c r="OMM45" s="234"/>
      <c r="OMN45" s="234"/>
      <c r="OMO45" s="234"/>
      <c r="OMP45" s="234"/>
      <c r="OMQ45" s="234"/>
      <c r="OMR45" s="234"/>
      <c r="OMS45" s="234"/>
      <c r="OMT45" s="234"/>
      <c r="OMU45" s="234"/>
      <c r="OMV45" s="234"/>
      <c r="OMW45" s="234"/>
      <c r="OMX45" s="234"/>
      <c r="OMY45" s="234"/>
      <c r="OMZ45" s="234"/>
      <c r="ONA45" s="234"/>
      <c r="ONB45" s="234"/>
      <c r="ONC45" s="234"/>
      <c r="OND45" s="234"/>
      <c r="ONE45" s="234"/>
      <c r="ONF45" s="234"/>
      <c r="ONG45" s="234"/>
      <c r="ONH45" s="234"/>
      <c r="ONI45" s="234"/>
      <c r="ONJ45" s="234"/>
      <c r="ONK45" s="234"/>
      <c r="ONL45" s="234"/>
      <c r="ONM45" s="234"/>
      <c r="ONN45" s="234"/>
      <c r="ONO45" s="234"/>
      <c r="ONP45" s="234"/>
      <c r="ONQ45" s="234"/>
      <c r="ONR45" s="234"/>
      <c r="ONS45" s="234"/>
      <c r="ONT45" s="234"/>
      <c r="ONU45" s="234"/>
      <c r="ONV45" s="234"/>
      <c r="ONW45" s="234"/>
      <c r="ONX45" s="234"/>
      <c r="ONY45" s="234"/>
      <c r="ONZ45" s="234"/>
      <c r="OOA45" s="234"/>
      <c r="OOB45" s="234"/>
      <c r="OOC45" s="234"/>
      <c r="OOD45" s="234"/>
      <c r="OOE45" s="234"/>
      <c r="OOF45" s="234"/>
      <c r="OOG45" s="234"/>
      <c r="OOH45" s="234"/>
      <c r="OOI45" s="234"/>
      <c r="OOJ45" s="234"/>
      <c r="OOK45" s="234"/>
      <c r="OOL45" s="234"/>
      <c r="OOM45" s="234"/>
      <c r="OON45" s="234"/>
      <c r="OOO45" s="234"/>
      <c r="OOP45" s="234"/>
      <c r="OOQ45" s="234"/>
      <c r="OOR45" s="234"/>
      <c r="OOS45" s="234"/>
      <c r="OOT45" s="234"/>
      <c r="OOU45" s="234"/>
      <c r="OOV45" s="234"/>
      <c r="OOW45" s="234"/>
      <c r="OOX45" s="234"/>
      <c r="OOY45" s="234"/>
      <c r="OOZ45" s="234"/>
      <c r="OPA45" s="234"/>
      <c r="OPB45" s="234"/>
      <c r="OPC45" s="234"/>
      <c r="OPD45" s="234"/>
      <c r="OPE45" s="234"/>
      <c r="OPF45" s="234"/>
      <c r="OPG45" s="234"/>
      <c r="OPH45" s="234"/>
      <c r="OPI45" s="234"/>
      <c r="OPJ45" s="234"/>
      <c r="OPK45" s="234"/>
      <c r="OPL45" s="234"/>
      <c r="OPM45" s="234"/>
      <c r="OPN45" s="234"/>
      <c r="OPO45" s="234"/>
      <c r="OPP45" s="234"/>
      <c r="OPQ45" s="234"/>
      <c r="OPR45" s="234"/>
      <c r="OPS45" s="234"/>
      <c r="OPT45" s="234"/>
      <c r="OPU45" s="234"/>
      <c r="OPV45" s="234"/>
      <c r="OPW45" s="234"/>
      <c r="OPX45" s="234"/>
      <c r="OPY45" s="234"/>
      <c r="OPZ45" s="234"/>
      <c r="OQA45" s="234"/>
      <c r="OQB45" s="234"/>
      <c r="OQC45" s="234"/>
      <c r="OQD45" s="234"/>
      <c r="OQE45" s="234"/>
      <c r="OQF45" s="234"/>
      <c r="OQG45" s="234"/>
      <c r="OQH45" s="234"/>
      <c r="OQI45" s="234"/>
      <c r="OQJ45" s="234"/>
      <c r="OQK45" s="234"/>
      <c r="OQL45" s="234"/>
      <c r="OQM45" s="234"/>
      <c r="OQN45" s="234"/>
      <c r="OQO45" s="234"/>
      <c r="OQP45" s="234"/>
      <c r="OQQ45" s="234"/>
      <c r="OQR45" s="234"/>
      <c r="OQS45" s="234"/>
      <c r="OQT45" s="234"/>
      <c r="OQU45" s="234"/>
      <c r="OQV45" s="234"/>
      <c r="OQW45" s="234"/>
      <c r="OQX45" s="234"/>
      <c r="OQY45" s="234"/>
      <c r="OQZ45" s="234"/>
      <c r="ORA45" s="234"/>
      <c r="ORB45" s="234"/>
      <c r="ORC45" s="234"/>
      <c r="ORD45" s="234"/>
      <c r="ORE45" s="234"/>
      <c r="ORF45" s="234"/>
      <c r="ORG45" s="234"/>
      <c r="ORH45" s="234"/>
      <c r="ORI45" s="234"/>
      <c r="ORJ45" s="234"/>
      <c r="ORK45" s="234"/>
      <c r="ORL45" s="234"/>
      <c r="ORM45" s="234"/>
      <c r="ORN45" s="234"/>
      <c r="ORO45" s="234"/>
      <c r="ORP45" s="234"/>
      <c r="ORQ45" s="234"/>
      <c r="ORR45" s="234"/>
      <c r="ORS45" s="234"/>
      <c r="ORT45" s="234"/>
      <c r="ORU45" s="234"/>
      <c r="ORV45" s="234"/>
      <c r="ORW45" s="234"/>
      <c r="ORX45" s="234"/>
      <c r="ORY45" s="234"/>
      <c r="ORZ45" s="234"/>
      <c r="OSA45" s="234"/>
      <c r="OSB45" s="234"/>
      <c r="OSC45" s="234"/>
      <c r="OSD45" s="234"/>
      <c r="OSE45" s="234"/>
      <c r="OSF45" s="234"/>
      <c r="OSG45" s="234"/>
      <c r="OSH45" s="234"/>
      <c r="OSI45" s="234"/>
      <c r="OSJ45" s="234"/>
      <c r="OSK45" s="234"/>
      <c r="OSL45" s="234"/>
      <c r="OSM45" s="234"/>
      <c r="OSN45" s="234"/>
      <c r="OSO45" s="234"/>
      <c r="OSP45" s="234"/>
      <c r="OSQ45" s="234"/>
      <c r="OSR45" s="234"/>
      <c r="OSS45" s="234"/>
      <c r="OST45" s="234"/>
      <c r="OSU45" s="234"/>
      <c r="OSV45" s="234"/>
      <c r="OSW45" s="234"/>
      <c r="OSX45" s="234"/>
      <c r="OSY45" s="234"/>
      <c r="OSZ45" s="234"/>
      <c r="OTA45" s="234"/>
      <c r="OTB45" s="234"/>
      <c r="OTC45" s="234"/>
      <c r="OTD45" s="234"/>
      <c r="OTE45" s="234"/>
      <c r="OTF45" s="234"/>
      <c r="OTG45" s="234"/>
      <c r="OTH45" s="234"/>
      <c r="OTI45" s="234"/>
      <c r="OTJ45" s="234"/>
      <c r="OTK45" s="234"/>
      <c r="OTL45" s="234"/>
      <c r="OTM45" s="234"/>
      <c r="OTN45" s="234"/>
      <c r="OTO45" s="234"/>
      <c r="OTP45" s="234"/>
      <c r="OTQ45" s="234"/>
      <c r="OTR45" s="234"/>
      <c r="OTS45" s="234"/>
      <c r="OTT45" s="234"/>
      <c r="OTU45" s="234"/>
      <c r="OTV45" s="234"/>
      <c r="OTW45" s="234"/>
      <c r="OTX45" s="234"/>
      <c r="OTY45" s="234"/>
      <c r="OTZ45" s="234"/>
      <c r="OUA45" s="234"/>
      <c r="OUB45" s="234"/>
      <c r="OUC45" s="234"/>
      <c r="OUD45" s="234"/>
      <c r="OUE45" s="234"/>
      <c r="OUF45" s="234"/>
      <c r="OUG45" s="234"/>
      <c r="OUH45" s="234"/>
      <c r="OUI45" s="234"/>
      <c r="OUJ45" s="234"/>
      <c r="OUK45" s="234"/>
      <c r="OUL45" s="234"/>
      <c r="OUM45" s="234"/>
      <c r="OUN45" s="234"/>
      <c r="OUO45" s="234"/>
      <c r="OUP45" s="234"/>
      <c r="OUQ45" s="234"/>
      <c r="OUR45" s="234"/>
      <c r="OUS45" s="234"/>
      <c r="OUT45" s="234"/>
      <c r="OUU45" s="234"/>
      <c r="OUV45" s="234"/>
      <c r="OUW45" s="234"/>
      <c r="OUX45" s="234"/>
      <c r="OUY45" s="234"/>
      <c r="OUZ45" s="234"/>
      <c r="OVA45" s="234"/>
      <c r="OVB45" s="234"/>
      <c r="OVC45" s="234"/>
      <c r="OVD45" s="234"/>
      <c r="OVE45" s="234"/>
      <c r="OVF45" s="234"/>
      <c r="OVG45" s="234"/>
      <c r="OVH45" s="234"/>
      <c r="OVI45" s="234"/>
      <c r="OVJ45" s="234"/>
      <c r="OVK45" s="234"/>
      <c r="OVL45" s="234"/>
      <c r="OVM45" s="234"/>
      <c r="OVN45" s="234"/>
      <c r="OVO45" s="234"/>
      <c r="OVP45" s="234"/>
      <c r="OVQ45" s="234"/>
      <c r="OVR45" s="234"/>
      <c r="OVS45" s="234"/>
      <c r="OVT45" s="234"/>
      <c r="OVU45" s="234"/>
      <c r="OVV45" s="234"/>
      <c r="OVW45" s="234"/>
      <c r="OVX45" s="234"/>
      <c r="OVY45" s="234"/>
      <c r="OVZ45" s="234"/>
      <c r="OWA45" s="234"/>
      <c r="OWB45" s="234"/>
      <c r="OWC45" s="234"/>
      <c r="OWD45" s="234"/>
      <c r="OWE45" s="234"/>
      <c r="OWF45" s="234"/>
      <c r="OWG45" s="234"/>
      <c r="OWH45" s="234"/>
      <c r="OWI45" s="234"/>
      <c r="OWJ45" s="234"/>
      <c r="OWK45" s="234"/>
      <c r="OWL45" s="234"/>
      <c r="OWM45" s="234"/>
      <c r="OWN45" s="234"/>
      <c r="OWO45" s="234"/>
      <c r="OWP45" s="234"/>
      <c r="OWQ45" s="234"/>
      <c r="OWR45" s="234"/>
      <c r="OWS45" s="234"/>
      <c r="OWT45" s="234"/>
      <c r="OWU45" s="234"/>
      <c r="OWV45" s="234"/>
      <c r="OWW45" s="234"/>
      <c r="OWX45" s="234"/>
      <c r="OWY45" s="234"/>
      <c r="OWZ45" s="234"/>
      <c r="OXA45" s="234"/>
      <c r="OXB45" s="234"/>
      <c r="OXC45" s="234"/>
      <c r="OXD45" s="234"/>
      <c r="OXE45" s="234"/>
      <c r="OXF45" s="234"/>
      <c r="OXG45" s="234"/>
      <c r="OXH45" s="234"/>
      <c r="OXI45" s="234"/>
      <c r="OXJ45" s="234"/>
      <c r="OXK45" s="234"/>
      <c r="OXL45" s="234"/>
      <c r="OXM45" s="234"/>
      <c r="OXN45" s="234"/>
      <c r="OXO45" s="234"/>
      <c r="OXP45" s="234"/>
      <c r="OXQ45" s="234"/>
      <c r="OXR45" s="234"/>
      <c r="OXS45" s="234"/>
      <c r="OXT45" s="234"/>
      <c r="OXU45" s="234"/>
      <c r="OXV45" s="234"/>
      <c r="OXW45" s="234"/>
      <c r="OXX45" s="234"/>
      <c r="OXY45" s="234"/>
      <c r="OXZ45" s="234"/>
      <c r="OYA45" s="234"/>
      <c r="OYB45" s="234"/>
      <c r="OYC45" s="234"/>
      <c r="OYD45" s="234"/>
      <c r="OYE45" s="234"/>
      <c r="OYF45" s="234"/>
      <c r="OYG45" s="234"/>
      <c r="OYH45" s="234"/>
      <c r="OYI45" s="234"/>
      <c r="OYJ45" s="234"/>
      <c r="OYK45" s="234"/>
      <c r="OYL45" s="234"/>
      <c r="OYM45" s="234"/>
      <c r="OYN45" s="234"/>
      <c r="OYO45" s="234"/>
      <c r="OYP45" s="234"/>
      <c r="OYQ45" s="234"/>
      <c r="OYR45" s="234"/>
      <c r="OYS45" s="234"/>
      <c r="OYT45" s="234"/>
      <c r="OYU45" s="234"/>
      <c r="OYV45" s="234"/>
      <c r="OYW45" s="234"/>
      <c r="OYX45" s="234"/>
      <c r="OYY45" s="234"/>
      <c r="OYZ45" s="234"/>
      <c r="OZA45" s="234"/>
      <c r="OZB45" s="234"/>
      <c r="OZC45" s="234"/>
      <c r="OZD45" s="234"/>
      <c r="OZE45" s="234"/>
      <c r="OZF45" s="234"/>
      <c r="OZG45" s="234"/>
      <c r="OZH45" s="234"/>
      <c r="OZI45" s="234"/>
      <c r="OZJ45" s="234"/>
      <c r="OZK45" s="234"/>
      <c r="OZL45" s="234"/>
      <c r="OZM45" s="234"/>
      <c r="OZN45" s="234"/>
      <c r="OZO45" s="234"/>
      <c r="OZP45" s="234"/>
      <c r="OZQ45" s="234"/>
      <c r="OZR45" s="234"/>
      <c r="OZS45" s="234"/>
      <c r="OZT45" s="234"/>
      <c r="OZU45" s="234"/>
      <c r="OZV45" s="234"/>
      <c r="OZW45" s="234"/>
      <c r="OZX45" s="234"/>
      <c r="OZY45" s="234"/>
      <c r="OZZ45" s="234"/>
      <c r="PAA45" s="234"/>
      <c r="PAB45" s="234"/>
      <c r="PAC45" s="234"/>
      <c r="PAD45" s="234"/>
      <c r="PAE45" s="234"/>
      <c r="PAF45" s="234"/>
      <c r="PAG45" s="234"/>
      <c r="PAH45" s="234"/>
      <c r="PAI45" s="234"/>
      <c r="PAJ45" s="234"/>
      <c r="PAK45" s="234"/>
      <c r="PAL45" s="234"/>
      <c r="PAM45" s="234"/>
      <c r="PAN45" s="234"/>
      <c r="PAO45" s="234"/>
      <c r="PAP45" s="234"/>
      <c r="PAQ45" s="234"/>
      <c r="PAR45" s="234"/>
      <c r="PAS45" s="234"/>
      <c r="PAT45" s="234"/>
      <c r="PAU45" s="234"/>
      <c r="PAV45" s="234"/>
      <c r="PAW45" s="234"/>
      <c r="PAX45" s="234"/>
      <c r="PAY45" s="234"/>
      <c r="PAZ45" s="234"/>
      <c r="PBA45" s="234"/>
      <c r="PBB45" s="234"/>
      <c r="PBC45" s="234"/>
      <c r="PBD45" s="234"/>
      <c r="PBE45" s="234"/>
      <c r="PBF45" s="234"/>
      <c r="PBG45" s="234"/>
      <c r="PBH45" s="234"/>
      <c r="PBI45" s="234"/>
      <c r="PBJ45" s="234"/>
      <c r="PBK45" s="234"/>
      <c r="PBL45" s="234"/>
      <c r="PBM45" s="234"/>
      <c r="PBN45" s="234"/>
      <c r="PBO45" s="234"/>
      <c r="PBP45" s="234"/>
      <c r="PBQ45" s="234"/>
      <c r="PBR45" s="234"/>
      <c r="PBS45" s="234"/>
      <c r="PBT45" s="234"/>
      <c r="PBU45" s="234"/>
      <c r="PBV45" s="234"/>
      <c r="PBW45" s="234"/>
      <c r="PBX45" s="234"/>
      <c r="PBY45" s="234"/>
      <c r="PBZ45" s="234"/>
      <c r="PCA45" s="234"/>
      <c r="PCB45" s="234"/>
      <c r="PCC45" s="234"/>
      <c r="PCD45" s="234"/>
      <c r="PCE45" s="234"/>
      <c r="PCF45" s="234"/>
      <c r="PCG45" s="234"/>
      <c r="PCH45" s="234"/>
      <c r="PCI45" s="234"/>
      <c r="PCJ45" s="234"/>
      <c r="PCK45" s="234"/>
      <c r="PCL45" s="234"/>
      <c r="PCM45" s="234"/>
      <c r="PCN45" s="234"/>
      <c r="PCO45" s="234"/>
      <c r="PCP45" s="234"/>
      <c r="PCQ45" s="234"/>
      <c r="PCR45" s="234"/>
      <c r="PCS45" s="234"/>
      <c r="PCT45" s="234"/>
      <c r="PCU45" s="234"/>
      <c r="PCV45" s="234"/>
      <c r="PCW45" s="234"/>
      <c r="PCX45" s="234"/>
      <c r="PCY45" s="234"/>
      <c r="PCZ45" s="234"/>
      <c r="PDA45" s="234"/>
      <c r="PDB45" s="234"/>
      <c r="PDC45" s="234"/>
      <c r="PDD45" s="234"/>
      <c r="PDE45" s="234"/>
      <c r="PDF45" s="234"/>
      <c r="PDG45" s="234"/>
      <c r="PDH45" s="234"/>
      <c r="PDI45" s="234"/>
      <c r="PDJ45" s="234"/>
      <c r="PDK45" s="234"/>
      <c r="PDL45" s="234"/>
      <c r="PDM45" s="234"/>
      <c r="PDN45" s="234"/>
      <c r="PDO45" s="234"/>
      <c r="PDP45" s="234"/>
      <c r="PDQ45" s="234"/>
      <c r="PDR45" s="234"/>
      <c r="PDS45" s="234"/>
      <c r="PDT45" s="234"/>
      <c r="PDU45" s="234"/>
      <c r="PDV45" s="234"/>
      <c r="PDW45" s="234"/>
      <c r="PDX45" s="234"/>
      <c r="PDY45" s="234"/>
      <c r="PDZ45" s="234"/>
      <c r="PEA45" s="234"/>
      <c r="PEB45" s="234"/>
      <c r="PEC45" s="234"/>
      <c r="PED45" s="234"/>
      <c r="PEE45" s="234"/>
      <c r="PEF45" s="234"/>
      <c r="PEG45" s="234"/>
      <c r="PEH45" s="234"/>
      <c r="PEI45" s="234"/>
      <c r="PEJ45" s="234"/>
      <c r="PEK45" s="234"/>
      <c r="PEL45" s="234"/>
      <c r="PEM45" s="234"/>
      <c r="PEN45" s="234"/>
      <c r="PEO45" s="234"/>
      <c r="PEP45" s="234"/>
      <c r="PEQ45" s="234"/>
      <c r="PER45" s="234"/>
      <c r="PES45" s="234"/>
      <c r="PET45" s="234"/>
      <c r="PEU45" s="234"/>
      <c r="PEV45" s="234"/>
      <c r="PEW45" s="234"/>
      <c r="PEX45" s="234"/>
      <c r="PEY45" s="234"/>
      <c r="PEZ45" s="234"/>
      <c r="PFA45" s="234"/>
      <c r="PFB45" s="234"/>
      <c r="PFC45" s="234"/>
      <c r="PFD45" s="234"/>
      <c r="PFE45" s="234"/>
      <c r="PFF45" s="234"/>
      <c r="PFG45" s="234"/>
      <c r="PFH45" s="234"/>
      <c r="PFI45" s="234"/>
      <c r="PFJ45" s="234"/>
      <c r="PFK45" s="234"/>
      <c r="PFL45" s="234"/>
      <c r="PFM45" s="234"/>
      <c r="PFN45" s="234"/>
      <c r="PFO45" s="234"/>
      <c r="PFP45" s="234"/>
      <c r="PFQ45" s="234"/>
      <c r="PFR45" s="234"/>
      <c r="PFS45" s="234"/>
      <c r="PFT45" s="234"/>
      <c r="PFU45" s="234"/>
      <c r="PFV45" s="234"/>
      <c r="PFW45" s="234"/>
      <c r="PFX45" s="234"/>
      <c r="PFY45" s="234"/>
      <c r="PFZ45" s="234"/>
      <c r="PGA45" s="234"/>
      <c r="PGB45" s="234"/>
      <c r="PGC45" s="234"/>
      <c r="PGD45" s="234"/>
      <c r="PGE45" s="234"/>
      <c r="PGF45" s="234"/>
      <c r="PGG45" s="234"/>
      <c r="PGH45" s="234"/>
      <c r="PGI45" s="234"/>
      <c r="PGJ45" s="234"/>
      <c r="PGK45" s="234"/>
      <c r="PGL45" s="234"/>
      <c r="PGM45" s="234"/>
      <c r="PGN45" s="234"/>
      <c r="PGO45" s="234"/>
      <c r="PGP45" s="234"/>
      <c r="PGQ45" s="234"/>
      <c r="PGR45" s="234"/>
      <c r="PGS45" s="234"/>
      <c r="PGT45" s="234"/>
      <c r="PGU45" s="234"/>
      <c r="PGV45" s="234"/>
      <c r="PGW45" s="234"/>
      <c r="PGX45" s="234"/>
      <c r="PGY45" s="234"/>
      <c r="PGZ45" s="234"/>
      <c r="PHA45" s="234"/>
      <c r="PHB45" s="234"/>
      <c r="PHC45" s="234"/>
      <c r="PHD45" s="234"/>
      <c r="PHE45" s="234"/>
      <c r="PHF45" s="234"/>
      <c r="PHG45" s="234"/>
      <c r="PHH45" s="234"/>
      <c r="PHI45" s="234"/>
      <c r="PHJ45" s="234"/>
      <c r="PHK45" s="234"/>
      <c r="PHL45" s="234"/>
      <c r="PHM45" s="234"/>
      <c r="PHN45" s="234"/>
      <c r="PHO45" s="234"/>
      <c r="PHP45" s="234"/>
      <c r="PHQ45" s="234"/>
      <c r="PHR45" s="234"/>
      <c r="PHS45" s="234"/>
      <c r="PHT45" s="234"/>
      <c r="PHU45" s="234"/>
      <c r="PHV45" s="234"/>
      <c r="PHW45" s="234"/>
      <c r="PHX45" s="234"/>
      <c r="PHY45" s="234"/>
      <c r="PHZ45" s="234"/>
      <c r="PIA45" s="234"/>
      <c r="PIB45" s="234"/>
      <c r="PIC45" s="234"/>
      <c r="PID45" s="234"/>
      <c r="PIE45" s="234"/>
      <c r="PIF45" s="234"/>
      <c r="PIG45" s="234"/>
      <c r="PIH45" s="234"/>
      <c r="PII45" s="234"/>
      <c r="PIJ45" s="234"/>
      <c r="PIK45" s="234"/>
      <c r="PIL45" s="234"/>
      <c r="PIM45" s="234"/>
      <c r="PIN45" s="234"/>
      <c r="PIO45" s="234"/>
      <c r="PIP45" s="234"/>
      <c r="PIQ45" s="234"/>
      <c r="PIR45" s="234"/>
      <c r="PIS45" s="234"/>
      <c r="PIT45" s="234"/>
      <c r="PIU45" s="234"/>
      <c r="PIV45" s="234"/>
      <c r="PIW45" s="234"/>
      <c r="PIX45" s="234"/>
      <c r="PIY45" s="234"/>
      <c r="PIZ45" s="234"/>
      <c r="PJA45" s="234"/>
      <c r="PJB45" s="234"/>
      <c r="PJC45" s="234"/>
      <c r="PJD45" s="234"/>
      <c r="PJE45" s="234"/>
      <c r="PJF45" s="234"/>
      <c r="PJG45" s="234"/>
      <c r="PJH45" s="234"/>
      <c r="PJI45" s="234"/>
      <c r="PJJ45" s="234"/>
      <c r="PJK45" s="234"/>
      <c r="PJL45" s="234"/>
      <c r="PJM45" s="234"/>
      <c r="PJN45" s="234"/>
      <c r="PJO45" s="234"/>
      <c r="PJP45" s="234"/>
      <c r="PJQ45" s="234"/>
      <c r="PJR45" s="234"/>
      <c r="PJS45" s="234"/>
      <c r="PJT45" s="234"/>
      <c r="PJU45" s="234"/>
      <c r="PJV45" s="234"/>
      <c r="PJW45" s="234"/>
      <c r="PJX45" s="234"/>
      <c r="PJY45" s="234"/>
      <c r="PJZ45" s="234"/>
      <c r="PKA45" s="234"/>
      <c r="PKB45" s="234"/>
      <c r="PKC45" s="234"/>
      <c r="PKD45" s="234"/>
      <c r="PKE45" s="234"/>
      <c r="PKF45" s="234"/>
      <c r="PKG45" s="234"/>
      <c r="PKH45" s="234"/>
      <c r="PKI45" s="234"/>
      <c r="PKJ45" s="234"/>
      <c r="PKK45" s="234"/>
      <c r="PKL45" s="234"/>
      <c r="PKM45" s="234"/>
      <c r="PKN45" s="234"/>
      <c r="PKO45" s="234"/>
      <c r="PKP45" s="234"/>
      <c r="PKQ45" s="234"/>
      <c r="PKR45" s="234"/>
      <c r="PKS45" s="234"/>
      <c r="PKT45" s="234"/>
      <c r="PKU45" s="234"/>
      <c r="PKV45" s="234"/>
      <c r="PKW45" s="234"/>
      <c r="PKX45" s="234"/>
      <c r="PKY45" s="234"/>
      <c r="PKZ45" s="234"/>
      <c r="PLA45" s="234"/>
      <c r="PLB45" s="234"/>
      <c r="PLC45" s="234"/>
      <c r="PLD45" s="234"/>
      <c r="PLE45" s="234"/>
      <c r="PLF45" s="234"/>
      <c r="PLG45" s="234"/>
      <c r="PLH45" s="234"/>
      <c r="PLI45" s="234"/>
      <c r="PLJ45" s="234"/>
      <c r="PLK45" s="234"/>
      <c r="PLL45" s="234"/>
      <c r="PLM45" s="234"/>
      <c r="PLN45" s="234"/>
      <c r="PLO45" s="234"/>
      <c r="PLP45" s="234"/>
      <c r="PLQ45" s="234"/>
      <c r="PLR45" s="234"/>
      <c r="PLS45" s="234"/>
      <c r="PLT45" s="234"/>
      <c r="PLU45" s="234"/>
      <c r="PLV45" s="234"/>
      <c r="PLW45" s="234"/>
      <c r="PLX45" s="234"/>
      <c r="PLY45" s="234"/>
      <c r="PLZ45" s="234"/>
      <c r="PMA45" s="234"/>
      <c r="PMB45" s="234"/>
      <c r="PMC45" s="234"/>
      <c r="PMD45" s="234"/>
      <c r="PME45" s="234"/>
      <c r="PMF45" s="234"/>
      <c r="PMG45" s="234"/>
      <c r="PMH45" s="234"/>
      <c r="PMI45" s="234"/>
      <c r="PMJ45" s="234"/>
      <c r="PMK45" s="234"/>
      <c r="PML45" s="234"/>
      <c r="PMM45" s="234"/>
      <c r="PMN45" s="234"/>
      <c r="PMO45" s="234"/>
      <c r="PMP45" s="234"/>
      <c r="PMQ45" s="234"/>
      <c r="PMR45" s="234"/>
      <c r="PMS45" s="234"/>
      <c r="PMT45" s="234"/>
      <c r="PMU45" s="234"/>
      <c r="PMV45" s="234"/>
      <c r="PMW45" s="234"/>
      <c r="PMX45" s="234"/>
      <c r="PMY45" s="234"/>
      <c r="PMZ45" s="234"/>
      <c r="PNA45" s="234"/>
      <c r="PNB45" s="234"/>
      <c r="PNC45" s="234"/>
      <c r="PND45" s="234"/>
      <c r="PNE45" s="234"/>
      <c r="PNF45" s="234"/>
      <c r="PNG45" s="234"/>
      <c r="PNH45" s="234"/>
      <c r="PNI45" s="234"/>
      <c r="PNJ45" s="234"/>
      <c r="PNK45" s="234"/>
      <c r="PNL45" s="234"/>
      <c r="PNM45" s="234"/>
      <c r="PNN45" s="234"/>
      <c r="PNO45" s="234"/>
      <c r="PNP45" s="234"/>
      <c r="PNQ45" s="234"/>
      <c r="PNR45" s="234"/>
      <c r="PNS45" s="234"/>
      <c r="PNT45" s="234"/>
      <c r="PNU45" s="234"/>
      <c r="PNV45" s="234"/>
      <c r="PNW45" s="234"/>
      <c r="PNX45" s="234"/>
      <c r="PNY45" s="234"/>
      <c r="PNZ45" s="234"/>
      <c r="POA45" s="234"/>
      <c r="POB45" s="234"/>
      <c r="POC45" s="234"/>
      <c r="POD45" s="234"/>
      <c r="POE45" s="234"/>
      <c r="POF45" s="234"/>
      <c r="POG45" s="234"/>
      <c r="POH45" s="234"/>
      <c r="POI45" s="234"/>
      <c r="POJ45" s="234"/>
      <c r="POK45" s="234"/>
      <c r="POL45" s="234"/>
      <c r="POM45" s="234"/>
      <c r="PON45" s="234"/>
      <c r="POO45" s="234"/>
      <c r="POP45" s="234"/>
      <c r="POQ45" s="234"/>
      <c r="POR45" s="234"/>
      <c r="POS45" s="234"/>
      <c r="POT45" s="234"/>
      <c r="POU45" s="234"/>
      <c r="POV45" s="234"/>
      <c r="POW45" s="234"/>
      <c r="POX45" s="234"/>
      <c r="POY45" s="234"/>
      <c r="POZ45" s="234"/>
      <c r="PPA45" s="234"/>
      <c r="PPB45" s="234"/>
      <c r="PPC45" s="234"/>
      <c r="PPD45" s="234"/>
      <c r="PPE45" s="234"/>
      <c r="PPF45" s="234"/>
      <c r="PPG45" s="234"/>
      <c r="PPH45" s="234"/>
      <c r="PPI45" s="234"/>
      <c r="PPJ45" s="234"/>
      <c r="PPK45" s="234"/>
      <c r="PPL45" s="234"/>
      <c r="PPM45" s="234"/>
      <c r="PPN45" s="234"/>
      <c r="PPO45" s="234"/>
      <c r="PPP45" s="234"/>
      <c r="PPQ45" s="234"/>
      <c r="PPR45" s="234"/>
      <c r="PPS45" s="234"/>
      <c r="PPT45" s="234"/>
      <c r="PPU45" s="234"/>
      <c r="PPV45" s="234"/>
      <c r="PPW45" s="234"/>
      <c r="PPX45" s="234"/>
      <c r="PPY45" s="234"/>
      <c r="PPZ45" s="234"/>
      <c r="PQA45" s="234"/>
      <c r="PQB45" s="234"/>
      <c r="PQC45" s="234"/>
      <c r="PQD45" s="234"/>
      <c r="PQE45" s="234"/>
      <c r="PQF45" s="234"/>
      <c r="PQG45" s="234"/>
      <c r="PQH45" s="234"/>
      <c r="PQI45" s="234"/>
      <c r="PQJ45" s="234"/>
      <c r="PQK45" s="234"/>
      <c r="PQL45" s="234"/>
      <c r="PQM45" s="234"/>
      <c r="PQN45" s="234"/>
      <c r="PQO45" s="234"/>
      <c r="PQP45" s="234"/>
      <c r="PQQ45" s="234"/>
      <c r="PQR45" s="234"/>
      <c r="PQS45" s="234"/>
      <c r="PQT45" s="234"/>
      <c r="PQU45" s="234"/>
      <c r="PQV45" s="234"/>
      <c r="PQW45" s="234"/>
      <c r="PQX45" s="234"/>
      <c r="PQY45" s="234"/>
      <c r="PQZ45" s="234"/>
      <c r="PRA45" s="234"/>
      <c r="PRB45" s="234"/>
      <c r="PRC45" s="234"/>
      <c r="PRD45" s="234"/>
      <c r="PRE45" s="234"/>
      <c r="PRF45" s="234"/>
      <c r="PRG45" s="234"/>
      <c r="PRH45" s="234"/>
      <c r="PRI45" s="234"/>
      <c r="PRJ45" s="234"/>
      <c r="PRK45" s="234"/>
      <c r="PRL45" s="234"/>
      <c r="PRM45" s="234"/>
      <c r="PRN45" s="234"/>
      <c r="PRO45" s="234"/>
      <c r="PRP45" s="234"/>
      <c r="PRQ45" s="234"/>
      <c r="PRR45" s="234"/>
      <c r="PRS45" s="234"/>
      <c r="PRT45" s="234"/>
      <c r="PRU45" s="234"/>
      <c r="PRV45" s="234"/>
      <c r="PRW45" s="234"/>
      <c r="PRX45" s="234"/>
      <c r="PRY45" s="234"/>
      <c r="PRZ45" s="234"/>
      <c r="PSA45" s="234"/>
      <c r="PSB45" s="234"/>
      <c r="PSC45" s="234"/>
      <c r="PSD45" s="234"/>
      <c r="PSE45" s="234"/>
      <c r="PSF45" s="234"/>
      <c r="PSG45" s="234"/>
      <c r="PSH45" s="234"/>
      <c r="PSI45" s="234"/>
      <c r="PSJ45" s="234"/>
      <c r="PSK45" s="234"/>
      <c r="PSL45" s="234"/>
      <c r="PSM45" s="234"/>
      <c r="PSN45" s="234"/>
      <c r="PSO45" s="234"/>
      <c r="PSP45" s="234"/>
      <c r="PSQ45" s="234"/>
      <c r="PSR45" s="234"/>
      <c r="PSS45" s="234"/>
      <c r="PST45" s="234"/>
      <c r="PSU45" s="234"/>
      <c r="PSV45" s="234"/>
      <c r="PSW45" s="234"/>
      <c r="PSX45" s="234"/>
      <c r="PSY45" s="234"/>
      <c r="PSZ45" s="234"/>
      <c r="PTA45" s="234"/>
      <c r="PTB45" s="234"/>
      <c r="PTC45" s="234"/>
      <c r="PTD45" s="234"/>
      <c r="PTE45" s="234"/>
      <c r="PTF45" s="234"/>
      <c r="PTG45" s="234"/>
      <c r="PTH45" s="234"/>
      <c r="PTI45" s="234"/>
      <c r="PTJ45" s="234"/>
      <c r="PTK45" s="234"/>
      <c r="PTL45" s="234"/>
      <c r="PTM45" s="234"/>
      <c r="PTN45" s="234"/>
      <c r="PTO45" s="234"/>
      <c r="PTP45" s="234"/>
      <c r="PTQ45" s="234"/>
      <c r="PTR45" s="234"/>
      <c r="PTS45" s="234"/>
      <c r="PTT45" s="234"/>
      <c r="PTU45" s="234"/>
      <c r="PTV45" s="234"/>
      <c r="PTW45" s="234"/>
      <c r="PTX45" s="234"/>
      <c r="PTY45" s="234"/>
      <c r="PTZ45" s="234"/>
      <c r="PUA45" s="234"/>
      <c r="PUB45" s="234"/>
      <c r="PUC45" s="234"/>
      <c r="PUD45" s="234"/>
      <c r="PUE45" s="234"/>
      <c r="PUF45" s="234"/>
      <c r="PUG45" s="234"/>
      <c r="PUH45" s="234"/>
      <c r="PUI45" s="234"/>
      <c r="PUJ45" s="234"/>
      <c r="PUK45" s="234"/>
      <c r="PUL45" s="234"/>
      <c r="PUM45" s="234"/>
      <c r="PUN45" s="234"/>
      <c r="PUO45" s="234"/>
      <c r="PUP45" s="234"/>
      <c r="PUQ45" s="234"/>
      <c r="PUR45" s="234"/>
      <c r="PUS45" s="234"/>
      <c r="PUT45" s="234"/>
      <c r="PUU45" s="234"/>
      <c r="PUV45" s="234"/>
      <c r="PUW45" s="234"/>
      <c r="PUX45" s="234"/>
      <c r="PUY45" s="234"/>
      <c r="PUZ45" s="234"/>
      <c r="PVA45" s="234"/>
      <c r="PVB45" s="234"/>
      <c r="PVC45" s="234"/>
      <c r="PVD45" s="234"/>
      <c r="PVE45" s="234"/>
      <c r="PVF45" s="234"/>
      <c r="PVG45" s="234"/>
      <c r="PVH45" s="234"/>
      <c r="PVI45" s="234"/>
      <c r="PVJ45" s="234"/>
      <c r="PVK45" s="234"/>
      <c r="PVL45" s="234"/>
      <c r="PVM45" s="234"/>
      <c r="PVN45" s="234"/>
      <c r="PVO45" s="234"/>
      <c r="PVP45" s="234"/>
      <c r="PVQ45" s="234"/>
      <c r="PVR45" s="234"/>
      <c r="PVS45" s="234"/>
      <c r="PVT45" s="234"/>
      <c r="PVU45" s="234"/>
      <c r="PVV45" s="234"/>
      <c r="PVW45" s="234"/>
      <c r="PVX45" s="234"/>
      <c r="PVY45" s="234"/>
      <c r="PVZ45" s="234"/>
      <c r="PWA45" s="234"/>
      <c r="PWB45" s="234"/>
      <c r="PWC45" s="234"/>
      <c r="PWD45" s="234"/>
      <c r="PWE45" s="234"/>
      <c r="PWF45" s="234"/>
      <c r="PWG45" s="234"/>
      <c r="PWH45" s="234"/>
      <c r="PWI45" s="234"/>
      <c r="PWJ45" s="234"/>
      <c r="PWK45" s="234"/>
      <c r="PWL45" s="234"/>
      <c r="PWM45" s="234"/>
      <c r="PWN45" s="234"/>
      <c r="PWO45" s="234"/>
      <c r="PWP45" s="234"/>
      <c r="PWQ45" s="234"/>
      <c r="PWR45" s="234"/>
      <c r="PWS45" s="234"/>
      <c r="PWT45" s="234"/>
      <c r="PWU45" s="234"/>
      <c r="PWV45" s="234"/>
      <c r="PWW45" s="234"/>
      <c r="PWX45" s="234"/>
      <c r="PWY45" s="234"/>
      <c r="PWZ45" s="234"/>
      <c r="PXA45" s="234"/>
      <c r="PXB45" s="234"/>
      <c r="PXC45" s="234"/>
      <c r="PXD45" s="234"/>
      <c r="PXE45" s="234"/>
      <c r="PXF45" s="234"/>
      <c r="PXG45" s="234"/>
      <c r="PXH45" s="234"/>
      <c r="PXI45" s="234"/>
      <c r="PXJ45" s="234"/>
      <c r="PXK45" s="234"/>
      <c r="PXL45" s="234"/>
      <c r="PXM45" s="234"/>
      <c r="PXN45" s="234"/>
      <c r="PXO45" s="234"/>
      <c r="PXP45" s="234"/>
      <c r="PXQ45" s="234"/>
      <c r="PXR45" s="234"/>
      <c r="PXS45" s="234"/>
      <c r="PXT45" s="234"/>
      <c r="PXU45" s="234"/>
      <c r="PXV45" s="234"/>
      <c r="PXW45" s="234"/>
      <c r="PXX45" s="234"/>
      <c r="PXY45" s="234"/>
      <c r="PXZ45" s="234"/>
      <c r="PYA45" s="234"/>
      <c r="PYB45" s="234"/>
      <c r="PYC45" s="234"/>
      <c r="PYD45" s="234"/>
      <c r="PYE45" s="234"/>
      <c r="PYF45" s="234"/>
      <c r="PYG45" s="234"/>
      <c r="PYH45" s="234"/>
      <c r="PYI45" s="234"/>
      <c r="PYJ45" s="234"/>
      <c r="PYK45" s="234"/>
      <c r="PYL45" s="234"/>
      <c r="PYM45" s="234"/>
      <c r="PYN45" s="234"/>
      <c r="PYO45" s="234"/>
      <c r="PYP45" s="234"/>
      <c r="PYQ45" s="234"/>
      <c r="PYR45" s="234"/>
      <c r="PYS45" s="234"/>
      <c r="PYT45" s="234"/>
      <c r="PYU45" s="234"/>
      <c r="PYV45" s="234"/>
      <c r="PYW45" s="234"/>
      <c r="PYX45" s="234"/>
      <c r="PYY45" s="234"/>
      <c r="PYZ45" s="234"/>
      <c r="PZA45" s="234"/>
      <c r="PZB45" s="234"/>
      <c r="PZC45" s="234"/>
      <c r="PZD45" s="234"/>
      <c r="PZE45" s="234"/>
      <c r="PZF45" s="234"/>
      <c r="PZG45" s="234"/>
      <c r="PZH45" s="234"/>
      <c r="PZI45" s="234"/>
      <c r="PZJ45" s="234"/>
      <c r="PZK45" s="234"/>
      <c r="PZL45" s="234"/>
      <c r="PZM45" s="234"/>
      <c r="PZN45" s="234"/>
      <c r="PZO45" s="234"/>
      <c r="PZP45" s="234"/>
      <c r="PZQ45" s="234"/>
      <c r="PZR45" s="234"/>
      <c r="PZS45" s="234"/>
      <c r="PZT45" s="234"/>
      <c r="PZU45" s="234"/>
      <c r="PZV45" s="234"/>
      <c r="PZW45" s="234"/>
      <c r="PZX45" s="234"/>
      <c r="PZY45" s="234"/>
      <c r="PZZ45" s="234"/>
      <c r="QAA45" s="234"/>
      <c r="QAB45" s="234"/>
      <c r="QAC45" s="234"/>
      <c r="QAD45" s="234"/>
      <c r="QAE45" s="234"/>
      <c r="QAF45" s="234"/>
      <c r="QAG45" s="234"/>
      <c r="QAH45" s="234"/>
      <c r="QAI45" s="234"/>
      <c r="QAJ45" s="234"/>
      <c r="QAK45" s="234"/>
      <c r="QAL45" s="234"/>
      <c r="QAM45" s="234"/>
      <c r="QAN45" s="234"/>
      <c r="QAO45" s="234"/>
      <c r="QAP45" s="234"/>
      <c r="QAQ45" s="234"/>
      <c r="QAR45" s="234"/>
      <c r="QAS45" s="234"/>
      <c r="QAT45" s="234"/>
      <c r="QAU45" s="234"/>
      <c r="QAV45" s="234"/>
      <c r="QAW45" s="234"/>
      <c r="QAX45" s="234"/>
      <c r="QAY45" s="234"/>
      <c r="QAZ45" s="234"/>
      <c r="QBA45" s="234"/>
      <c r="QBB45" s="234"/>
      <c r="QBC45" s="234"/>
      <c r="QBD45" s="234"/>
      <c r="QBE45" s="234"/>
      <c r="QBF45" s="234"/>
      <c r="QBG45" s="234"/>
      <c r="QBH45" s="234"/>
      <c r="QBI45" s="234"/>
      <c r="QBJ45" s="234"/>
      <c r="QBK45" s="234"/>
      <c r="QBL45" s="234"/>
      <c r="QBM45" s="234"/>
      <c r="QBN45" s="234"/>
      <c r="QBO45" s="234"/>
      <c r="QBP45" s="234"/>
      <c r="QBQ45" s="234"/>
      <c r="QBR45" s="234"/>
      <c r="QBS45" s="234"/>
      <c r="QBT45" s="234"/>
      <c r="QBU45" s="234"/>
      <c r="QBV45" s="234"/>
      <c r="QBW45" s="234"/>
      <c r="QBX45" s="234"/>
      <c r="QBY45" s="234"/>
      <c r="QBZ45" s="234"/>
      <c r="QCA45" s="234"/>
      <c r="QCB45" s="234"/>
      <c r="QCC45" s="234"/>
      <c r="QCD45" s="234"/>
      <c r="QCE45" s="234"/>
      <c r="QCF45" s="234"/>
      <c r="QCG45" s="234"/>
      <c r="QCH45" s="234"/>
      <c r="QCI45" s="234"/>
      <c r="QCJ45" s="234"/>
      <c r="QCK45" s="234"/>
      <c r="QCL45" s="234"/>
      <c r="QCM45" s="234"/>
      <c r="QCN45" s="234"/>
      <c r="QCO45" s="234"/>
      <c r="QCP45" s="234"/>
      <c r="QCQ45" s="234"/>
      <c r="QCR45" s="234"/>
      <c r="QCS45" s="234"/>
      <c r="QCT45" s="234"/>
      <c r="QCU45" s="234"/>
      <c r="QCV45" s="234"/>
      <c r="QCW45" s="234"/>
      <c r="QCX45" s="234"/>
      <c r="QCY45" s="234"/>
      <c r="QCZ45" s="234"/>
      <c r="QDA45" s="234"/>
      <c r="QDB45" s="234"/>
      <c r="QDC45" s="234"/>
      <c r="QDD45" s="234"/>
      <c r="QDE45" s="234"/>
      <c r="QDF45" s="234"/>
      <c r="QDG45" s="234"/>
      <c r="QDH45" s="234"/>
      <c r="QDI45" s="234"/>
      <c r="QDJ45" s="234"/>
      <c r="QDK45" s="234"/>
      <c r="QDL45" s="234"/>
      <c r="QDM45" s="234"/>
      <c r="QDN45" s="234"/>
      <c r="QDO45" s="234"/>
      <c r="QDP45" s="234"/>
      <c r="QDQ45" s="234"/>
      <c r="QDR45" s="234"/>
      <c r="QDS45" s="234"/>
      <c r="QDT45" s="234"/>
      <c r="QDU45" s="234"/>
      <c r="QDV45" s="234"/>
      <c r="QDW45" s="234"/>
      <c r="QDX45" s="234"/>
      <c r="QDY45" s="234"/>
      <c r="QDZ45" s="234"/>
      <c r="QEA45" s="234"/>
      <c r="QEB45" s="234"/>
      <c r="QEC45" s="234"/>
      <c r="QED45" s="234"/>
      <c r="QEE45" s="234"/>
      <c r="QEF45" s="234"/>
      <c r="QEG45" s="234"/>
      <c r="QEH45" s="234"/>
      <c r="QEI45" s="234"/>
      <c r="QEJ45" s="234"/>
      <c r="QEK45" s="234"/>
      <c r="QEL45" s="234"/>
      <c r="QEM45" s="234"/>
      <c r="QEN45" s="234"/>
      <c r="QEO45" s="234"/>
      <c r="QEP45" s="234"/>
      <c r="QEQ45" s="234"/>
      <c r="QER45" s="234"/>
      <c r="QES45" s="234"/>
      <c r="QET45" s="234"/>
      <c r="QEU45" s="234"/>
      <c r="QEV45" s="234"/>
      <c r="QEW45" s="234"/>
      <c r="QEX45" s="234"/>
      <c r="QEY45" s="234"/>
      <c r="QEZ45" s="234"/>
      <c r="QFA45" s="234"/>
      <c r="QFB45" s="234"/>
      <c r="QFC45" s="234"/>
      <c r="QFD45" s="234"/>
      <c r="QFE45" s="234"/>
      <c r="QFF45" s="234"/>
      <c r="QFG45" s="234"/>
      <c r="QFH45" s="234"/>
      <c r="QFI45" s="234"/>
      <c r="QFJ45" s="234"/>
      <c r="QFK45" s="234"/>
      <c r="QFL45" s="234"/>
      <c r="QFM45" s="234"/>
      <c r="QFN45" s="234"/>
      <c r="QFO45" s="234"/>
      <c r="QFP45" s="234"/>
      <c r="QFQ45" s="234"/>
      <c r="QFR45" s="234"/>
      <c r="QFS45" s="234"/>
      <c r="QFT45" s="234"/>
      <c r="QFU45" s="234"/>
      <c r="QFV45" s="234"/>
      <c r="QFW45" s="234"/>
      <c r="QFX45" s="234"/>
      <c r="QFY45" s="234"/>
      <c r="QFZ45" s="234"/>
      <c r="QGA45" s="234"/>
      <c r="QGB45" s="234"/>
      <c r="QGC45" s="234"/>
      <c r="QGD45" s="234"/>
      <c r="QGE45" s="234"/>
      <c r="QGF45" s="234"/>
      <c r="QGG45" s="234"/>
      <c r="QGH45" s="234"/>
      <c r="QGI45" s="234"/>
      <c r="QGJ45" s="234"/>
      <c r="QGK45" s="234"/>
      <c r="QGL45" s="234"/>
      <c r="QGM45" s="234"/>
      <c r="QGN45" s="234"/>
      <c r="QGO45" s="234"/>
      <c r="QGP45" s="234"/>
      <c r="QGQ45" s="234"/>
      <c r="QGR45" s="234"/>
      <c r="QGS45" s="234"/>
      <c r="QGT45" s="234"/>
      <c r="QGU45" s="234"/>
      <c r="QGV45" s="234"/>
      <c r="QGW45" s="234"/>
      <c r="QGX45" s="234"/>
      <c r="QGY45" s="234"/>
      <c r="QGZ45" s="234"/>
      <c r="QHA45" s="234"/>
      <c r="QHB45" s="234"/>
      <c r="QHC45" s="234"/>
      <c r="QHD45" s="234"/>
      <c r="QHE45" s="234"/>
      <c r="QHF45" s="234"/>
      <c r="QHG45" s="234"/>
      <c r="QHH45" s="234"/>
      <c r="QHI45" s="234"/>
      <c r="QHJ45" s="234"/>
      <c r="QHK45" s="234"/>
      <c r="QHL45" s="234"/>
      <c r="QHM45" s="234"/>
      <c r="QHN45" s="234"/>
      <c r="QHO45" s="234"/>
      <c r="QHP45" s="234"/>
      <c r="QHQ45" s="234"/>
      <c r="QHR45" s="234"/>
      <c r="QHS45" s="234"/>
      <c r="QHT45" s="234"/>
      <c r="QHU45" s="234"/>
      <c r="QHV45" s="234"/>
      <c r="QHW45" s="234"/>
      <c r="QHX45" s="234"/>
      <c r="QHY45" s="234"/>
      <c r="QHZ45" s="234"/>
      <c r="QIA45" s="234"/>
      <c r="QIB45" s="234"/>
      <c r="QIC45" s="234"/>
      <c r="QID45" s="234"/>
      <c r="QIE45" s="234"/>
      <c r="QIF45" s="234"/>
      <c r="QIG45" s="234"/>
      <c r="QIH45" s="234"/>
      <c r="QII45" s="234"/>
      <c r="QIJ45" s="234"/>
      <c r="QIK45" s="234"/>
      <c r="QIL45" s="234"/>
      <c r="QIM45" s="234"/>
      <c r="QIN45" s="234"/>
      <c r="QIO45" s="234"/>
      <c r="QIP45" s="234"/>
      <c r="QIQ45" s="234"/>
      <c r="QIR45" s="234"/>
      <c r="QIS45" s="234"/>
      <c r="QIT45" s="234"/>
      <c r="QIU45" s="234"/>
      <c r="QIV45" s="234"/>
      <c r="QIW45" s="234"/>
      <c r="QIX45" s="234"/>
      <c r="QIY45" s="234"/>
      <c r="QIZ45" s="234"/>
      <c r="QJA45" s="234"/>
      <c r="QJB45" s="234"/>
      <c r="QJC45" s="234"/>
      <c r="QJD45" s="234"/>
      <c r="QJE45" s="234"/>
      <c r="QJF45" s="234"/>
      <c r="QJG45" s="234"/>
      <c r="QJH45" s="234"/>
      <c r="QJI45" s="234"/>
      <c r="QJJ45" s="234"/>
      <c r="QJK45" s="234"/>
      <c r="QJL45" s="234"/>
      <c r="QJM45" s="234"/>
      <c r="QJN45" s="234"/>
      <c r="QJO45" s="234"/>
      <c r="QJP45" s="234"/>
      <c r="QJQ45" s="234"/>
      <c r="QJR45" s="234"/>
      <c r="QJS45" s="234"/>
      <c r="QJT45" s="234"/>
      <c r="QJU45" s="234"/>
      <c r="QJV45" s="234"/>
      <c r="QJW45" s="234"/>
      <c r="QJX45" s="234"/>
      <c r="QJY45" s="234"/>
      <c r="QJZ45" s="234"/>
      <c r="QKA45" s="234"/>
      <c r="QKB45" s="234"/>
      <c r="QKC45" s="234"/>
      <c r="QKD45" s="234"/>
      <c r="QKE45" s="234"/>
      <c r="QKF45" s="234"/>
      <c r="QKG45" s="234"/>
      <c r="QKH45" s="234"/>
      <c r="QKI45" s="234"/>
      <c r="QKJ45" s="234"/>
      <c r="QKK45" s="234"/>
      <c r="QKL45" s="234"/>
      <c r="QKM45" s="234"/>
      <c r="QKN45" s="234"/>
      <c r="QKO45" s="234"/>
      <c r="QKP45" s="234"/>
      <c r="QKQ45" s="234"/>
      <c r="QKR45" s="234"/>
      <c r="QKS45" s="234"/>
      <c r="QKT45" s="234"/>
      <c r="QKU45" s="234"/>
      <c r="QKV45" s="234"/>
      <c r="QKW45" s="234"/>
      <c r="QKX45" s="234"/>
      <c r="QKY45" s="234"/>
      <c r="QKZ45" s="234"/>
      <c r="QLA45" s="234"/>
      <c r="QLB45" s="234"/>
      <c r="QLC45" s="234"/>
      <c r="QLD45" s="234"/>
      <c r="QLE45" s="234"/>
      <c r="QLF45" s="234"/>
      <c r="QLG45" s="234"/>
      <c r="QLH45" s="234"/>
      <c r="QLI45" s="234"/>
      <c r="QLJ45" s="234"/>
      <c r="QLK45" s="234"/>
      <c r="QLL45" s="234"/>
      <c r="QLM45" s="234"/>
      <c r="QLN45" s="234"/>
      <c r="QLO45" s="234"/>
      <c r="QLP45" s="234"/>
      <c r="QLQ45" s="234"/>
      <c r="QLR45" s="234"/>
      <c r="QLS45" s="234"/>
      <c r="QLT45" s="234"/>
      <c r="QLU45" s="234"/>
      <c r="QLV45" s="234"/>
      <c r="QLW45" s="234"/>
      <c r="QLX45" s="234"/>
      <c r="QLY45" s="234"/>
      <c r="QLZ45" s="234"/>
      <c r="QMA45" s="234"/>
      <c r="QMB45" s="234"/>
      <c r="QMC45" s="234"/>
      <c r="QMD45" s="234"/>
      <c r="QME45" s="234"/>
      <c r="QMF45" s="234"/>
      <c r="QMG45" s="234"/>
      <c r="QMH45" s="234"/>
      <c r="QMI45" s="234"/>
      <c r="QMJ45" s="234"/>
      <c r="QMK45" s="234"/>
      <c r="QML45" s="234"/>
      <c r="QMM45" s="234"/>
      <c r="QMN45" s="234"/>
      <c r="QMO45" s="234"/>
      <c r="QMP45" s="234"/>
      <c r="QMQ45" s="234"/>
      <c r="QMR45" s="234"/>
      <c r="QMS45" s="234"/>
      <c r="QMT45" s="234"/>
      <c r="QMU45" s="234"/>
      <c r="QMV45" s="234"/>
      <c r="QMW45" s="234"/>
      <c r="QMX45" s="234"/>
      <c r="QMY45" s="234"/>
      <c r="QMZ45" s="234"/>
      <c r="QNA45" s="234"/>
      <c r="QNB45" s="234"/>
      <c r="QNC45" s="234"/>
      <c r="QND45" s="234"/>
      <c r="QNE45" s="234"/>
      <c r="QNF45" s="234"/>
      <c r="QNG45" s="234"/>
      <c r="QNH45" s="234"/>
      <c r="QNI45" s="234"/>
      <c r="QNJ45" s="234"/>
      <c r="QNK45" s="234"/>
      <c r="QNL45" s="234"/>
      <c r="QNM45" s="234"/>
      <c r="QNN45" s="234"/>
      <c r="QNO45" s="234"/>
      <c r="QNP45" s="234"/>
      <c r="QNQ45" s="234"/>
      <c r="QNR45" s="234"/>
      <c r="QNS45" s="234"/>
      <c r="QNT45" s="234"/>
      <c r="QNU45" s="234"/>
      <c r="QNV45" s="234"/>
      <c r="QNW45" s="234"/>
      <c r="QNX45" s="234"/>
      <c r="QNY45" s="234"/>
      <c r="QNZ45" s="234"/>
      <c r="QOA45" s="234"/>
      <c r="QOB45" s="234"/>
      <c r="QOC45" s="234"/>
      <c r="QOD45" s="234"/>
      <c r="QOE45" s="234"/>
      <c r="QOF45" s="234"/>
      <c r="QOG45" s="234"/>
      <c r="QOH45" s="234"/>
      <c r="QOI45" s="234"/>
      <c r="QOJ45" s="234"/>
      <c r="QOK45" s="234"/>
      <c r="QOL45" s="234"/>
      <c r="QOM45" s="234"/>
      <c r="QON45" s="234"/>
      <c r="QOO45" s="234"/>
      <c r="QOP45" s="234"/>
      <c r="QOQ45" s="234"/>
      <c r="QOR45" s="234"/>
      <c r="QOS45" s="234"/>
      <c r="QOT45" s="234"/>
      <c r="QOU45" s="234"/>
      <c r="QOV45" s="234"/>
      <c r="QOW45" s="234"/>
      <c r="QOX45" s="234"/>
      <c r="QOY45" s="234"/>
      <c r="QOZ45" s="234"/>
      <c r="QPA45" s="234"/>
      <c r="QPB45" s="234"/>
      <c r="QPC45" s="234"/>
      <c r="QPD45" s="234"/>
      <c r="QPE45" s="234"/>
      <c r="QPF45" s="234"/>
      <c r="QPG45" s="234"/>
      <c r="QPH45" s="234"/>
      <c r="QPI45" s="234"/>
      <c r="QPJ45" s="234"/>
      <c r="QPK45" s="234"/>
      <c r="QPL45" s="234"/>
      <c r="QPM45" s="234"/>
      <c r="QPN45" s="234"/>
      <c r="QPO45" s="234"/>
      <c r="QPP45" s="234"/>
      <c r="QPQ45" s="234"/>
      <c r="QPR45" s="234"/>
      <c r="QPS45" s="234"/>
      <c r="QPT45" s="234"/>
      <c r="QPU45" s="234"/>
      <c r="QPV45" s="234"/>
      <c r="QPW45" s="234"/>
      <c r="QPX45" s="234"/>
      <c r="QPY45" s="234"/>
      <c r="QPZ45" s="234"/>
      <c r="QQA45" s="234"/>
      <c r="QQB45" s="234"/>
      <c r="QQC45" s="234"/>
      <c r="QQD45" s="234"/>
      <c r="QQE45" s="234"/>
      <c r="QQF45" s="234"/>
      <c r="QQG45" s="234"/>
      <c r="QQH45" s="234"/>
      <c r="QQI45" s="234"/>
      <c r="QQJ45" s="234"/>
      <c r="QQK45" s="234"/>
      <c r="QQL45" s="234"/>
      <c r="QQM45" s="234"/>
      <c r="QQN45" s="234"/>
      <c r="QQO45" s="234"/>
      <c r="QQP45" s="234"/>
      <c r="QQQ45" s="234"/>
      <c r="QQR45" s="234"/>
      <c r="QQS45" s="234"/>
      <c r="QQT45" s="234"/>
      <c r="QQU45" s="234"/>
      <c r="QQV45" s="234"/>
      <c r="QQW45" s="234"/>
      <c r="QQX45" s="234"/>
      <c r="QQY45" s="234"/>
      <c r="QQZ45" s="234"/>
      <c r="QRA45" s="234"/>
      <c r="QRB45" s="234"/>
      <c r="QRC45" s="234"/>
      <c r="QRD45" s="234"/>
      <c r="QRE45" s="234"/>
      <c r="QRF45" s="234"/>
      <c r="QRG45" s="234"/>
      <c r="QRH45" s="234"/>
      <c r="QRI45" s="234"/>
      <c r="QRJ45" s="234"/>
      <c r="QRK45" s="234"/>
      <c r="QRL45" s="234"/>
      <c r="QRM45" s="234"/>
      <c r="QRN45" s="234"/>
      <c r="QRO45" s="234"/>
      <c r="QRP45" s="234"/>
      <c r="QRQ45" s="234"/>
      <c r="QRR45" s="234"/>
      <c r="QRS45" s="234"/>
      <c r="QRT45" s="234"/>
      <c r="QRU45" s="234"/>
      <c r="QRV45" s="234"/>
      <c r="QRW45" s="234"/>
      <c r="QRX45" s="234"/>
      <c r="QRY45" s="234"/>
      <c r="QRZ45" s="234"/>
      <c r="QSA45" s="234"/>
      <c r="QSB45" s="234"/>
      <c r="QSC45" s="234"/>
      <c r="QSD45" s="234"/>
      <c r="QSE45" s="234"/>
      <c r="QSF45" s="234"/>
      <c r="QSG45" s="234"/>
      <c r="QSH45" s="234"/>
      <c r="QSI45" s="234"/>
      <c r="QSJ45" s="234"/>
      <c r="QSK45" s="234"/>
      <c r="QSL45" s="234"/>
      <c r="QSM45" s="234"/>
      <c r="QSN45" s="234"/>
      <c r="QSO45" s="234"/>
      <c r="QSP45" s="234"/>
      <c r="QSQ45" s="234"/>
      <c r="QSR45" s="234"/>
      <c r="QSS45" s="234"/>
      <c r="QST45" s="234"/>
      <c r="QSU45" s="234"/>
      <c r="QSV45" s="234"/>
      <c r="QSW45" s="234"/>
      <c r="QSX45" s="234"/>
      <c r="QSY45" s="234"/>
      <c r="QSZ45" s="234"/>
      <c r="QTA45" s="234"/>
      <c r="QTB45" s="234"/>
      <c r="QTC45" s="234"/>
      <c r="QTD45" s="234"/>
      <c r="QTE45" s="234"/>
      <c r="QTF45" s="234"/>
      <c r="QTG45" s="234"/>
      <c r="QTH45" s="234"/>
      <c r="QTI45" s="234"/>
      <c r="QTJ45" s="234"/>
      <c r="QTK45" s="234"/>
      <c r="QTL45" s="234"/>
      <c r="QTM45" s="234"/>
      <c r="QTN45" s="234"/>
      <c r="QTO45" s="234"/>
      <c r="QTP45" s="234"/>
      <c r="QTQ45" s="234"/>
      <c r="QTR45" s="234"/>
      <c r="QTS45" s="234"/>
      <c r="QTT45" s="234"/>
      <c r="QTU45" s="234"/>
      <c r="QTV45" s="234"/>
      <c r="QTW45" s="234"/>
      <c r="QTX45" s="234"/>
      <c r="QTY45" s="234"/>
      <c r="QTZ45" s="234"/>
      <c r="QUA45" s="234"/>
      <c r="QUB45" s="234"/>
      <c r="QUC45" s="234"/>
      <c r="QUD45" s="234"/>
      <c r="QUE45" s="234"/>
      <c r="QUF45" s="234"/>
      <c r="QUG45" s="234"/>
      <c r="QUH45" s="234"/>
      <c r="QUI45" s="234"/>
      <c r="QUJ45" s="234"/>
      <c r="QUK45" s="234"/>
      <c r="QUL45" s="234"/>
      <c r="QUM45" s="234"/>
      <c r="QUN45" s="234"/>
      <c r="QUO45" s="234"/>
      <c r="QUP45" s="234"/>
      <c r="QUQ45" s="234"/>
      <c r="QUR45" s="234"/>
      <c r="QUS45" s="234"/>
      <c r="QUT45" s="234"/>
      <c r="QUU45" s="234"/>
      <c r="QUV45" s="234"/>
      <c r="QUW45" s="234"/>
      <c r="QUX45" s="234"/>
      <c r="QUY45" s="234"/>
      <c r="QUZ45" s="234"/>
      <c r="QVA45" s="234"/>
      <c r="QVB45" s="234"/>
      <c r="QVC45" s="234"/>
      <c r="QVD45" s="234"/>
      <c r="QVE45" s="234"/>
      <c r="QVF45" s="234"/>
      <c r="QVG45" s="234"/>
      <c r="QVH45" s="234"/>
      <c r="QVI45" s="234"/>
      <c r="QVJ45" s="234"/>
      <c r="QVK45" s="234"/>
      <c r="QVL45" s="234"/>
      <c r="QVM45" s="234"/>
      <c r="QVN45" s="234"/>
      <c r="QVO45" s="234"/>
      <c r="QVP45" s="234"/>
      <c r="QVQ45" s="234"/>
      <c r="QVR45" s="234"/>
      <c r="QVS45" s="234"/>
      <c r="QVT45" s="234"/>
      <c r="QVU45" s="234"/>
      <c r="QVV45" s="234"/>
      <c r="QVW45" s="234"/>
      <c r="QVX45" s="234"/>
      <c r="QVY45" s="234"/>
      <c r="QVZ45" s="234"/>
      <c r="QWA45" s="234"/>
      <c r="QWB45" s="234"/>
      <c r="QWC45" s="234"/>
      <c r="QWD45" s="234"/>
      <c r="QWE45" s="234"/>
      <c r="QWF45" s="234"/>
      <c r="QWG45" s="234"/>
      <c r="QWH45" s="234"/>
      <c r="QWI45" s="234"/>
      <c r="QWJ45" s="234"/>
      <c r="QWK45" s="234"/>
      <c r="QWL45" s="234"/>
      <c r="QWM45" s="234"/>
      <c r="QWN45" s="234"/>
      <c r="QWO45" s="234"/>
      <c r="QWP45" s="234"/>
      <c r="QWQ45" s="234"/>
      <c r="QWR45" s="234"/>
      <c r="QWS45" s="234"/>
      <c r="QWT45" s="234"/>
      <c r="QWU45" s="234"/>
      <c r="QWV45" s="234"/>
      <c r="QWW45" s="234"/>
      <c r="QWX45" s="234"/>
      <c r="QWY45" s="234"/>
      <c r="QWZ45" s="234"/>
      <c r="QXA45" s="234"/>
      <c r="QXB45" s="234"/>
      <c r="QXC45" s="234"/>
      <c r="QXD45" s="234"/>
      <c r="QXE45" s="234"/>
      <c r="QXF45" s="234"/>
      <c r="QXG45" s="234"/>
      <c r="QXH45" s="234"/>
      <c r="QXI45" s="234"/>
      <c r="QXJ45" s="234"/>
      <c r="QXK45" s="234"/>
      <c r="QXL45" s="234"/>
      <c r="QXM45" s="234"/>
      <c r="QXN45" s="234"/>
      <c r="QXO45" s="234"/>
      <c r="QXP45" s="234"/>
      <c r="QXQ45" s="234"/>
      <c r="QXR45" s="234"/>
      <c r="QXS45" s="234"/>
      <c r="QXT45" s="234"/>
      <c r="QXU45" s="234"/>
      <c r="QXV45" s="234"/>
      <c r="QXW45" s="234"/>
      <c r="QXX45" s="234"/>
      <c r="QXY45" s="234"/>
      <c r="QXZ45" s="234"/>
      <c r="QYA45" s="234"/>
      <c r="QYB45" s="234"/>
      <c r="QYC45" s="234"/>
      <c r="QYD45" s="234"/>
      <c r="QYE45" s="234"/>
      <c r="QYF45" s="234"/>
      <c r="QYG45" s="234"/>
      <c r="QYH45" s="234"/>
      <c r="QYI45" s="234"/>
      <c r="QYJ45" s="234"/>
      <c r="QYK45" s="234"/>
      <c r="QYL45" s="234"/>
      <c r="QYM45" s="234"/>
      <c r="QYN45" s="234"/>
      <c r="QYO45" s="234"/>
      <c r="QYP45" s="234"/>
      <c r="QYQ45" s="234"/>
      <c r="QYR45" s="234"/>
      <c r="QYS45" s="234"/>
      <c r="QYT45" s="234"/>
      <c r="QYU45" s="234"/>
      <c r="QYV45" s="234"/>
      <c r="QYW45" s="234"/>
      <c r="QYX45" s="234"/>
      <c r="QYY45" s="234"/>
      <c r="QYZ45" s="234"/>
      <c r="QZA45" s="234"/>
      <c r="QZB45" s="234"/>
      <c r="QZC45" s="234"/>
      <c r="QZD45" s="234"/>
      <c r="QZE45" s="234"/>
      <c r="QZF45" s="234"/>
      <c r="QZG45" s="234"/>
      <c r="QZH45" s="234"/>
      <c r="QZI45" s="234"/>
      <c r="QZJ45" s="234"/>
      <c r="QZK45" s="234"/>
      <c r="QZL45" s="234"/>
      <c r="QZM45" s="234"/>
      <c r="QZN45" s="234"/>
      <c r="QZO45" s="234"/>
      <c r="QZP45" s="234"/>
      <c r="QZQ45" s="234"/>
      <c r="QZR45" s="234"/>
      <c r="QZS45" s="234"/>
      <c r="QZT45" s="234"/>
      <c r="QZU45" s="234"/>
      <c r="QZV45" s="234"/>
      <c r="QZW45" s="234"/>
      <c r="QZX45" s="234"/>
      <c r="QZY45" s="234"/>
      <c r="QZZ45" s="234"/>
      <c r="RAA45" s="234"/>
      <c r="RAB45" s="234"/>
      <c r="RAC45" s="234"/>
      <c r="RAD45" s="234"/>
      <c r="RAE45" s="234"/>
      <c r="RAF45" s="234"/>
      <c r="RAG45" s="234"/>
      <c r="RAH45" s="234"/>
      <c r="RAI45" s="234"/>
      <c r="RAJ45" s="234"/>
      <c r="RAK45" s="234"/>
      <c r="RAL45" s="234"/>
      <c r="RAM45" s="234"/>
      <c r="RAN45" s="234"/>
      <c r="RAO45" s="234"/>
      <c r="RAP45" s="234"/>
      <c r="RAQ45" s="234"/>
      <c r="RAR45" s="234"/>
      <c r="RAS45" s="234"/>
      <c r="RAT45" s="234"/>
      <c r="RAU45" s="234"/>
      <c r="RAV45" s="234"/>
      <c r="RAW45" s="234"/>
      <c r="RAX45" s="234"/>
      <c r="RAY45" s="234"/>
      <c r="RAZ45" s="234"/>
      <c r="RBA45" s="234"/>
      <c r="RBB45" s="234"/>
      <c r="RBC45" s="234"/>
      <c r="RBD45" s="234"/>
      <c r="RBE45" s="234"/>
      <c r="RBF45" s="234"/>
      <c r="RBG45" s="234"/>
      <c r="RBH45" s="234"/>
      <c r="RBI45" s="234"/>
      <c r="RBJ45" s="234"/>
      <c r="RBK45" s="234"/>
      <c r="RBL45" s="234"/>
      <c r="RBM45" s="234"/>
      <c r="RBN45" s="234"/>
      <c r="RBO45" s="234"/>
      <c r="RBP45" s="234"/>
      <c r="RBQ45" s="234"/>
      <c r="RBR45" s="234"/>
      <c r="RBS45" s="234"/>
      <c r="RBT45" s="234"/>
      <c r="RBU45" s="234"/>
      <c r="RBV45" s="234"/>
      <c r="RBW45" s="234"/>
      <c r="RBX45" s="234"/>
      <c r="RBY45" s="234"/>
      <c r="RBZ45" s="234"/>
      <c r="RCA45" s="234"/>
      <c r="RCB45" s="234"/>
      <c r="RCC45" s="234"/>
      <c r="RCD45" s="234"/>
      <c r="RCE45" s="234"/>
      <c r="RCF45" s="234"/>
      <c r="RCG45" s="234"/>
      <c r="RCH45" s="234"/>
      <c r="RCI45" s="234"/>
      <c r="RCJ45" s="234"/>
      <c r="RCK45" s="234"/>
      <c r="RCL45" s="234"/>
      <c r="RCM45" s="234"/>
      <c r="RCN45" s="234"/>
      <c r="RCO45" s="234"/>
      <c r="RCP45" s="234"/>
      <c r="RCQ45" s="234"/>
      <c r="RCR45" s="234"/>
      <c r="RCS45" s="234"/>
      <c r="RCT45" s="234"/>
      <c r="RCU45" s="234"/>
      <c r="RCV45" s="234"/>
      <c r="RCW45" s="234"/>
      <c r="RCX45" s="234"/>
      <c r="RCY45" s="234"/>
      <c r="RCZ45" s="234"/>
      <c r="RDA45" s="234"/>
      <c r="RDB45" s="234"/>
      <c r="RDC45" s="234"/>
      <c r="RDD45" s="234"/>
      <c r="RDE45" s="234"/>
      <c r="RDF45" s="234"/>
      <c r="RDG45" s="234"/>
      <c r="RDH45" s="234"/>
      <c r="RDI45" s="234"/>
      <c r="RDJ45" s="234"/>
      <c r="RDK45" s="234"/>
      <c r="RDL45" s="234"/>
      <c r="RDM45" s="234"/>
      <c r="RDN45" s="234"/>
      <c r="RDO45" s="234"/>
      <c r="RDP45" s="234"/>
      <c r="RDQ45" s="234"/>
      <c r="RDR45" s="234"/>
      <c r="RDS45" s="234"/>
      <c r="RDT45" s="234"/>
      <c r="RDU45" s="234"/>
      <c r="RDV45" s="234"/>
      <c r="RDW45" s="234"/>
      <c r="RDX45" s="234"/>
      <c r="RDY45" s="234"/>
      <c r="RDZ45" s="234"/>
      <c r="REA45" s="234"/>
      <c r="REB45" s="234"/>
      <c r="REC45" s="234"/>
      <c r="RED45" s="234"/>
      <c r="REE45" s="234"/>
      <c r="REF45" s="234"/>
      <c r="REG45" s="234"/>
      <c r="REH45" s="234"/>
      <c r="REI45" s="234"/>
      <c r="REJ45" s="234"/>
      <c r="REK45" s="234"/>
      <c r="REL45" s="234"/>
      <c r="REM45" s="234"/>
      <c r="REN45" s="234"/>
      <c r="REO45" s="234"/>
      <c r="REP45" s="234"/>
      <c r="REQ45" s="234"/>
      <c r="RER45" s="234"/>
      <c r="RES45" s="234"/>
      <c r="RET45" s="234"/>
      <c r="REU45" s="234"/>
      <c r="REV45" s="234"/>
      <c r="REW45" s="234"/>
      <c r="REX45" s="234"/>
      <c r="REY45" s="234"/>
      <c r="REZ45" s="234"/>
      <c r="RFA45" s="234"/>
      <c r="RFB45" s="234"/>
      <c r="RFC45" s="234"/>
      <c r="RFD45" s="234"/>
      <c r="RFE45" s="234"/>
      <c r="RFF45" s="234"/>
      <c r="RFG45" s="234"/>
      <c r="RFH45" s="234"/>
      <c r="RFI45" s="234"/>
      <c r="RFJ45" s="234"/>
      <c r="RFK45" s="234"/>
      <c r="RFL45" s="234"/>
      <c r="RFM45" s="234"/>
      <c r="RFN45" s="234"/>
      <c r="RFO45" s="234"/>
      <c r="RFP45" s="234"/>
      <c r="RFQ45" s="234"/>
      <c r="RFR45" s="234"/>
      <c r="RFS45" s="234"/>
      <c r="RFT45" s="234"/>
      <c r="RFU45" s="234"/>
      <c r="RFV45" s="234"/>
      <c r="RFW45" s="234"/>
      <c r="RFX45" s="234"/>
      <c r="RFY45" s="234"/>
      <c r="RFZ45" s="234"/>
      <c r="RGA45" s="234"/>
      <c r="RGB45" s="234"/>
      <c r="RGC45" s="234"/>
      <c r="RGD45" s="234"/>
      <c r="RGE45" s="234"/>
      <c r="RGF45" s="234"/>
      <c r="RGG45" s="234"/>
      <c r="RGH45" s="234"/>
      <c r="RGI45" s="234"/>
      <c r="RGJ45" s="234"/>
      <c r="RGK45" s="234"/>
      <c r="RGL45" s="234"/>
      <c r="RGM45" s="234"/>
      <c r="RGN45" s="234"/>
      <c r="RGO45" s="234"/>
      <c r="RGP45" s="234"/>
      <c r="RGQ45" s="234"/>
      <c r="RGR45" s="234"/>
      <c r="RGS45" s="234"/>
      <c r="RGT45" s="234"/>
      <c r="RGU45" s="234"/>
      <c r="RGV45" s="234"/>
      <c r="RGW45" s="234"/>
      <c r="RGX45" s="234"/>
      <c r="RGY45" s="234"/>
      <c r="RGZ45" s="234"/>
      <c r="RHA45" s="234"/>
      <c r="RHB45" s="234"/>
      <c r="RHC45" s="234"/>
      <c r="RHD45" s="234"/>
      <c r="RHE45" s="234"/>
      <c r="RHF45" s="234"/>
      <c r="RHG45" s="234"/>
      <c r="RHH45" s="234"/>
      <c r="RHI45" s="234"/>
      <c r="RHJ45" s="234"/>
      <c r="RHK45" s="234"/>
      <c r="RHL45" s="234"/>
      <c r="RHM45" s="234"/>
      <c r="RHN45" s="234"/>
      <c r="RHO45" s="234"/>
      <c r="RHP45" s="234"/>
      <c r="RHQ45" s="234"/>
      <c r="RHR45" s="234"/>
      <c r="RHS45" s="234"/>
      <c r="RHT45" s="234"/>
      <c r="RHU45" s="234"/>
      <c r="RHV45" s="234"/>
      <c r="RHW45" s="234"/>
      <c r="RHX45" s="234"/>
      <c r="RHY45" s="234"/>
      <c r="RHZ45" s="234"/>
      <c r="RIA45" s="234"/>
      <c r="RIB45" s="234"/>
      <c r="RIC45" s="234"/>
      <c r="RID45" s="234"/>
      <c r="RIE45" s="234"/>
      <c r="RIF45" s="234"/>
      <c r="RIG45" s="234"/>
      <c r="RIH45" s="234"/>
      <c r="RII45" s="234"/>
      <c r="RIJ45" s="234"/>
      <c r="RIK45" s="234"/>
      <c r="RIL45" s="234"/>
      <c r="RIM45" s="234"/>
      <c r="RIN45" s="234"/>
      <c r="RIO45" s="234"/>
      <c r="RIP45" s="234"/>
      <c r="RIQ45" s="234"/>
      <c r="RIR45" s="234"/>
      <c r="RIS45" s="234"/>
      <c r="RIT45" s="234"/>
      <c r="RIU45" s="234"/>
      <c r="RIV45" s="234"/>
      <c r="RIW45" s="234"/>
      <c r="RIX45" s="234"/>
      <c r="RIY45" s="234"/>
      <c r="RIZ45" s="234"/>
      <c r="RJA45" s="234"/>
      <c r="RJB45" s="234"/>
      <c r="RJC45" s="234"/>
      <c r="RJD45" s="234"/>
      <c r="RJE45" s="234"/>
      <c r="RJF45" s="234"/>
      <c r="RJG45" s="234"/>
      <c r="RJH45" s="234"/>
      <c r="RJI45" s="234"/>
      <c r="RJJ45" s="234"/>
      <c r="RJK45" s="234"/>
      <c r="RJL45" s="234"/>
      <c r="RJM45" s="234"/>
      <c r="RJN45" s="234"/>
      <c r="RJO45" s="234"/>
      <c r="RJP45" s="234"/>
      <c r="RJQ45" s="234"/>
      <c r="RJR45" s="234"/>
      <c r="RJS45" s="234"/>
      <c r="RJT45" s="234"/>
      <c r="RJU45" s="234"/>
      <c r="RJV45" s="234"/>
      <c r="RJW45" s="234"/>
      <c r="RJX45" s="234"/>
      <c r="RJY45" s="234"/>
      <c r="RJZ45" s="234"/>
      <c r="RKA45" s="234"/>
      <c r="RKB45" s="234"/>
      <c r="RKC45" s="234"/>
      <c r="RKD45" s="234"/>
      <c r="RKE45" s="234"/>
      <c r="RKF45" s="234"/>
      <c r="RKG45" s="234"/>
      <c r="RKH45" s="234"/>
      <c r="RKI45" s="234"/>
      <c r="RKJ45" s="234"/>
      <c r="RKK45" s="234"/>
      <c r="RKL45" s="234"/>
      <c r="RKM45" s="234"/>
      <c r="RKN45" s="234"/>
      <c r="RKO45" s="234"/>
      <c r="RKP45" s="234"/>
      <c r="RKQ45" s="234"/>
      <c r="RKR45" s="234"/>
      <c r="RKS45" s="234"/>
      <c r="RKT45" s="234"/>
      <c r="RKU45" s="234"/>
      <c r="RKV45" s="234"/>
      <c r="RKW45" s="234"/>
      <c r="RKX45" s="234"/>
      <c r="RKY45" s="234"/>
      <c r="RKZ45" s="234"/>
      <c r="RLA45" s="234"/>
      <c r="RLB45" s="234"/>
      <c r="RLC45" s="234"/>
      <c r="RLD45" s="234"/>
      <c r="RLE45" s="234"/>
      <c r="RLF45" s="234"/>
      <c r="RLG45" s="234"/>
      <c r="RLH45" s="234"/>
      <c r="RLI45" s="234"/>
      <c r="RLJ45" s="234"/>
      <c r="RLK45" s="234"/>
      <c r="RLL45" s="234"/>
      <c r="RLM45" s="234"/>
      <c r="RLN45" s="234"/>
      <c r="RLO45" s="234"/>
      <c r="RLP45" s="234"/>
      <c r="RLQ45" s="234"/>
      <c r="RLR45" s="234"/>
      <c r="RLS45" s="234"/>
      <c r="RLT45" s="234"/>
      <c r="RLU45" s="234"/>
      <c r="RLV45" s="234"/>
      <c r="RLW45" s="234"/>
      <c r="RLX45" s="234"/>
      <c r="RLY45" s="234"/>
      <c r="RLZ45" s="234"/>
      <c r="RMA45" s="234"/>
      <c r="RMB45" s="234"/>
      <c r="RMC45" s="234"/>
      <c r="RMD45" s="234"/>
      <c r="RME45" s="234"/>
      <c r="RMF45" s="234"/>
      <c r="RMG45" s="234"/>
      <c r="RMH45" s="234"/>
      <c r="RMI45" s="234"/>
      <c r="RMJ45" s="234"/>
      <c r="RMK45" s="234"/>
      <c r="RML45" s="234"/>
      <c r="RMM45" s="234"/>
      <c r="RMN45" s="234"/>
      <c r="RMO45" s="234"/>
      <c r="RMP45" s="234"/>
      <c r="RMQ45" s="234"/>
      <c r="RMR45" s="234"/>
      <c r="RMS45" s="234"/>
      <c r="RMT45" s="234"/>
      <c r="RMU45" s="234"/>
      <c r="RMV45" s="234"/>
      <c r="RMW45" s="234"/>
      <c r="RMX45" s="234"/>
      <c r="RMY45" s="234"/>
      <c r="RMZ45" s="234"/>
      <c r="RNA45" s="234"/>
      <c r="RNB45" s="234"/>
      <c r="RNC45" s="234"/>
      <c r="RND45" s="234"/>
      <c r="RNE45" s="234"/>
      <c r="RNF45" s="234"/>
      <c r="RNG45" s="234"/>
      <c r="RNH45" s="234"/>
      <c r="RNI45" s="234"/>
      <c r="RNJ45" s="234"/>
      <c r="RNK45" s="234"/>
      <c r="RNL45" s="234"/>
      <c r="RNM45" s="234"/>
      <c r="RNN45" s="234"/>
      <c r="RNO45" s="234"/>
      <c r="RNP45" s="234"/>
      <c r="RNQ45" s="234"/>
      <c r="RNR45" s="234"/>
      <c r="RNS45" s="234"/>
      <c r="RNT45" s="234"/>
      <c r="RNU45" s="234"/>
      <c r="RNV45" s="234"/>
      <c r="RNW45" s="234"/>
      <c r="RNX45" s="234"/>
      <c r="RNY45" s="234"/>
      <c r="RNZ45" s="234"/>
      <c r="ROA45" s="234"/>
      <c r="ROB45" s="234"/>
      <c r="ROC45" s="234"/>
      <c r="ROD45" s="234"/>
      <c r="ROE45" s="234"/>
      <c r="ROF45" s="234"/>
      <c r="ROG45" s="234"/>
      <c r="ROH45" s="234"/>
      <c r="ROI45" s="234"/>
      <c r="ROJ45" s="234"/>
      <c r="ROK45" s="234"/>
      <c r="ROL45" s="234"/>
      <c r="ROM45" s="234"/>
      <c r="RON45" s="234"/>
      <c r="ROO45" s="234"/>
      <c r="ROP45" s="234"/>
      <c r="ROQ45" s="234"/>
      <c r="ROR45" s="234"/>
      <c r="ROS45" s="234"/>
      <c r="ROT45" s="234"/>
      <c r="ROU45" s="234"/>
      <c r="ROV45" s="234"/>
      <c r="ROW45" s="234"/>
      <c r="ROX45" s="234"/>
      <c r="ROY45" s="234"/>
      <c r="ROZ45" s="234"/>
      <c r="RPA45" s="234"/>
      <c r="RPB45" s="234"/>
      <c r="RPC45" s="234"/>
      <c r="RPD45" s="234"/>
      <c r="RPE45" s="234"/>
      <c r="RPF45" s="234"/>
      <c r="RPG45" s="234"/>
      <c r="RPH45" s="234"/>
      <c r="RPI45" s="234"/>
      <c r="RPJ45" s="234"/>
      <c r="RPK45" s="234"/>
      <c r="RPL45" s="234"/>
      <c r="RPM45" s="234"/>
      <c r="RPN45" s="234"/>
      <c r="RPO45" s="234"/>
      <c r="RPP45" s="234"/>
      <c r="RPQ45" s="234"/>
      <c r="RPR45" s="234"/>
      <c r="RPS45" s="234"/>
      <c r="RPT45" s="234"/>
      <c r="RPU45" s="234"/>
      <c r="RPV45" s="234"/>
      <c r="RPW45" s="234"/>
      <c r="RPX45" s="234"/>
      <c r="RPY45" s="234"/>
      <c r="RPZ45" s="234"/>
      <c r="RQA45" s="234"/>
      <c r="RQB45" s="234"/>
      <c r="RQC45" s="234"/>
      <c r="RQD45" s="234"/>
      <c r="RQE45" s="234"/>
      <c r="RQF45" s="234"/>
      <c r="RQG45" s="234"/>
      <c r="RQH45" s="234"/>
      <c r="RQI45" s="234"/>
      <c r="RQJ45" s="234"/>
      <c r="RQK45" s="234"/>
      <c r="RQL45" s="234"/>
      <c r="RQM45" s="234"/>
      <c r="RQN45" s="234"/>
      <c r="RQO45" s="234"/>
      <c r="RQP45" s="234"/>
      <c r="RQQ45" s="234"/>
      <c r="RQR45" s="234"/>
      <c r="RQS45" s="234"/>
      <c r="RQT45" s="234"/>
      <c r="RQU45" s="234"/>
      <c r="RQV45" s="234"/>
      <c r="RQW45" s="234"/>
      <c r="RQX45" s="234"/>
      <c r="RQY45" s="234"/>
      <c r="RQZ45" s="234"/>
      <c r="RRA45" s="234"/>
      <c r="RRB45" s="234"/>
      <c r="RRC45" s="234"/>
      <c r="RRD45" s="234"/>
      <c r="RRE45" s="234"/>
      <c r="RRF45" s="234"/>
      <c r="RRG45" s="234"/>
      <c r="RRH45" s="234"/>
      <c r="RRI45" s="234"/>
      <c r="RRJ45" s="234"/>
      <c r="RRK45" s="234"/>
      <c r="RRL45" s="234"/>
      <c r="RRM45" s="234"/>
      <c r="RRN45" s="234"/>
      <c r="RRO45" s="234"/>
      <c r="RRP45" s="234"/>
      <c r="RRQ45" s="234"/>
      <c r="RRR45" s="234"/>
      <c r="RRS45" s="234"/>
      <c r="RRT45" s="234"/>
      <c r="RRU45" s="234"/>
      <c r="RRV45" s="234"/>
      <c r="RRW45" s="234"/>
      <c r="RRX45" s="234"/>
      <c r="RRY45" s="234"/>
      <c r="RRZ45" s="234"/>
      <c r="RSA45" s="234"/>
      <c r="RSB45" s="234"/>
      <c r="RSC45" s="234"/>
      <c r="RSD45" s="234"/>
      <c r="RSE45" s="234"/>
      <c r="RSF45" s="234"/>
      <c r="RSG45" s="234"/>
      <c r="RSH45" s="234"/>
      <c r="RSI45" s="234"/>
      <c r="RSJ45" s="234"/>
      <c r="RSK45" s="234"/>
      <c r="RSL45" s="234"/>
      <c r="RSM45" s="234"/>
      <c r="RSN45" s="234"/>
      <c r="RSO45" s="234"/>
      <c r="RSP45" s="234"/>
      <c r="RSQ45" s="234"/>
      <c r="RSR45" s="234"/>
      <c r="RSS45" s="234"/>
      <c r="RST45" s="234"/>
      <c r="RSU45" s="234"/>
      <c r="RSV45" s="234"/>
      <c r="RSW45" s="234"/>
      <c r="RSX45" s="234"/>
      <c r="RSY45" s="234"/>
      <c r="RSZ45" s="234"/>
      <c r="RTA45" s="234"/>
      <c r="RTB45" s="234"/>
      <c r="RTC45" s="234"/>
      <c r="RTD45" s="234"/>
      <c r="RTE45" s="234"/>
      <c r="RTF45" s="234"/>
      <c r="RTG45" s="234"/>
      <c r="RTH45" s="234"/>
      <c r="RTI45" s="234"/>
      <c r="RTJ45" s="234"/>
      <c r="RTK45" s="234"/>
      <c r="RTL45" s="234"/>
      <c r="RTM45" s="234"/>
      <c r="RTN45" s="234"/>
      <c r="RTO45" s="234"/>
      <c r="RTP45" s="234"/>
      <c r="RTQ45" s="234"/>
      <c r="RTR45" s="234"/>
      <c r="RTS45" s="234"/>
      <c r="RTT45" s="234"/>
      <c r="RTU45" s="234"/>
      <c r="RTV45" s="234"/>
      <c r="RTW45" s="234"/>
      <c r="RTX45" s="234"/>
      <c r="RTY45" s="234"/>
      <c r="RTZ45" s="234"/>
      <c r="RUA45" s="234"/>
      <c r="RUB45" s="234"/>
      <c r="RUC45" s="234"/>
      <c r="RUD45" s="234"/>
      <c r="RUE45" s="234"/>
      <c r="RUF45" s="234"/>
      <c r="RUG45" s="234"/>
      <c r="RUH45" s="234"/>
      <c r="RUI45" s="234"/>
      <c r="RUJ45" s="234"/>
      <c r="RUK45" s="234"/>
      <c r="RUL45" s="234"/>
      <c r="RUM45" s="234"/>
      <c r="RUN45" s="234"/>
      <c r="RUO45" s="234"/>
      <c r="RUP45" s="234"/>
      <c r="RUQ45" s="234"/>
      <c r="RUR45" s="234"/>
      <c r="RUS45" s="234"/>
      <c r="RUT45" s="234"/>
      <c r="RUU45" s="234"/>
      <c r="RUV45" s="234"/>
      <c r="RUW45" s="234"/>
      <c r="RUX45" s="234"/>
      <c r="RUY45" s="234"/>
      <c r="RUZ45" s="234"/>
      <c r="RVA45" s="234"/>
      <c r="RVB45" s="234"/>
      <c r="RVC45" s="234"/>
      <c r="RVD45" s="234"/>
      <c r="RVE45" s="234"/>
      <c r="RVF45" s="234"/>
      <c r="RVG45" s="234"/>
      <c r="RVH45" s="234"/>
      <c r="RVI45" s="234"/>
      <c r="RVJ45" s="234"/>
      <c r="RVK45" s="234"/>
      <c r="RVL45" s="234"/>
      <c r="RVM45" s="234"/>
      <c r="RVN45" s="234"/>
      <c r="RVO45" s="234"/>
      <c r="RVP45" s="234"/>
      <c r="RVQ45" s="234"/>
      <c r="RVR45" s="234"/>
      <c r="RVS45" s="234"/>
      <c r="RVT45" s="234"/>
      <c r="RVU45" s="234"/>
      <c r="RVV45" s="234"/>
      <c r="RVW45" s="234"/>
      <c r="RVX45" s="234"/>
      <c r="RVY45" s="234"/>
      <c r="RVZ45" s="234"/>
      <c r="RWA45" s="234"/>
      <c r="RWB45" s="234"/>
      <c r="RWC45" s="234"/>
      <c r="RWD45" s="234"/>
      <c r="RWE45" s="234"/>
      <c r="RWF45" s="234"/>
      <c r="RWG45" s="234"/>
      <c r="RWH45" s="234"/>
      <c r="RWI45" s="234"/>
      <c r="RWJ45" s="234"/>
      <c r="RWK45" s="234"/>
      <c r="RWL45" s="234"/>
      <c r="RWM45" s="234"/>
      <c r="RWN45" s="234"/>
      <c r="RWO45" s="234"/>
      <c r="RWP45" s="234"/>
      <c r="RWQ45" s="234"/>
      <c r="RWR45" s="234"/>
      <c r="RWS45" s="234"/>
      <c r="RWT45" s="234"/>
      <c r="RWU45" s="234"/>
      <c r="RWV45" s="234"/>
      <c r="RWW45" s="234"/>
      <c r="RWX45" s="234"/>
      <c r="RWY45" s="234"/>
      <c r="RWZ45" s="234"/>
      <c r="RXA45" s="234"/>
      <c r="RXB45" s="234"/>
      <c r="RXC45" s="234"/>
      <c r="RXD45" s="234"/>
      <c r="RXE45" s="234"/>
      <c r="RXF45" s="234"/>
      <c r="RXG45" s="234"/>
      <c r="RXH45" s="234"/>
      <c r="RXI45" s="234"/>
      <c r="RXJ45" s="234"/>
      <c r="RXK45" s="234"/>
      <c r="RXL45" s="234"/>
      <c r="RXM45" s="234"/>
      <c r="RXN45" s="234"/>
      <c r="RXO45" s="234"/>
      <c r="RXP45" s="234"/>
      <c r="RXQ45" s="234"/>
      <c r="RXR45" s="234"/>
      <c r="RXS45" s="234"/>
      <c r="RXT45" s="234"/>
      <c r="RXU45" s="234"/>
      <c r="RXV45" s="234"/>
      <c r="RXW45" s="234"/>
      <c r="RXX45" s="234"/>
      <c r="RXY45" s="234"/>
      <c r="RXZ45" s="234"/>
      <c r="RYA45" s="234"/>
      <c r="RYB45" s="234"/>
      <c r="RYC45" s="234"/>
      <c r="RYD45" s="234"/>
      <c r="RYE45" s="234"/>
      <c r="RYF45" s="234"/>
      <c r="RYG45" s="234"/>
      <c r="RYH45" s="234"/>
      <c r="RYI45" s="234"/>
      <c r="RYJ45" s="234"/>
      <c r="RYK45" s="234"/>
      <c r="RYL45" s="234"/>
      <c r="RYM45" s="234"/>
      <c r="RYN45" s="234"/>
      <c r="RYO45" s="234"/>
      <c r="RYP45" s="234"/>
      <c r="RYQ45" s="234"/>
      <c r="RYR45" s="234"/>
      <c r="RYS45" s="234"/>
      <c r="RYT45" s="234"/>
      <c r="RYU45" s="234"/>
      <c r="RYV45" s="234"/>
      <c r="RYW45" s="234"/>
      <c r="RYX45" s="234"/>
      <c r="RYY45" s="234"/>
      <c r="RYZ45" s="234"/>
      <c r="RZA45" s="234"/>
      <c r="RZB45" s="234"/>
      <c r="RZC45" s="234"/>
      <c r="RZD45" s="234"/>
      <c r="RZE45" s="234"/>
      <c r="RZF45" s="234"/>
      <c r="RZG45" s="234"/>
      <c r="RZH45" s="234"/>
      <c r="RZI45" s="234"/>
      <c r="RZJ45" s="234"/>
      <c r="RZK45" s="234"/>
      <c r="RZL45" s="234"/>
      <c r="RZM45" s="234"/>
      <c r="RZN45" s="234"/>
      <c r="RZO45" s="234"/>
      <c r="RZP45" s="234"/>
      <c r="RZQ45" s="234"/>
      <c r="RZR45" s="234"/>
      <c r="RZS45" s="234"/>
      <c r="RZT45" s="234"/>
      <c r="RZU45" s="234"/>
      <c r="RZV45" s="234"/>
      <c r="RZW45" s="234"/>
      <c r="RZX45" s="234"/>
      <c r="RZY45" s="234"/>
      <c r="RZZ45" s="234"/>
      <c r="SAA45" s="234"/>
      <c r="SAB45" s="234"/>
      <c r="SAC45" s="234"/>
      <c r="SAD45" s="234"/>
      <c r="SAE45" s="234"/>
      <c r="SAF45" s="234"/>
      <c r="SAG45" s="234"/>
      <c r="SAH45" s="234"/>
      <c r="SAI45" s="234"/>
      <c r="SAJ45" s="234"/>
      <c r="SAK45" s="234"/>
      <c r="SAL45" s="234"/>
      <c r="SAM45" s="234"/>
      <c r="SAN45" s="234"/>
      <c r="SAO45" s="234"/>
      <c r="SAP45" s="234"/>
      <c r="SAQ45" s="234"/>
      <c r="SAR45" s="234"/>
      <c r="SAS45" s="234"/>
      <c r="SAT45" s="234"/>
      <c r="SAU45" s="234"/>
      <c r="SAV45" s="234"/>
      <c r="SAW45" s="234"/>
      <c r="SAX45" s="234"/>
      <c r="SAY45" s="234"/>
      <c r="SAZ45" s="234"/>
      <c r="SBA45" s="234"/>
      <c r="SBB45" s="234"/>
      <c r="SBC45" s="234"/>
      <c r="SBD45" s="234"/>
      <c r="SBE45" s="234"/>
      <c r="SBF45" s="234"/>
      <c r="SBG45" s="234"/>
      <c r="SBH45" s="234"/>
      <c r="SBI45" s="234"/>
      <c r="SBJ45" s="234"/>
      <c r="SBK45" s="234"/>
      <c r="SBL45" s="234"/>
      <c r="SBM45" s="234"/>
      <c r="SBN45" s="234"/>
      <c r="SBO45" s="234"/>
      <c r="SBP45" s="234"/>
      <c r="SBQ45" s="234"/>
      <c r="SBR45" s="234"/>
      <c r="SBS45" s="234"/>
      <c r="SBT45" s="234"/>
      <c r="SBU45" s="234"/>
      <c r="SBV45" s="234"/>
      <c r="SBW45" s="234"/>
      <c r="SBX45" s="234"/>
      <c r="SBY45" s="234"/>
      <c r="SBZ45" s="234"/>
      <c r="SCA45" s="234"/>
      <c r="SCB45" s="234"/>
      <c r="SCC45" s="234"/>
      <c r="SCD45" s="234"/>
      <c r="SCE45" s="234"/>
      <c r="SCF45" s="234"/>
      <c r="SCG45" s="234"/>
      <c r="SCH45" s="234"/>
      <c r="SCI45" s="234"/>
      <c r="SCJ45" s="234"/>
      <c r="SCK45" s="234"/>
      <c r="SCL45" s="234"/>
      <c r="SCM45" s="234"/>
      <c r="SCN45" s="234"/>
      <c r="SCO45" s="234"/>
      <c r="SCP45" s="234"/>
      <c r="SCQ45" s="234"/>
      <c r="SCR45" s="234"/>
      <c r="SCS45" s="234"/>
      <c r="SCT45" s="234"/>
      <c r="SCU45" s="234"/>
      <c r="SCV45" s="234"/>
      <c r="SCW45" s="234"/>
      <c r="SCX45" s="234"/>
      <c r="SCY45" s="234"/>
      <c r="SCZ45" s="234"/>
      <c r="SDA45" s="234"/>
      <c r="SDB45" s="234"/>
      <c r="SDC45" s="234"/>
      <c r="SDD45" s="234"/>
      <c r="SDE45" s="234"/>
      <c r="SDF45" s="234"/>
      <c r="SDG45" s="234"/>
      <c r="SDH45" s="234"/>
      <c r="SDI45" s="234"/>
      <c r="SDJ45" s="234"/>
      <c r="SDK45" s="234"/>
      <c r="SDL45" s="234"/>
      <c r="SDM45" s="234"/>
      <c r="SDN45" s="234"/>
      <c r="SDO45" s="234"/>
      <c r="SDP45" s="234"/>
      <c r="SDQ45" s="234"/>
      <c r="SDR45" s="234"/>
      <c r="SDS45" s="234"/>
      <c r="SDT45" s="234"/>
      <c r="SDU45" s="234"/>
      <c r="SDV45" s="234"/>
      <c r="SDW45" s="234"/>
      <c r="SDX45" s="234"/>
      <c r="SDY45" s="234"/>
      <c r="SDZ45" s="234"/>
      <c r="SEA45" s="234"/>
      <c r="SEB45" s="234"/>
      <c r="SEC45" s="234"/>
      <c r="SED45" s="234"/>
      <c r="SEE45" s="234"/>
      <c r="SEF45" s="234"/>
      <c r="SEG45" s="234"/>
      <c r="SEH45" s="234"/>
      <c r="SEI45" s="234"/>
      <c r="SEJ45" s="234"/>
      <c r="SEK45" s="234"/>
      <c r="SEL45" s="234"/>
      <c r="SEM45" s="234"/>
      <c r="SEN45" s="234"/>
      <c r="SEO45" s="234"/>
      <c r="SEP45" s="234"/>
      <c r="SEQ45" s="234"/>
      <c r="SER45" s="234"/>
      <c r="SES45" s="234"/>
      <c r="SET45" s="234"/>
      <c r="SEU45" s="234"/>
      <c r="SEV45" s="234"/>
      <c r="SEW45" s="234"/>
      <c r="SEX45" s="234"/>
      <c r="SEY45" s="234"/>
      <c r="SEZ45" s="234"/>
      <c r="SFA45" s="234"/>
      <c r="SFB45" s="234"/>
      <c r="SFC45" s="234"/>
      <c r="SFD45" s="234"/>
      <c r="SFE45" s="234"/>
      <c r="SFF45" s="234"/>
      <c r="SFG45" s="234"/>
      <c r="SFH45" s="234"/>
      <c r="SFI45" s="234"/>
      <c r="SFJ45" s="234"/>
      <c r="SFK45" s="234"/>
      <c r="SFL45" s="234"/>
      <c r="SFM45" s="234"/>
      <c r="SFN45" s="234"/>
      <c r="SFO45" s="234"/>
      <c r="SFP45" s="234"/>
      <c r="SFQ45" s="234"/>
      <c r="SFR45" s="234"/>
      <c r="SFS45" s="234"/>
      <c r="SFT45" s="234"/>
      <c r="SFU45" s="234"/>
      <c r="SFV45" s="234"/>
      <c r="SFW45" s="234"/>
      <c r="SFX45" s="234"/>
      <c r="SFY45" s="234"/>
      <c r="SFZ45" s="234"/>
      <c r="SGA45" s="234"/>
      <c r="SGB45" s="234"/>
      <c r="SGC45" s="234"/>
      <c r="SGD45" s="234"/>
      <c r="SGE45" s="234"/>
      <c r="SGF45" s="234"/>
      <c r="SGG45" s="234"/>
      <c r="SGH45" s="234"/>
      <c r="SGI45" s="234"/>
      <c r="SGJ45" s="234"/>
      <c r="SGK45" s="234"/>
      <c r="SGL45" s="234"/>
      <c r="SGM45" s="234"/>
      <c r="SGN45" s="234"/>
      <c r="SGO45" s="234"/>
      <c r="SGP45" s="234"/>
      <c r="SGQ45" s="234"/>
      <c r="SGR45" s="234"/>
      <c r="SGS45" s="234"/>
      <c r="SGT45" s="234"/>
      <c r="SGU45" s="234"/>
      <c r="SGV45" s="234"/>
      <c r="SGW45" s="234"/>
      <c r="SGX45" s="234"/>
      <c r="SGY45" s="234"/>
      <c r="SGZ45" s="234"/>
      <c r="SHA45" s="234"/>
      <c r="SHB45" s="234"/>
      <c r="SHC45" s="234"/>
      <c r="SHD45" s="234"/>
      <c r="SHE45" s="234"/>
      <c r="SHF45" s="234"/>
      <c r="SHG45" s="234"/>
      <c r="SHH45" s="234"/>
      <c r="SHI45" s="234"/>
      <c r="SHJ45" s="234"/>
      <c r="SHK45" s="234"/>
      <c r="SHL45" s="234"/>
      <c r="SHM45" s="234"/>
      <c r="SHN45" s="234"/>
      <c r="SHO45" s="234"/>
      <c r="SHP45" s="234"/>
      <c r="SHQ45" s="234"/>
      <c r="SHR45" s="234"/>
      <c r="SHS45" s="234"/>
      <c r="SHT45" s="234"/>
      <c r="SHU45" s="234"/>
      <c r="SHV45" s="234"/>
      <c r="SHW45" s="234"/>
      <c r="SHX45" s="234"/>
      <c r="SHY45" s="234"/>
      <c r="SHZ45" s="234"/>
      <c r="SIA45" s="234"/>
      <c r="SIB45" s="234"/>
      <c r="SIC45" s="234"/>
      <c r="SID45" s="234"/>
      <c r="SIE45" s="234"/>
      <c r="SIF45" s="234"/>
      <c r="SIG45" s="234"/>
      <c r="SIH45" s="234"/>
      <c r="SII45" s="234"/>
      <c r="SIJ45" s="234"/>
      <c r="SIK45" s="234"/>
      <c r="SIL45" s="234"/>
      <c r="SIM45" s="234"/>
      <c r="SIN45" s="234"/>
      <c r="SIO45" s="234"/>
      <c r="SIP45" s="234"/>
      <c r="SIQ45" s="234"/>
      <c r="SIR45" s="234"/>
      <c r="SIS45" s="234"/>
      <c r="SIT45" s="234"/>
      <c r="SIU45" s="234"/>
      <c r="SIV45" s="234"/>
      <c r="SIW45" s="234"/>
      <c r="SIX45" s="234"/>
      <c r="SIY45" s="234"/>
      <c r="SIZ45" s="234"/>
      <c r="SJA45" s="234"/>
      <c r="SJB45" s="234"/>
      <c r="SJC45" s="234"/>
      <c r="SJD45" s="234"/>
      <c r="SJE45" s="234"/>
      <c r="SJF45" s="234"/>
      <c r="SJG45" s="234"/>
      <c r="SJH45" s="234"/>
      <c r="SJI45" s="234"/>
      <c r="SJJ45" s="234"/>
      <c r="SJK45" s="234"/>
      <c r="SJL45" s="234"/>
      <c r="SJM45" s="234"/>
      <c r="SJN45" s="234"/>
      <c r="SJO45" s="234"/>
      <c r="SJP45" s="234"/>
      <c r="SJQ45" s="234"/>
      <c r="SJR45" s="234"/>
      <c r="SJS45" s="234"/>
      <c r="SJT45" s="234"/>
      <c r="SJU45" s="234"/>
      <c r="SJV45" s="234"/>
      <c r="SJW45" s="234"/>
      <c r="SJX45" s="234"/>
      <c r="SJY45" s="234"/>
      <c r="SJZ45" s="234"/>
      <c r="SKA45" s="234"/>
      <c r="SKB45" s="234"/>
      <c r="SKC45" s="234"/>
      <c r="SKD45" s="234"/>
      <c r="SKE45" s="234"/>
      <c r="SKF45" s="234"/>
      <c r="SKG45" s="234"/>
      <c r="SKH45" s="234"/>
      <c r="SKI45" s="234"/>
      <c r="SKJ45" s="234"/>
      <c r="SKK45" s="234"/>
      <c r="SKL45" s="234"/>
      <c r="SKM45" s="234"/>
      <c r="SKN45" s="234"/>
      <c r="SKO45" s="234"/>
      <c r="SKP45" s="234"/>
      <c r="SKQ45" s="234"/>
      <c r="SKR45" s="234"/>
      <c r="SKS45" s="234"/>
      <c r="SKT45" s="234"/>
      <c r="SKU45" s="234"/>
      <c r="SKV45" s="234"/>
      <c r="SKW45" s="234"/>
      <c r="SKX45" s="234"/>
      <c r="SKY45" s="234"/>
      <c r="SKZ45" s="234"/>
      <c r="SLA45" s="234"/>
      <c r="SLB45" s="234"/>
      <c r="SLC45" s="234"/>
      <c r="SLD45" s="234"/>
      <c r="SLE45" s="234"/>
      <c r="SLF45" s="234"/>
      <c r="SLG45" s="234"/>
      <c r="SLH45" s="234"/>
      <c r="SLI45" s="234"/>
      <c r="SLJ45" s="234"/>
      <c r="SLK45" s="234"/>
      <c r="SLL45" s="234"/>
      <c r="SLM45" s="234"/>
      <c r="SLN45" s="234"/>
      <c r="SLO45" s="234"/>
      <c r="SLP45" s="234"/>
      <c r="SLQ45" s="234"/>
      <c r="SLR45" s="234"/>
      <c r="SLS45" s="234"/>
      <c r="SLT45" s="234"/>
      <c r="SLU45" s="234"/>
      <c r="SLV45" s="234"/>
      <c r="SLW45" s="234"/>
      <c r="SLX45" s="234"/>
      <c r="SLY45" s="234"/>
      <c r="SLZ45" s="234"/>
      <c r="SMA45" s="234"/>
      <c r="SMB45" s="234"/>
      <c r="SMC45" s="234"/>
      <c r="SMD45" s="234"/>
      <c r="SME45" s="234"/>
      <c r="SMF45" s="234"/>
      <c r="SMG45" s="234"/>
      <c r="SMH45" s="234"/>
      <c r="SMI45" s="234"/>
      <c r="SMJ45" s="234"/>
      <c r="SMK45" s="234"/>
      <c r="SML45" s="234"/>
      <c r="SMM45" s="234"/>
      <c r="SMN45" s="234"/>
      <c r="SMO45" s="234"/>
      <c r="SMP45" s="234"/>
      <c r="SMQ45" s="234"/>
      <c r="SMR45" s="234"/>
      <c r="SMS45" s="234"/>
      <c r="SMT45" s="234"/>
      <c r="SMU45" s="234"/>
      <c r="SMV45" s="234"/>
      <c r="SMW45" s="234"/>
      <c r="SMX45" s="234"/>
      <c r="SMY45" s="234"/>
      <c r="SMZ45" s="234"/>
      <c r="SNA45" s="234"/>
      <c r="SNB45" s="234"/>
      <c r="SNC45" s="234"/>
      <c r="SND45" s="234"/>
      <c r="SNE45" s="234"/>
      <c r="SNF45" s="234"/>
      <c r="SNG45" s="234"/>
      <c r="SNH45" s="234"/>
      <c r="SNI45" s="234"/>
      <c r="SNJ45" s="234"/>
      <c r="SNK45" s="234"/>
      <c r="SNL45" s="234"/>
      <c r="SNM45" s="234"/>
      <c r="SNN45" s="234"/>
      <c r="SNO45" s="234"/>
      <c r="SNP45" s="234"/>
      <c r="SNQ45" s="234"/>
      <c r="SNR45" s="234"/>
      <c r="SNS45" s="234"/>
      <c r="SNT45" s="234"/>
      <c r="SNU45" s="234"/>
      <c r="SNV45" s="234"/>
      <c r="SNW45" s="234"/>
      <c r="SNX45" s="234"/>
      <c r="SNY45" s="234"/>
      <c r="SNZ45" s="234"/>
      <c r="SOA45" s="234"/>
      <c r="SOB45" s="234"/>
      <c r="SOC45" s="234"/>
      <c r="SOD45" s="234"/>
      <c r="SOE45" s="234"/>
      <c r="SOF45" s="234"/>
      <c r="SOG45" s="234"/>
      <c r="SOH45" s="234"/>
      <c r="SOI45" s="234"/>
      <c r="SOJ45" s="234"/>
      <c r="SOK45" s="234"/>
      <c r="SOL45" s="234"/>
      <c r="SOM45" s="234"/>
      <c r="SON45" s="234"/>
      <c r="SOO45" s="234"/>
      <c r="SOP45" s="234"/>
      <c r="SOQ45" s="234"/>
      <c r="SOR45" s="234"/>
      <c r="SOS45" s="234"/>
      <c r="SOT45" s="234"/>
      <c r="SOU45" s="234"/>
      <c r="SOV45" s="234"/>
      <c r="SOW45" s="234"/>
      <c r="SOX45" s="234"/>
      <c r="SOY45" s="234"/>
      <c r="SOZ45" s="234"/>
      <c r="SPA45" s="234"/>
      <c r="SPB45" s="234"/>
      <c r="SPC45" s="234"/>
      <c r="SPD45" s="234"/>
      <c r="SPE45" s="234"/>
      <c r="SPF45" s="234"/>
      <c r="SPG45" s="234"/>
      <c r="SPH45" s="234"/>
      <c r="SPI45" s="234"/>
      <c r="SPJ45" s="234"/>
      <c r="SPK45" s="234"/>
      <c r="SPL45" s="234"/>
      <c r="SPM45" s="234"/>
      <c r="SPN45" s="234"/>
      <c r="SPO45" s="234"/>
      <c r="SPP45" s="234"/>
      <c r="SPQ45" s="234"/>
      <c r="SPR45" s="234"/>
      <c r="SPS45" s="234"/>
      <c r="SPT45" s="234"/>
      <c r="SPU45" s="234"/>
      <c r="SPV45" s="234"/>
      <c r="SPW45" s="234"/>
      <c r="SPX45" s="234"/>
      <c r="SPY45" s="234"/>
      <c r="SPZ45" s="234"/>
      <c r="SQA45" s="234"/>
      <c r="SQB45" s="234"/>
      <c r="SQC45" s="234"/>
      <c r="SQD45" s="234"/>
      <c r="SQE45" s="234"/>
      <c r="SQF45" s="234"/>
      <c r="SQG45" s="234"/>
      <c r="SQH45" s="234"/>
      <c r="SQI45" s="234"/>
      <c r="SQJ45" s="234"/>
      <c r="SQK45" s="234"/>
      <c r="SQL45" s="234"/>
      <c r="SQM45" s="234"/>
      <c r="SQN45" s="234"/>
      <c r="SQO45" s="234"/>
      <c r="SQP45" s="234"/>
      <c r="SQQ45" s="234"/>
      <c r="SQR45" s="234"/>
      <c r="SQS45" s="234"/>
      <c r="SQT45" s="234"/>
      <c r="SQU45" s="234"/>
      <c r="SQV45" s="234"/>
      <c r="SQW45" s="234"/>
      <c r="SQX45" s="234"/>
      <c r="SQY45" s="234"/>
      <c r="SQZ45" s="234"/>
      <c r="SRA45" s="234"/>
      <c r="SRB45" s="234"/>
      <c r="SRC45" s="234"/>
      <c r="SRD45" s="234"/>
      <c r="SRE45" s="234"/>
      <c r="SRF45" s="234"/>
      <c r="SRG45" s="234"/>
      <c r="SRH45" s="234"/>
      <c r="SRI45" s="234"/>
      <c r="SRJ45" s="234"/>
      <c r="SRK45" s="234"/>
      <c r="SRL45" s="234"/>
      <c r="SRM45" s="234"/>
      <c r="SRN45" s="234"/>
      <c r="SRO45" s="234"/>
      <c r="SRP45" s="234"/>
      <c r="SRQ45" s="234"/>
      <c r="SRR45" s="234"/>
      <c r="SRS45" s="234"/>
      <c r="SRT45" s="234"/>
      <c r="SRU45" s="234"/>
      <c r="SRV45" s="234"/>
      <c r="SRW45" s="234"/>
      <c r="SRX45" s="234"/>
      <c r="SRY45" s="234"/>
      <c r="SRZ45" s="234"/>
      <c r="SSA45" s="234"/>
      <c r="SSB45" s="234"/>
      <c r="SSC45" s="234"/>
      <c r="SSD45" s="234"/>
      <c r="SSE45" s="234"/>
      <c r="SSF45" s="234"/>
      <c r="SSG45" s="234"/>
      <c r="SSH45" s="234"/>
      <c r="SSI45" s="234"/>
      <c r="SSJ45" s="234"/>
      <c r="SSK45" s="234"/>
      <c r="SSL45" s="234"/>
      <c r="SSM45" s="234"/>
      <c r="SSN45" s="234"/>
      <c r="SSO45" s="234"/>
      <c r="SSP45" s="234"/>
      <c r="SSQ45" s="234"/>
      <c r="SSR45" s="234"/>
      <c r="SSS45" s="234"/>
      <c r="SST45" s="234"/>
      <c r="SSU45" s="234"/>
      <c r="SSV45" s="234"/>
      <c r="SSW45" s="234"/>
      <c r="SSX45" s="234"/>
      <c r="SSY45" s="234"/>
      <c r="SSZ45" s="234"/>
      <c r="STA45" s="234"/>
      <c r="STB45" s="234"/>
      <c r="STC45" s="234"/>
      <c r="STD45" s="234"/>
      <c r="STE45" s="234"/>
      <c r="STF45" s="234"/>
      <c r="STG45" s="234"/>
      <c r="STH45" s="234"/>
      <c r="STI45" s="234"/>
      <c r="STJ45" s="234"/>
      <c r="STK45" s="234"/>
      <c r="STL45" s="234"/>
      <c r="STM45" s="234"/>
      <c r="STN45" s="234"/>
      <c r="STO45" s="234"/>
      <c r="STP45" s="234"/>
      <c r="STQ45" s="234"/>
      <c r="STR45" s="234"/>
      <c r="STS45" s="234"/>
      <c r="STT45" s="234"/>
      <c r="STU45" s="234"/>
      <c r="STV45" s="234"/>
      <c r="STW45" s="234"/>
      <c r="STX45" s="234"/>
      <c r="STY45" s="234"/>
      <c r="STZ45" s="234"/>
      <c r="SUA45" s="234"/>
      <c r="SUB45" s="234"/>
      <c r="SUC45" s="234"/>
      <c r="SUD45" s="234"/>
      <c r="SUE45" s="234"/>
      <c r="SUF45" s="234"/>
      <c r="SUG45" s="234"/>
      <c r="SUH45" s="234"/>
      <c r="SUI45" s="234"/>
      <c r="SUJ45" s="234"/>
      <c r="SUK45" s="234"/>
      <c r="SUL45" s="234"/>
      <c r="SUM45" s="234"/>
      <c r="SUN45" s="234"/>
      <c r="SUO45" s="234"/>
      <c r="SUP45" s="234"/>
      <c r="SUQ45" s="234"/>
      <c r="SUR45" s="234"/>
      <c r="SUS45" s="234"/>
      <c r="SUT45" s="234"/>
      <c r="SUU45" s="234"/>
      <c r="SUV45" s="234"/>
      <c r="SUW45" s="234"/>
      <c r="SUX45" s="234"/>
      <c r="SUY45" s="234"/>
      <c r="SUZ45" s="234"/>
      <c r="SVA45" s="234"/>
      <c r="SVB45" s="234"/>
      <c r="SVC45" s="234"/>
      <c r="SVD45" s="234"/>
      <c r="SVE45" s="234"/>
      <c r="SVF45" s="234"/>
      <c r="SVG45" s="234"/>
      <c r="SVH45" s="234"/>
      <c r="SVI45" s="234"/>
      <c r="SVJ45" s="234"/>
      <c r="SVK45" s="234"/>
      <c r="SVL45" s="234"/>
      <c r="SVM45" s="234"/>
      <c r="SVN45" s="234"/>
      <c r="SVO45" s="234"/>
      <c r="SVP45" s="234"/>
      <c r="SVQ45" s="234"/>
      <c r="SVR45" s="234"/>
      <c r="SVS45" s="234"/>
      <c r="SVT45" s="234"/>
      <c r="SVU45" s="234"/>
      <c r="SVV45" s="234"/>
      <c r="SVW45" s="234"/>
      <c r="SVX45" s="234"/>
      <c r="SVY45" s="234"/>
      <c r="SVZ45" s="234"/>
      <c r="SWA45" s="234"/>
      <c r="SWB45" s="234"/>
      <c r="SWC45" s="234"/>
      <c r="SWD45" s="234"/>
      <c r="SWE45" s="234"/>
      <c r="SWF45" s="234"/>
      <c r="SWG45" s="234"/>
      <c r="SWH45" s="234"/>
      <c r="SWI45" s="234"/>
      <c r="SWJ45" s="234"/>
      <c r="SWK45" s="234"/>
      <c r="SWL45" s="234"/>
      <c r="SWM45" s="234"/>
      <c r="SWN45" s="234"/>
      <c r="SWO45" s="234"/>
      <c r="SWP45" s="234"/>
      <c r="SWQ45" s="234"/>
      <c r="SWR45" s="234"/>
      <c r="SWS45" s="234"/>
      <c r="SWT45" s="234"/>
      <c r="SWU45" s="234"/>
      <c r="SWV45" s="234"/>
      <c r="SWW45" s="234"/>
      <c r="SWX45" s="234"/>
      <c r="SWY45" s="234"/>
      <c r="SWZ45" s="234"/>
      <c r="SXA45" s="234"/>
      <c r="SXB45" s="234"/>
      <c r="SXC45" s="234"/>
      <c r="SXD45" s="234"/>
      <c r="SXE45" s="234"/>
      <c r="SXF45" s="234"/>
      <c r="SXG45" s="234"/>
      <c r="SXH45" s="234"/>
      <c r="SXI45" s="234"/>
      <c r="SXJ45" s="234"/>
      <c r="SXK45" s="234"/>
      <c r="SXL45" s="234"/>
      <c r="SXM45" s="234"/>
      <c r="SXN45" s="234"/>
      <c r="SXO45" s="234"/>
      <c r="SXP45" s="234"/>
      <c r="SXQ45" s="234"/>
      <c r="SXR45" s="234"/>
      <c r="SXS45" s="234"/>
      <c r="SXT45" s="234"/>
      <c r="SXU45" s="234"/>
      <c r="SXV45" s="234"/>
      <c r="SXW45" s="234"/>
      <c r="SXX45" s="234"/>
      <c r="SXY45" s="234"/>
      <c r="SXZ45" s="234"/>
      <c r="SYA45" s="234"/>
      <c r="SYB45" s="234"/>
      <c r="SYC45" s="234"/>
      <c r="SYD45" s="234"/>
      <c r="SYE45" s="234"/>
      <c r="SYF45" s="234"/>
      <c r="SYG45" s="234"/>
      <c r="SYH45" s="234"/>
      <c r="SYI45" s="234"/>
      <c r="SYJ45" s="234"/>
      <c r="SYK45" s="234"/>
      <c r="SYL45" s="234"/>
      <c r="SYM45" s="234"/>
      <c r="SYN45" s="234"/>
      <c r="SYO45" s="234"/>
      <c r="SYP45" s="234"/>
      <c r="SYQ45" s="234"/>
      <c r="SYR45" s="234"/>
      <c r="SYS45" s="234"/>
      <c r="SYT45" s="234"/>
      <c r="SYU45" s="234"/>
      <c r="SYV45" s="234"/>
      <c r="SYW45" s="234"/>
      <c r="SYX45" s="234"/>
      <c r="SYY45" s="234"/>
      <c r="SYZ45" s="234"/>
      <c r="SZA45" s="234"/>
      <c r="SZB45" s="234"/>
      <c r="SZC45" s="234"/>
      <c r="SZD45" s="234"/>
      <c r="SZE45" s="234"/>
      <c r="SZF45" s="234"/>
      <c r="SZG45" s="234"/>
      <c r="SZH45" s="234"/>
      <c r="SZI45" s="234"/>
      <c r="SZJ45" s="234"/>
      <c r="SZK45" s="234"/>
      <c r="SZL45" s="234"/>
      <c r="SZM45" s="234"/>
      <c r="SZN45" s="234"/>
      <c r="SZO45" s="234"/>
      <c r="SZP45" s="234"/>
      <c r="SZQ45" s="234"/>
      <c r="SZR45" s="234"/>
      <c r="SZS45" s="234"/>
      <c r="SZT45" s="234"/>
      <c r="SZU45" s="234"/>
      <c r="SZV45" s="234"/>
      <c r="SZW45" s="234"/>
      <c r="SZX45" s="234"/>
      <c r="SZY45" s="234"/>
      <c r="SZZ45" s="234"/>
      <c r="TAA45" s="234"/>
      <c r="TAB45" s="234"/>
      <c r="TAC45" s="234"/>
      <c r="TAD45" s="234"/>
      <c r="TAE45" s="234"/>
      <c r="TAF45" s="234"/>
      <c r="TAG45" s="234"/>
      <c r="TAH45" s="234"/>
      <c r="TAI45" s="234"/>
      <c r="TAJ45" s="234"/>
      <c r="TAK45" s="234"/>
      <c r="TAL45" s="234"/>
      <c r="TAM45" s="234"/>
      <c r="TAN45" s="234"/>
      <c r="TAO45" s="234"/>
      <c r="TAP45" s="234"/>
      <c r="TAQ45" s="234"/>
      <c r="TAR45" s="234"/>
      <c r="TAS45" s="234"/>
      <c r="TAT45" s="234"/>
      <c r="TAU45" s="234"/>
      <c r="TAV45" s="234"/>
      <c r="TAW45" s="234"/>
      <c r="TAX45" s="234"/>
      <c r="TAY45" s="234"/>
      <c r="TAZ45" s="234"/>
      <c r="TBA45" s="234"/>
      <c r="TBB45" s="234"/>
      <c r="TBC45" s="234"/>
      <c r="TBD45" s="234"/>
      <c r="TBE45" s="234"/>
      <c r="TBF45" s="234"/>
      <c r="TBG45" s="234"/>
      <c r="TBH45" s="234"/>
      <c r="TBI45" s="234"/>
      <c r="TBJ45" s="234"/>
      <c r="TBK45" s="234"/>
      <c r="TBL45" s="234"/>
      <c r="TBM45" s="234"/>
      <c r="TBN45" s="234"/>
      <c r="TBO45" s="234"/>
      <c r="TBP45" s="234"/>
      <c r="TBQ45" s="234"/>
      <c r="TBR45" s="234"/>
      <c r="TBS45" s="234"/>
      <c r="TBT45" s="234"/>
      <c r="TBU45" s="234"/>
      <c r="TBV45" s="234"/>
      <c r="TBW45" s="234"/>
      <c r="TBX45" s="234"/>
      <c r="TBY45" s="234"/>
      <c r="TBZ45" s="234"/>
      <c r="TCA45" s="234"/>
      <c r="TCB45" s="234"/>
      <c r="TCC45" s="234"/>
      <c r="TCD45" s="234"/>
      <c r="TCE45" s="234"/>
      <c r="TCF45" s="234"/>
      <c r="TCG45" s="234"/>
      <c r="TCH45" s="234"/>
      <c r="TCI45" s="234"/>
      <c r="TCJ45" s="234"/>
      <c r="TCK45" s="234"/>
      <c r="TCL45" s="234"/>
      <c r="TCM45" s="234"/>
      <c r="TCN45" s="234"/>
      <c r="TCO45" s="234"/>
      <c r="TCP45" s="234"/>
      <c r="TCQ45" s="234"/>
      <c r="TCR45" s="234"/>
      <c r="TCS45" s="234"/>
      <c r="TCT45" s="234"/>
      <c r="TCU45" s="234"/>
      <c r="TCV45" s="234"/>
      <c r="TCW45" s="234"/>
      <c r="TCX45" s="234"/>
      <c r="TCY45" s="234"/>
      <c r="TCZ45" s="234"/>
      <c r="TDA45" s="234"/>
      <c r="TDB45" s="234"/>
      <c r="TDC45" s="234"/>
      <c r="TDD45" s="234"/>
      <c r="TDE45" s="234"/>
      <c r="TDF45" s="234"/>
      <c r="TDG45" s="234"/>
      <c r="TDH45" s="234"/>
      <c r="TDI45" s="234"/>
      <c r="TDJ45" s="234"/>
      <c r="TDK45" s="234"/>
      <c r="TDL45" s="234"/>
      <c r="TDM45" s="234"/>
      <c r="TDN45" s="234"/>
      <c r="TDO45" s="234"/>
      <c r="TDP45" s="234"/>
      <c r="TDQ45" s="234"/>
      <c r="TDR45" s="234"/>
      <c r="TDS45" s="234"/>
      <c r="TDT45" s="234"/>
      <c r="TDU45" s="234"/>
      <c r="TDV45" s="234"/>
      <c r="TDW45" s="234"/>
      <c r="TDX45" s="234"/>
      <c r="TDY45" s="234"/>
      <c r="TDZ45" s="234"/>
      <c r="TEA45" s="234"/>
      <c r="TEB45" s="234"/>
      <c r="TEC45" s="234"/>
      <c r="TED45" s="234"/>
      <c r="TEE45" s="234"/>
      <c r="TEF45" s="234"/>
      <c r="TEG45" s="234"/>
      <c r="TEH45" s="234"/>
      <c r="TEI45" s="234"/>
      <c r="TEJ45" s="234"/>
      <c r="TEK45" s="234"/>
      <c r="TEL45" s="234"/>
      <c r="TEM45" s="234"/>
      <c r="TEN45" s="234"/>
      <c r="TEO45" s="234"/>
      <c r="TEP45" s="234"/>
      <c r="TEQ45" s="234"/>
      <c r="TER45" s="234"/>
      <c r="TES45" s="234"/>
      <c r="TET45" s="234"/>
      <c r="TEU45" s="234"/>
      <c r="TEV45" s="234"/>
      <c r="TEW45" s="234"/>
      <c r="TEX45" s="234"/>
      <c r="TEY45" s="234"/>
      <c r="TEZ45" s="234"/>
      <c r="TFA45" s="234"/>
      <c r="TFB45" s="234"/>
      <c r="TFC45" s="234"/>
      <c r="TFD45" s="234"/>
      <c r="TFE45" s="234"/>
      <c r="TFF45" s="234"/>
      <c r="TFG45" s="234"/>
      <c r="TFH45" s="234"/>
      <c r="TFI45" s="234"/>
      <c r="TFJ45" s="234"/>
      <c r="TFK45" s="234"/>
      <c r="TFL45" s="234"/>
      <c r="TFM45" s="234"/>
      <c r="TFN45" s="234"/>
      <c r="TFO45" s="234"/>
      <c r="TFP45" s="234"/>
      <c r="TFQ45" s="234"/>
      <c r="TFR45" s="234"/>
      <c r="TFS45" s="234"/>
      <c r="TFT45" s="234"/>
      <c r="TFU45" s="234"/>
      <c r="TFV45" s="234"/>
      <c r="TFW45" s="234"/>
      <c r="TFX45" s="234"/>
      <c r="TFY45" s="234"/>
      <c r="TFZ45" s="234"/>
      <c r="TGA45" s="234"/>
      <c r="TGB45" s="234"/>
      <c r="TGC45" s="234"/>
      <c r="TGD45" s="234"/>
      <c r="TGE45" s="234"/>
      <c r="TGF45" s="234"/>
      <c r="TGG45" s="234"/>
      <c r="TGH45" s="234"/>
      <c r="TGI45" s="234"/>
      <c r="TGJ45" s="234"/>
      <c r="TGK45" s="234"/>
      <c r="TGL45" s="234"/>
      <c r="TGM45" s="234"/>
      <c r="TGN45" s="234"/>
      <c r="TGO45" s="234"/>
      <c r="TGP45" s="234"/>
      <c r="TGQ45" s="234"/>
      <c r="TGR45" s="234"/>
      <c r="TGS45" s="234"/>
      <c r="TGT45" s="234"/>
      <c r="TGU45" s="234"/>
      <c r="TGV45" s="234"/>
      <c r="TGW45" s="234"/>
      <c r="TGX45" s="234"/>
      <c r="TGY45" s="234"/>
      <c r="TGZ45" s="234"/>
      <c r="THA45" s="234"/>
      <c r="THB45" s="234"/>
      <c r="THC45" s="234"/>
      <c r="THD45" s="234"/>
      <c r="THE45" s="234"/>
      <c r="THF45" s="234"/>
      <c r="THG45" s="234"/>
      <c r="THH45" s="234"/>
      <c r="THI45" s="234"/>
      <c r="THJ45" s="234"/>
      <c r="THK45" s="234"/>
      <c r="THL45" s="234"/>
      <c r="THM45" s="234"/>
      <c r="THN45" s="234"/>
      <c r="THO45" s="234"/>
      <c r="THP45" s="234"/>
      <c r="THQ45" s="234"/>
      <c r="THR45" s="234"/>
      <c r="THS45" s="234"/>
      <c r="THT45" s="234"/>
      <c r="THU45" s="234"/>
      <c r="THV45" s="234"/>
      <c r="THW45" s="234"/>
      <c r="THX45" s="234"/>
      <c r="THY45" s="234"/>
      <c r="THZ45" s="234"/>
      <c r="TIA45" s="234"/>
      <c r="TIB45" s="234"/>
      <c r="TIC45" s="234"/>
      <c r="TID45" s="234"/>
      <c r="TIE45" s="234"/>
      <c r="TIF45" s="234"/>
      <c r="TIG45" s="234"/>
      <c r="TIH45" s="234"/>
      <c r="TII45" s="234"/>
      <c r="TIJ45" s="234"/>
      <c r="TIK45" s="234"/>
      <c r="TIL45" s="234"/>
      <c r="TIM45" s="234"/>
      <c r="TIN45" s="234"/>
      <c r="TIO45" s="234"/>
      <c r="TIP45" s="234"/>
      <c r="TIQ45" s="234"/>
      <c r="TIR45" s="234"/>
      <c r="TIS45" s="234"/>
      <c r="TIT45" s="234"/>
      <c r="TIU45" s="234"/>
      <c r="TIV45" s="234"/>
      <c r="TIW45" s="234"/>
      <c r="TIX45" s="234"/>
      <c r="TIY45" s="234"/>
      <c r="TIZ45" s="234"/>
      <c r="TJA45" s="234"/>
      <c r="TJB45" s="234"/>
      <c r="TJC45" s="234"/>
      <c r="TJD45" s="234"/>
      <c r="TJE45" s="234"/>
      <c r="TJF45" s="234"/>
      <c r="TJG45" s="234"/>
      <c r="TJH45" s="234"/>
      <c r="TJI45" s="234"/>
      <c r="TJJ45" s="234"/>
      <c r="TJK45" s="234"/>
      <c r="TJL45" s="234"/>
      <c r="TJM45" s="234"/>
      <c r="TJN45" s="234"/>
      <c r="TJO45" s="234"/>
      <c r="TJP45" s="234"/>
      <c r="TJQ45" s="234"/>
      <c r="TJR45" s="234"/>
      <c r="TJS45" s="234"/>
      <c r="TJT45" s="234"/>
      <c r="TJU45" s="234"/>
      <c r="TJV45" s="234"/>
      <c r="TJW45" s="234"/>
      <c r="TJX45" s="234"/>
      <c r="TJY45" s="234"/>
      <c r="TJZ45" s="234"/>
      <c r="TKA45" s="234"/>
      <c r="TKB45" s="234"/>
      <c r="TKC45" s="234"/>
      <c r="TKD45" s="234"/>
      <c r="TKE45" s="234"/>
      <c r="TKF45" s="234"/>
      <c r="TKG45" s="234"/>
      <c r="TKH45" s="234"/>
      <c r="TKI45" s="234"/>
      <c r="TKJ45" s="234"/>
      <c r="TKK45" s="234"/>
      <c r="TKL45" s="234"/>
      <c r="TKM45" s="234"/>
      <c r="TKN45" s="234"/>
      <c r="TKO45" s="234"/>
      <c r="TKP45" s="234"/>
      <c r="TKQ45" s="234"/>
      <c r="TKR45" s="234"/>
      <c r="TKS45" s="234"/>
      <c r="TKT45" s="234"/>
      <c r="TKU45" s="234"/>
      <c r="TKV45" s="234"/>
      <c r="TKW45" s="234"/>
      <c r="TKX45" s="234"/>
      <c r="TKY45" s="234"/>
      <c r="TKZ45" s="234"/>
      <c r="TLA45" s="234"/>
      <c r="TLB45" s="234"/>
      <c r="TLC45" s="234"/>
      <c r="TLD45" s="234"/>
      <c r="TLE45" s="234"/>
      <c r="TLF45" s="234"/>
      <c r="TLG45" s="234"/>
      <c r="TLH45" s="234"/>
      <c r="TLI45" s="234"/>
      <c r="TLJ45" s="234"/>
      <c r="TLK45" s="234"/>
      <c r="TLL45" s="234"/>
      <c r="TLM45" s="234"/>
      <c r="TLN45" s="234"/>
      <c r="TLO45" s="234"/>
      <c r="TLP45" s="234"/>
      <c r="TLQ45" s="234"/>
      <c r="TLR45" s="234"/>
      <c r="TLS45" s="234"/>
      <c r="TLT45" s="234"/>
      <c r="TLU45" s="234"/>
      <c r="TLV45" s="234"/>
      <c r="TLW45" s="234"/>
      <c r="TLX45" s="234"/>
      <c r="TLY45" s="234"/>
      <c r="TLZ45" s="234"/>
      <c r="TMA45" s="234"/>
      <c r="TMB45" s="234"/>
      <c r="TMC45" s="234"/>
      <c r="TMD45" s="234"/>
      <c r="TME45" s="234"/>
      <c r="TMF45" s="234"/>
      <c r="TMG45" s="234"/>
      <c r="TMH45" s="234"/>
      <c r="TMI45" s="234"/>
      <c r="TMJ45" s="234"/>
      <c r="TMK45" s="234"/>
      <c r="TML45" s="234"/>
      <c r="TMM45" s="234"/>
      <c r="TMN45" s="234"/>
      <c r="TMO45" s="234"/>
      <c r="TMP45" s="234"/>
      <c r="TMQ45" s="234"/>
      <c r="TMR45" s="234"/>
      <c r="TMS45" s="234"/>
      <c r="TMT45" s="234"/>
      <c r="TMU45" s="234"/>
      <c r="TMV45" s="234"/>
      <c r="TMW45" s="234"/>
      <c r="TMX45" s="234"/>
      <c r="TMY45" s="234"/>
      <c r="TMZ45" s="234"/>
      <c r="TNA45" s="234"/>
      <c r="TNB45" s="234"/>
      <c r="TNC45" s="234"/>
      <c r="TND45" s="234"/>
      <c r="TNE45" s="234"/>
      <c r="TNF45" s="234"/>
      <c r="TNG45" s="234"/>
      <c r="TNH45" s="234"/>
      <c r="TNI45" s="234"/>
      <c r="TNJ45" s="234"/>
      <c r="TNK45" s="234"/>
      <c r="TNL45" s="234"/>
      <c r="TNM45" s="234"/>
      <c r="TNN45" s="234"/>
      <c r="TNO45" s="234"/>
      <c r="TNP45" s="234"/>
      <c r="TNQ45" s="234"/>
      <c r="TNR45" s="234"/>
      <c r="TNS45" s="234"/>
      <c r="TNT45" s="234"/>
      <c r="TNU45" s="234"/>
      <c r="TNV45" s="234"/>
      <c r="TNW45" s="234"/>
      <c r="TNX45" s="234"/>
      <c r="TNY45" s="234"/>
      <c r="TNZ45" s="234"/>
      <c r="TOA45" s="234"/>
      <c r="TOB45" s="234"/>
      <c r="TOC45" s="234"/>
      <c r="TOD45" s="234"/>
      <c r="TOE45" s="234"/>
      <c r="TOF45" s="234"/>
      <c r="TOG45" s="234"/>
      <c r="TOH45" s="234"/>
      <c r="TOI45" s="234"/>
      <c r="TOJ45" s="234"/>
      <c r="TOK45" s="234"/>
      <c r="TOL45" s="234"/>
      <c r="TOM45" s="234"/>
      <c r="TON45" s="234"/>
      <c r="TOO45" s="234"/>
      <c r="TOP45" s="234"/>
      <c r="TOQ45" s="234"/>
      <c r="TOR45" s="234"/>
      <c r="TOS45" s="234"/>
      <c r="TOT45" s="234"/>
      <c r="TOU45" s="234"/>
      <c r="TOV45" s="234"/>
      <c r="TOW45" s="234"/>
      <c r="TOX45" s="234"/>
      <c r="TOY45" s="234"/>
      <c r="TOZ45" s="234"/>
      <c r="TPA45" s="234"/>
      <c r="TPB45" s="234"/>
      <c r="TPC45" s="234"/>
      <c r="TPD45" s="234"/>
      <c r="TPE45" s="234"/>
      <c r="TPF45" s="234"/>
      <c r="TPG45" s="234"/>
      <c r="TPH45" s="234"/>
      <c r="TPI45" s="234"/>
      <c r="TPJ45" s="234"/>
      <c r="TPK45" s="234"/>
      <c r="TPL45" s="234"/>
      <c r="TPM45" s="234"/>
      <c r="TPN45" s="234"/>
      <c r="TPO45" s="234"/>
      <c r="TPP45" s="234"/>
      <c r="TPQ45" s="234"/>
      <c r="TPR45" s="234"/>
      <c r="TPS45" s="234"/>
      <c r="TPT45" s="234"/>
      <c r="TPU45" s="234"/>
      <c r="TPV45" s="234"/>
      <c r="TPW45" s="234"/>
      <c r="TPX45" s="234"/>
      <c r="TPY45" s="234"/>
      <c r="TPZ45" s="234"/>
      <c r="TQA45" s="234"/>
      <c r="TQB45" s="234"/>
      <c r="TQC45" s="234"/>
      <c r="TQD45" s="234"/>
      <c r="TQE45" s="234"/>
      <c r="TQF45" s="234"/>
      <c r="TQG45" s="234"/>
      <c r="TQH45" s="234"/>
      <c r="TQI45" s="234"/>
      <c r="TQJ45" s="234"/>
      <c r="TQK45" s="234"/>
      <c r="TQL45" s="234"/>
      <c r="TQM45" s="234"/>
      <c r="TQN45" s="234"/>
      <c r="TQO45" s="234"/>
      <c r="TQP45" s="234"/>
      <c r="TQQ45" s="234"/>
      <c r="TQR45" s="234"/>
      <c r="TQS45" s="234"/>
      <c r="TQT45" s="234"/>
      <c r="TQU45" s="234"/>
      <c r="TQV45" s="234"/>
      <c r="TQW45" s="234"/>
      <c r="TQX45" s="234"/>
      <c r="TQY45" s="234"/>
      <c r="TQZ45" s="234"/>
      <c r="TRA45" s="234"/>
      <c r="TRB45" s="234"/>
      <c r="TRC45" s="234"/>
      <c r="TRD45" s="234"/>
      <c r="TRE45" s="234"/>
      <c r="TRF45" s="234"/>
      <c r="TRG45" s="234"/>
      <c r="TRH45" s="234"/>
      <c r="TRI45" s="234"/>
      <c r="TRJ45" s="234"/>
      <c r="TRK45" s="234"/>
      <c r="TRL45" s="234"/>
      <c r="TRM45" s="234"/>
      <c r="TRN45" s="234"/>
      <c r="TRO45" s="234"/>
      <c r="TRP45" s="234"/>
      <c r="TRQ45" s="234"/>
      <c r="TRR45" s="234"/>
      <c r="TRS45" s="234"/>
      <c r="TRT45" s="234"/>
      <c r="TRU45" s="234"/>
      <c r="TRV45" s="234"/>
      <c r="TRW45" s="234"/>
      <c r="TRX45" s="234"/>
      <c r="TRY45" s="234"/>
      <c r="TRZ45" s="234"/>
      <c r="TSA45" s="234"/>
      <c r="TSB45" s="234"/>
      <c r="TSC45" s="234"/>
      <c r="TSD45" s="234"/>
      <c r="TSE45" s="234"/>
      <c r="TSF45" s="234"/>
      <c r="TSG45" s="234"/>
      <c r="TSH45" s="234"/>
      <c r="TSI45" s="234"/>
      <c r="TSJ45" s="234"/>
      <c r="TSK45" s="234"/>
      <c r="TSL45" s="234"/>
      <c r="TSM45" s="234"/>
      <c r="TSN45" s="234"/>
      <c r="TSO45" s="234"/>
      <c r="TSP45" s="234"/>
      <c r="TSQ45" s="234"/>
      <c r="TSR45" s="234"/>
      <c r="TSS45" s="234"/>
      <c r="TST45" s="234"/>
      <c r="TSU45" s="234"/>
      <c r="TSV45" s="234"/>
      <c r="TSW45" s="234"/>
      <c r="TSX45" s="234"/>
      <c r="TSY45" s="234"/>
      <c r="TSZ45" s="234"/>
      <c r="TTA45" s="234"/>
      <c r="TTB45" s="234"/>
      <c r="TTC45" s="234"/>
      <c r="TTD45" s="234"/>
      <c r="TTE45" s="234"/>
      <c r="TTF45" s="234"/>
      <c r="TTG45" s="234"/>
      <c r="TTH45" s="234"/>
      <c r="TTI45" s="234"/>
      <c r="TTJ45" s="234"/>
      <c r="TTK45" s="234"/>
      <c r="TTL45" s="234"/>
      <c r="TTM45" s="234"/>
      <c r="TTN45" s="234"/>
      <c r="TTO45" s="234"/>
      <c r="TTP45" s="234"/>
      <c r="TTQ45" s="234"/>
      <c r="TTR45" s="234"/>
      <c r="TTS45" s="234"/>
      <c r="TTT45" s="234"/>
      <c r="TTU45" s="234"/>
      <c r="TTV45" s="234"/>
      <c r="TTW45" s="234"/>
      <c r="TTX45" s="234"/>
      <c r="TTY45" s="234"/>
      <c r="TTZ45" s="234"/>
      <c r="TUA45" s="234"/>
      <c r="TUB45" s="234"/>
      <c r="TUC45" s="234"/>
      <c r="TUD45" s="234"/>
      <c r="TUE45" s="234"/>
      <c r="TUF45" s="234"/>
      <c r="TUG45" s="234"/>
      <c r="TUH45" s="234"/>
      <c r="TUI45" s="234"/>
      <c r="TUJ45" s="234"/>
      <c r="TUK45" s="234"/>
      <c r="TUL45" s="234"/>
      <c r="TUM45" s="234"/>
      <c r="TUN45" s="234"/>
      <c r="TUO45" s="234"/>
      <c r="TUP45" s="234"/>
      <c r="TUQ45" s="234"/>
      <c r="TUR45" s="234"/>
      <c r="TUS45" s="234"/>
      <c r="TUT45" s="234"/>
      <c r="TUU45" s="234"/>
      <c r="TUV45" s="234"/>
      <c r="TUW45" s="234"/>
      <c r="TUX45" s="234"/>
      <c r="TUY45" s="234"/>
      <c r="TUZ45" s="234"/>
      <c r="TVA45" s="234"/>
      <c r="TVB45" s="234"/>
      <c r="TVC45" s="234"/>
      <c r="TVD45" s="234"/>
      <c r="TVE45" s="234"/>
      <c r="TVF45" s="234"/>
      <c r="TVG45" s="234"/>
      <c r="TVH45" s="234"/>
      <c r="TVI45" s="234"/>
      <c r="TVJ45" s="234"/>
      <c r="TVK45" s="234"/>
      <c r="TVL45" s="234"/>
      <c r="TVM45" s="234"/>
      <c r="TVN45" s="234"/>
      <c r="TVO45" s="234"/>
      <c r="TVP45" s="234"/>
      <c r="TVQ45" s="234"/>
      <c r="TVR45" s="234"/>
      <c r="TVS45" s="234"/>
      <c r="TVT45" s="234"/>
      <c r="TVU45" s="234"/>
      <c r="TVV45" s="234"/>
      <c r="TVW45" s="234"/>
      <c r="TVX45" s="234"/>
      <c r="TVY45" s="234"/>
      <c r="TVZ45" s="234"/>
      <c r="TWA45" s="234"/>
      <c r="TWB45" s="234"/>
      <c r="TWC45" s="234"/>
      <c r="TWD45" s="234"/>
      <c r="TWE45" s="234"/>
      <c r="TWF45" s="234"/>
      <c r="TWG45" s="234"/>
      <c r="TWH45" s="234"/>
      <c r="TWI45" s="234"/>
      <c r="TWJ45" s="234"/>
      <c r="TWK45" s="234"/>
      <c r="TWL45" s="234"/>
      <c r="TWM45" s="234"/>
      <c r="TWN45" s="234"/>
      <c r="TWO45" s="234"/>
      <c r="TWP45" s="234"/>
      <c r="TWQ45" s="234"/>
      <c r="TWR45" s="234"/>
      <c r="TWS45" s="234"/>
      <c r="TWT45" s="234"/>
      <c r="TWU45" s="234"/>
      <c r="TWV45" s="234"/>
      <c r="TWW45" s="234"/>
      <c r="TWX45" s="234"/>
      <c r="TWY45" s="234"/>
      <c r="TWZ45" s="234"/>
      <c r="TXA45" s="234"/>
      <c r="TXB45" s="234"/>
      <c r="TXC45" s="234"/>
      <c r="TXD45" s="234"/>
      <c r="TXE45" s="234"/>
      <c r="TXF45" s="234"/>
      <c r="TXG45" s="234"/>
      <c r="TXH45" s="234"/>
      <c r="TXI45" s="234"/>
      <c r="TXJ45" s="234"/>
      <c r="TXK45" s="234"/>
      <c r="TXL45" s="234"/>
      <c r="TXM45" s="234"/>
      <c r="TXN45" s="234"/>
      <c r="TXO45" s="234"/>
      <c r="TXP45" s="234"/>
      <c r="TXQ45" s="234"/>
      <c r="TXR45" s="234"/>
      <c r="TXS45" s="234"/>
      <c r="TXT45" s="234"/>
      <c r="TXU45" s="234"/>
      <c r="TXV45" s="234"/>
      <c r="TXW45" s="234"/>
      <c r="TXX45" s="234"/>
      <c r="TXY45" s="234"/>
      <c r="TXZ45" s="234"/>
      <c r="TYA45" s="234"/>
      <c r="TYB45" s="234"/>
      <c r="TYC45" s="234"/>
      <c r="TYD45" s="234"/>
      <c r="TYE45" s="234"/>
      <c r="TYF45" s="234"/>
      <c r="TYG45" s="234"/>
      <c r="TYH45" s="234"/>
      <c r="TYI45" s="234"/>
      <c r="TYJ45" s="234"/>
      <c r="TYK45" s="234"/>
      <c r="TYL45" s="234"/>
      <c r="TYM45" s="234"/>
      <c r="TYN45" s="234"/>
      <c r="TYO45" s="234"/>
      <c r="TYP45" s="234"/>
      <c r="TYQ45" s="234"/>
      <c r="TYR45" s="234"/>
      <c r="TYS45" s="234"/>
      <c r="TYT45" s="234"/>
      <c r="TYU45" s="234"/>
      <c r="TYV45" s="234"/>
      <c r="TYW45" s="234"/>
      <c r="TYX45" s="234"/>
      <c r="TYY45" s="234"/>
      <c r="TYZ45" s="234"/>
      <c r="TZA45" s="234"/>
      <c r="TZB45" s="234"/>
      <c r="TZC45" s="234"/>
      <c r="TZD45" s="234"/>
      <c r="TZE45" s="234"/>
      <c r="TZF45" s="234"/>
      <c r="TZG45" s="234"/>
      <c r="TZH45" s="234"/>
      <c r="TZI45" s="234"/>
      <c r="TZJ45" s="234"/>
      <c r="TZK45" s="234"/>
      <c r="TZL45" s="234"/>
      <c r="TZM45" s="234"/>
      <c r="TZN45" s="234"/>
      <c r="TZO45" s="234"/>
      <c r="TZP45" s="234"/>
      <c r="TZQ45" s="234"/>
      <c r="TZR45" s="234"/>
      <c r="TZS45" s="234"/>
      <c r="TZT45" s="234"/>
      <c r="TZU45" s="234"/>
      <c r="TZV45" s="234"/>
      <c r="TZW45" s="234"/>
      <c r="TZX45" s="234"/>
      <c r="TZY45" s="234"/>
      <c r="TZZ45" s="234"/>
      <c r="UAA45" s="234"/>
      <c r="UAB45" s="234"/>
      <c r="UAC45" s="234"/>
      <c r="UAD45" s="234"/>
      <c r="UAE45" s="234"/>
      <c r="UAF45" s="234"/>
      <c r="UAG45" s="234"/>
      <c r="UAH45" s="234"/>
      <c r="UAI45" s="234"/>
      <c r="UAJ45" s="234"/>
      <c r="UAK45" s="234"/>
      <c r="UAL45" s="234"/>
      <c r="UAM45" s="234"/>
      <c r="UAN45" s="234"/>
      <c r="UAO45" s="234"/>
      <c r="UAP45" s="234"/>
      <c r="UAQ45" s="234"/>
      <c r="UAR45" s="234"/>
      <c r="UAS45" s="234"/>
      <c r="UAT45" s="234"/>
      <c r="UAU45" s="234"/>
      <c r="UAV45" s="234"/>
      <c r="UAW45" s="234"/>
      <c r="UAX45" s="234"/>
      <c r="UAY45" s="234"/>
      <c r="UAZ45" s="234"/>
      <c r="UBA45" s="234"/>
      <c r="UBB45" s="234"/>
      <c r="UBC45" s="234"/>
      <c r="UBD45" s="234"/>
      <c r="UBE45" s="234"/>
      <c r="UBF45" s="234"/>
      <c r="UBG45" s="234"/>
      <c r="UBH45" s="234"/>
      <c r="UBI45" s="234"/>
      <c r="UBJ45" s="234"/>
      <c r="UBK45" s="234"/>
      <c r="UBL45" s="234"/>
      <c r="UBM45" s="234"/>
      <c r="UBN45" s="234"/>
      <c r="UBO45" s="234"/>
      <c r="UBP45" s="234"/>
      <c r="UBQ45" s="234"/>
      <c r="UBR45" s="234"/>
      <c r="UBS45" s="234"/>
      <c r="UBT45" s="234"/>
      <c r="UBU45" s="234"/>
      <c r="UBV45" s="234"/>
      <c r="UBW45" s="234"/>
      <c r="UBX45" s="234"/>
      <c r="UBY45" s="234"/>
      <c r="UBZ45" s="234"/>
      <c r="UCA45" s="234"/>
      <c r="UCB45" s="234"/>
      <c r="UCC45" s="234"/>
      <c r="UCD45" s="234"/>
      <c r="UCE45" s="234"/>
      <c r="UCF45" s="234"/>
      <c r="UCG45" s="234"/>
      <c r="UCH45" s="234"/>
      <c r="UCI45" s="234"/>
      <c r="UCJ45" s="234"/>
      <c r="UCK45" s="234"/>
      <c r="UCL45" s="234"/>
      <c r="UCM45" s="234"/>
      <c r="UCN45" s="234"/>
      <c r="UCO45" s="234"/>
      <c r="UCP45" s="234"/>
      <c r="UCQ45" s="234"/>
      <c r="UCR45" s="234"/>
      <c r="UCS45" s="234"/>
      <c r="UCT45" s="234"/>
      <c r="UCU45" s="234"/>
      <c r="UCV45" s="234"/>
      <c r="UCW45" s="234"/>
      <c r="UCX45" s="234"/>
      <c r="UCY45" s="234"/>
      <c r="UCZ45" s="234"/>
      <c r="UDA45" s="234"/>
      <c r="UDB45" s="234"/>
      <c r="UDC45" s="234"/>
      <c r="UDD45" s="234"/>
      <c r="UDE45" s="234"/>
      <c r="UDF45" s="234"/>
      <c r="UDG45" s="234"/>
      <c r="UDH45" s="234"/>
      <c r="UDI45" s="234"/>
      <c r="UDJ45" s="234"/>
      <c r="UDK45" s="234"/>
      <c r="UDL45" s="234"/>
      <c r="UDM45" s="234"/>
      <c r="UDN45" s="234"/>
      <c r="UDO45" s="234"/>
      <c r="UDP45" s="234"/>
      <c r="UDQ45" s="234"/>
      <c r="UDR45" s="234"/>
      <c r="UDS45" s="234"/>
      <c r="UDT45" s="234"/>
      <c r="UDU45" s="234"/>
      <c r="UDV45" s="234"/>
      <c r="UDW45" s="234"/>
      <c r="UDX45" s="234"/>
      <c r="UDY45" s="234"/>
      <c r="UDZ45" s="234"/>
      <c r="UEA45" s="234"/>
      <c r="UEB45" s="234"/>
      <c r="UEC45" s="234"/>
      <c r="UED45" s="234"/>
      <c r="UEE45" s="234"/>
      <c r="UEF45" s="234"/>
      <c r="UEG45" s="234"/>
      <c r="UEH45" s="234"/>
      <c r="UEI45" s="234"/>
      <c r="UEJ45" s="234"/>
      <c r="UEK45" s="234"/>
      <c r="UEL45" s="234"/>
      <c r="UEM45" s="234"/>
      <c r="UEN45" s="234"/>
      <c r="UEO45" s="234"/>
      <c r="UEP45" s="234"/>
      <c r="UEQ45" s="234"/>
      <c r="UER45" s="234"/>
      <c r="UES45" s="234"/>
      <c r="UET45" s="234"/>
      <c r="UEU45" s="234"/>
      <c r="UEV45" s="234"/>
      <c r="UEW45" s="234"/>
      <c r="UEX45" s="234"/>
      <c r="UEY45" s="234"/>
      <c r="UEZ45" s="234"/>
      <c r="UFA45" s="234"/>
      <c r="UFB45" s="234"/>
      <c r="UFC45" s="234"/>
      <c r="UFD45" s="234"/>
      <c r="UFE45" s="234"/>
      <c r="UFF45" s="234"/>
      <c r="UFG45" s="234"/>
      <c r="UFH45" s="234"/>
      <c r="UFI45" s="234"/>
      <c r="UFJ45" s="234"/>
      <c r="UFK45" s="234"/>
      <c r="UFL45" s="234"/>
      <c r="UFM45" s="234"/>
      <c r="UFN45" s="234"/>
      <c r="UFO45" s="234"/>
      <c r="UFP45" s="234"/>
      <c r="UFQ45" s="234"/>
      <c r="UFR45" s="234"/>
      <c r="UFS45" s="234"/>
      <c r="UFT45" s="234"/>
      <c r="UFU45" s="234"/>
      <c r="UFV45" s="234"/>
      <c r="UFW45" s="234"/>
      <c r="UFX45" s="234"/>
      <c r="UFY45" s="234"/>
      <c r="UFZ45" s="234"/>
      <c r="UGA45" s="234"/>
      <c r="UGB45" s="234"/>
      <c r="UGC45" s="234"/>
      <c r="UGD45" s="234"/>
      <c r="UGE45" s="234"/>
      <c r="UGF45" s="234"/>
      <c r="UGG45" s="234"/>
      <c r="UGH45" s="234"/>
      <c r="UGI45" s="234"/>
      <c r="UGJ45" s="234"/>
      <c r="UGK45" s="234"/>
      <c r="UGL45" s="234"/>
      <c r="UGM45" s="234"/>
      <c r="UGN45" s="234"/>
      <c r="UGO45" s="234"/>
      <c r="UGP45" s="234"/>
      <c r="UGQ45" s="234"/>
      <c r="UGR45" s="234"/>
      <c r="UGS45" s="234"/>
      <c r="UGT45" s="234"/>
      <c r="UGU45" s="234"/>
      <c r="UGV45" s="234"/>
      <c r="UGW45" s="234"/>
      <c r="UGX45" s="234"/>
      <c r="UGY45" s="234"/>
      <c r="UGZ45" s="234"/>
      <c r="UHA45" s="234"/>
      <c r="UHB45" s="234"/>
      <c r="UHC45" s="234"/>
      <c r="UHD45" s="234"/>
      <c r="UHE45" s="234"/>
      <c r="UHF45" s="234"/>
      <c r="UHG45" s="234"/>
      <c r="UHH45" s="234"/>
      <c r="UHI45" s="234"/>
      <c r="UHJ45" s="234"/>
      <c r="UHK45" s="234"/>
      <c r="UHL45" s="234"/>
      <c r="UHM45" s="234"/>
      <c r="UHN45" s="234"/>
      <c r="UHO45" s="234"/>
      <c r="UHP45" s="234"/>
      <c r="UHQ45" s="234"/>
      <c r="UHR45" s="234"/>
      <c r="UHS45" s="234"/>
      <c r="UHT45" s="234"/>
      <c r="UHU45" s="234"/>
      <c r="UHV45" s="234"/>
      <c r="UHW45" s="234"/>
      <c r="UHX45" s="234"/>
      <c r="UHY45" s="234"/>
      <c r="UHZ45" s="234"/>
      <c r="UIA45" s="234"/>
      <c r="UIB45" s="234"/>
      <c r="UIC45" s="234"/>
      <c r="UID45" s="234"/>
      <c r="UIE45" s="234"/>
      <c r="UIF45" s="234"/>
      <c r="UIG45" s="234"/>
      <c r="UIH45" s="234"/>
      <c r="UII45" s="234"/>
      <c r="UIJ45" s="234"/>
      <c r="UIK45" s="234"/>
      <c r="UIL45" s="234"/>
      <c r="UIM45" s="234"/>
      <c r="UIN45" s="234"/>
      <c r="UIO45" s="234"/>
      <c r="UIP45" s="234"/>
      <c r="UIQ45" s="234"/>
      <c r="UIR45" s="234"/>
      <c r="UIS45" s="234"/>
      <c r="UIT45" s="234"/>
      <c r="UIU45" s="234"/>
      <c r="UIV45" s="234"/>
      <c r="UIW45" s="234"/>
      <c r="UIX45" s="234"/>
      <c r="UIY45" s="234"/>
      <c r="UIZ45" s="234"/>
      <c r="UJA45" s="234"/>
      <c r="UJB45" s="234"/>
      <c r="UJC45" s="234"/>
      <c r="UJD45" s="234"/>
      <c r="UJE45" s="234"/>
      <c r="UJF45" s="234"/>
      <c r="UJG45" s="234"/>
      <c r="UJH45" s="234"/>
      <c r="UJI45" s="234"/>
      <c r="UJJ45" s="234"/>
      <c r="UJK45" s="234"/>
      <c r="UJL45" s="234"/>
      <c r="UJM45" s="234"/>
      <c r="UJN45" s="234"/>
      <c r="UJO45" s="234"/>
      <c r="UJP45" s="234"/>
      <c r="UJQ45" s="234"/>
      <c r="UJR45" s="234"/>
      <c r="UJS45" s="234"/>
      <c r="UJT45" s="234"/>
      <c r="UJU45" s="234"/>
      <c r="UJV45" s="234"/>
      <c r="UJW45" s="234"/>
      <c r="UJX45" s="234"/>
      <c r="UJY45" s="234"/>
      <c r="UJZ45" s="234"/>
      <c r="UKA45" s="234"/>
      <c r="UKB45" s="234"/>
      <c r="UKC45" s="234"/>
      <c r="UKD45" s="234"/>
      <c r="UKE45" s="234"/>
      <c r="UKF45" s="234"/>
      <c r="UKG45" s="234"/>
      <c r="UKH45" s="234"/>
      <c r="UKI45" s="234"/>
      <c r="UKJ45" s="234"/>
      <c r="UKK45" s="234"/>
      <c r="UKL45" s="234"/>
      <c r="UKM45" s="234"/>
      <c r="UKN45" s="234"/>
      <c r="UKO45" s="234"/>
      <c r="UKP45" s="234"/>
      <c r="UKQ45" s="234"/>
      <c r="UKR45" s="234"/>
      <c r="UKS45" s="234"/>
      <c r="UKT45" s="234"/>
      <c r="UKU45" s="234"/>
      <c r="UKV45" s="234"/>
      <c r="UKW45" s="234"/>
      <c r="UKX45" s="234"/>
      <c r="UKY45" s="234"/>
      <c r="UKZ45" s="234"/>
      <c r="ULA45" s="234"/>
      <c r="ULB45" s="234"/>
      <c r="ULC45" s="234"/>
      <c r="ULD45" s="234"/>
      <c r="ULE45" s="234"/>
      <c r="ULF45" s="234"/>
      <c r="ULG45" s="234"/>
      <c r="ULH45" s="234"/>
      <c r="ULI45" s="234"/>
      <c r="ULJ45" s="234"/>
      <c r="ULK45" s="234"/>
      <c r="ULL45" s="234"/>
      <c r="ULM45" s="234"/>
      <c r="ULN45" s="234"/>
      <c r="ULO45" s="234"/>
      <c r="ULP45" s="234"/>
      <c r="ULQ45" s="234"/>
      <c r="ULR45" s="234"/>
      <c r="ULS45" s="234"/>
      <c r="ULT45" s="234"/>
      <c r="ULU45" s="234"/>
      <c r="ULV45" s="234"/>
      <c r="ULW45" s="234"/>
      <c r="ULX45" s="234"/>
      <c r="ULY45" s="234"/>
      <c r="ULZ45" s="234"/>
      <c r="UMA45" s="234"/>
      <c r="UMB45" s="234"/>
      <c r="UMC45" s="234"/>
      <c r="UMD45" s="234"/>
      <c r="UME45" s="234"/>
      <c r="UMF45" s="234"/>
      <c r="UMG45" s="234"/>
      <c r="UMH45" s="234"/>
      <c r="UMI45" s="234"/>
      <c r="UMJ45" s="234"/>
      <c r="UMK45" s="234"/>
      <c r="UML45" s="234"/>
      <c r="UMM45" s="234"/>
      <c r="UMN45" s="234"/>
      <c r="UMO45" s="234"/>
      <c r="UMP45" s="234"/>
      <c r="UMQ45" s="234"/>
      <c r="UMR45" s="234"/>
      <c r="UMS45" s="234"/>
      <c r="UMT45" s="234"/>
      <c r="UMU45" s="234"/>
      <c r="UMV45" s="234"/>
      <c r="UMW45" s="234"/>
      <c r="UMX45" s="234"/>
      <c r="UMY45" s="234"/>
      <c r="UMZ45" s="234"/>
      <c r="UNA45" s="234"/>
      <c r="UNB45" s="234"/>
      <c r="UNC45" s="234"/>
      <c r="UND45" s="234"/>
      <c r="UNE45" s="234"/>
      <c r="UNF45" s="234"/>
      <c r="UNG45" s="234"/>
      <c r="UNH45" s="234"/>
      <c r="UNI45" s="234"/>
      <c r="UNJ45" s="234"/>
      <c r="UNK45" s="234"/>
      <c r="UNL45" s="234"/>
      <c r="UNM45" s="234"/>
      <c r="UNN45" s="234"/>
      <c r="UNO45" s="234"/>
      <c r="UNP45" s="234"/>
      <c r="UNQ45" s="234"/>
      <c r="UNR45" s="234"/>
      <c r="UNS45" s="234"/>
      <c r="UNT45" s="234"/>
      <c r="UNU45" s="234"/>
      <c r="UNV45" s="234"/>
      <c r="UNW45" s="234"/>
      <c r="UNX45" s="234"/>
      <c r="UNY45" s="234"/>
      <c r="UNZ45" s="234"/>
      <c r="UOA45" s="234"/>
      <c r="UOB45" s="234"/>
      <c r="UOC45" s="234"/>
      <c r="UOD45" s="234"/>
      <c r="UOE45" s="234"/>
      <c r="UOF45" s="234"/>
      <c r="UOG45" s="234"/>
      <c r="UOH45" s="234"/>
      <c r="UOI45" s="234"/>
      <c r="UOJ45" s="234"/>
      <c r="UOK45" s="234"/>
      <c r="UOL45" s="234"/>
      <c r="UOM45" s="234"/>
      <c r="UON45" s="234"/>
      <c r="UOO45" s="234"/>
      <c r="UOP45" s="234"/>
      <c r="UOQ45" s="234"/>
      <c r="UOR45" s="234"/>
      <c r="UOS45" s="234"/>
      <c r="UOT45" s="234"/>
      <c r="UOU45" s="234"/>
      <c r="UOV45" s="234"/>
      <c r="UOW45" s="234"/>
      <c r="UOX45" s="234"/>
      <c r="UOY45" s="234"/>
      <c r="UOZ45" s="234"/>
      <c r="UPA45" s="234"/>
      <c r="UPB45" s="234"/>
      <c r="UPC45" s="234"/>
      <c r="UPD45" s="234"/>
      <c r="UPE45" s="234"/>
      <c r="UPF45" s="234"/>
      <c r="UPG45" s="234"/>
      <c r="UPH45" s="234"/>
      <c r="UPI45" s="234"/>
      <c r="UPJ45" s="234"/>
      <c r="UPK45" s="234"/>
      <c r="UPL45" s="234"/>
      <c r="UPM45" s="234"/>
      <c r="UPN45" s="234"/>
      <c r="UPO45" s="234"/>
      <c r="UPP45" s="234"/>
      <c r="UPQ45" s="234"/>
      <c r="UPR45" s="234"/>
      <c r="UPS45" s="234"/>
      <c r="UPT45" s="234"/>
      <c r="UPU45" s="234"/>
      <c r="UPV45" s="234"/>
      <c r="UPW45" s="234"/>
      <c r="UPX45" s="234"/>
      <c r="UPY45" s="234"/>
      <c r="UPZ45" s="234"/>
      <c r="UQA45" s="234"/>
      <c r="UQB45" s="234"/>
      <c r="UQC45" s="234"/>
      <c r="UQD45" s="234"/>
      <c r="UQE45" s="234"/>
      <c r="UQF45" s="234"/>
      <c r="UQG45" s="234"/>
      <c r="UQH45" s="234"/>
      <c r="UQI45" s="234"/>
      <c r="UQJ45" s="234"/>
      <c r="UQK45" s="234"/>
      <c r="UQL45" s="234"/>
      <c r="UQM45" s="234"/>
      <c r="UQN45" s="234"/>
      <c r="UQO45" s="234"/>
      <c r="UQP45" s="234"/>
      <c r="UQQ45" s="234"/>
      <c r="UQR45" s="234"/>
      <c r="UQS45" s="234"/>
      <c r="UQT45" s="234"/>
      <c r="UQU45" s="234"/>
      <c r="UQV45" s="234"/>
      <c r="UQW45" s="234"/>
      <c r="UQX45" s="234"/>
      <c r="UQY45" s="234"/>
      <c r="UQZ45" s="234"/>
      <c r="URA45" s="234"/>
      <c r="URB45" s="234"/>
      <c r="URC45" s="234"/>
      <c r="URD45" s="234"/>
      <c r="URE45" s="234"/>
      <c r="URF45" s="234"/>
      <c r="URG45" s="234"/>
      <c r="URH45" s="234"/>
      <c r="URI45" s="234"/>
      <c r="URJ45" s="234"/>
      <c r="URK45" s="234"/>
      <c r="URL45" s="234"/>
      <c r="URM45" s="234"/>
      <c r="URN45" s="234"/>
      <c r="URO45" s="234"/>
      <c r="URP45" s="234"/>
      <c r="URQ45" s="234"/>
      <c r="URR45" s="234"/>
      <c r="URS45" s="234"/>
      <c r="URT45" s="234"/>
      <c r="URU45" s="234"/>
      <c r="URV45" s="234"/>
      <c r="URW45" s="234"/>
      <c r="URX45" s="234"/>
      <c r="URY45" s="234"/>
      <c r="URZ45" s="234"/>
      <c r="USA45" s="234"/>
      <c r="USB45" s="234"/>
      <c r="USC45" s="234"/>
      <c r="USD45" s="234"/>
      <c r="USE45" s="234"/>
      <c r="USF45" s="234"/>
      <c r="USG45" s="234"/>
      <c r="USH45" s="234"/>
      <c r="USI45" s="234"/>
      <c r="USJ45" s="234"/>
      <c r="USK45" s="234"/>
      <c r="USL45" s="234"/>
      <c r="USM45" s="234"/>
      <c r="USN45" s="234"/>
      <c r="USO45" s="234"/>
      <c r="USP45" s="234"/>
      <c r="USQ45" s="234"/>
      <c r="USR45" s="234"/>
      <c r="USS45" s="234"/>
      <c r="UST45" s="234"/>
      <c r="USU45" s="234"/>
      <c r="USV45" s="234"/>
      <c r="USW45" s="234"/>
      <c r="USX45" s="234"/>
      <c r="USY45" s="234"/>
      <c r="USZ45" s="234"/>
      <c r="UTA45" s="234"/>
      <c r="UTB45" s="234"/>
      <c r="UTC45" s="234"/>
      <c r="UTD45" s="234"/>
      <c r="UTE45" s="234"/>
      <c r="UTF45" s="234"/>
      <c r="UTG45" s="234"/>
      <c r="UTH45" s="234"/>
      <c r="UTI45" s="234"/>
      <c r="UTJ45" s="234"/>
      <c r="UTK45" s="234"/>
      <c r="UTL45" s="234"/>
      <c r="UTM45" s="234"/>
      <c r="UTN45" s="234"/>
      <c r="UTO45" s="234"/>
      <c r="UTP45" s="234"/>
      <c r="UTQ45" s="234"/>
      <c r="UTR45" s="234"/>
      <c r="UTS45" s="234"/>
      <c r="UTT45" s="234"/>
      <c r="UTU45" s="234"/>
      <c r="UTV45" s="234"/>
      <c r="UTW45" s="234"/>
      <c r="UTX45" s="234"/>
      <c r="UTY45" s="234"/>
      <c r="UTZ45" s="234"/>
      <c r="UUA45" s="234"/>
      <c r="UUB45" s="234"/>
      <c r="UUC45" s="234"/>
      <c r="UUD45" s="234"/>
      <c r="UUE45" s="234"/>
      <c r="UUF45" s="234"/>
      <c r="UUG45" s="234"/>
      <c r="UUH45" s="234"/>
      <c r="UUI45" s="234"/>
      <c r="UUJ45" s="234"/>
      <c r="UUK45" s="234"/>
      <c r="UUL45" s="234"/>
      <c r="UUM45" s="234"/>
      <c r="UUN45" s="234"/>
      <c r="UUO45" s="234"/>
      <c r="UUP45" s="234"/>
      <c r="UUQ45" s="234"/>
      <c r="UUR45" s="234"/>
      <c r="UUS45" s="234"/>
      <c r="UUT45" s="234"/>
      <c r="UUU45" s="234"/>
      <c r="UUV45" s="234"/>
      <c r="UUW45" s="234"/>
      <c r="UUX45" s="234"/>
      <c r="UUY45" s="234"/>
      <c r="UUZ45" s="234"/>
      <c r="UVA45" s="234"/>
      <c r="UVB45" s="234"/>
      <c r="UVC45" s="234"/>
      <c r="UVD45" s="234"/>
      <c r="UVE45" s="234"/>
      <c r="UVF45" s="234"/>
      <c r="UVG45" s="234"/>
      <c r="UVH45" s="234"/>
      <c r="UVI45" s="234"/>
      <c r="UVJ45" s="234"/>
      <c r="UVK45" s="234"/>
      <c r="UVL45" s="234"/>
      <c r="UVM45" s="234"/>
      <c r="UVN45" s="234"/>
      <c r="UVO45" s="234"/>
      <c r="UVP45" s="234"/>
      <c r="UVQ45" s="234"/>
      <c r="UVR45" s="234"/>
      <c r="UVS45" s="234"/>
      <c r="UVT45" s="234"/>
      <c r="UVU45" s="234"/>
      <c r="UVV45" s="234"/>
      <c r="UVW45" s="234"/>
      <c r="UVX45" s="234"/>
      <c r="UVY45" s="234"/>
      <c r="UVZ45" s="234"/>
      <c r="UWA45" s="234"/>
      <c r="UWB45" s="234"/>
      <c r="UWC45" s="234"/>
      <c r="UWD45" s="234"/>
      <c r="UWE45" s="234"/>
      <c r="UWF45" s="234"/>
      <c r="UWG45" s="234"/>
      <c r="UWH45" s="234"/>
      <c r="UWI45" s="234"/>
      <c r="UWJ45" s="234"/>
      <c r="UWK45" s="234"/>
      <c r="UWL45" s="234"/>
      <c r="UWM45" s="234"/>
      <c r="UWN45" s="234"/>
      <c r="UWO45" s="234"/>
      <c r="UWP45" s="234"/>
      <c r="UWQ45" s="234"/>
      <c r="UWR45" s="234"/>
      <c r="UWS45" s="234"/>
      <c r="UWT45" s="234"/>
      <c r="UWU45" s="234"/>
      <c r="UWV45" s="234"/>
      <c r="UWW45" s="234"/>
      <c r="UWX45" s="234"/>
      <c r="UWY45" s="234"/>
      <c r="UWZ45" s="234"/>
      <c r="UXA45" s="234"/>
      <c r="UXB45" s="234"/>
      <c r="UXC45" s="234"/>
      <c r="UXD45" s="234"/>
      <c r="UXE45" s="234"/>
      <c r="UXF45" s="234"/>
      <c r="UXG45" s="234"/>
      <c r="UXH45" s="234"/>
      <c r="UXI45" s="234"/>
      <c r="UXJ45" s="234"/>
      <c r="UXK45" s="234"/>
      <c r="UXL45" s="234"/>
      <c r="UXM45" s="234"/>
      <c r="UXN45" s="234"/>
      <c r="UXO45" s="234"/>
      <c r="UXP45" s="234"/>
      <c r="UXQ45" s="234"/>
      <c r="UXR45" s="234"/>
      <c r="UXS45" s="234"/>
      <c r="UXT45" s="234"/>
      <c r="UXU45" s="234"/>
      <c r="UXV45" s="234"/>
      <c r="UXW45" s="234"/>
      <c r="UXX45" s="234"/>
      <c r="UXY45" s="234"/>
      <c r="UXZ45" s="234"/>
      <c r="UYA45" s="234"/>
      <c r="UYB45" s="234"/>
      <c r="UYC45" s="234"/>
      <c r="UYD45" s="234"/>
      <c r="UYE45" s="234"/>
      <c r="UYF45" s="234"/>
      <c r="UYG45" s="234"/>
      <c r="UYH45" s="234"/>
      <c r="UYI45" s="234"/>
      <c r="UYJ45" s="234"/>
      <c r="UYK45" s="234"/>
      <c r="UYL45" s="234"/>
      <c r="UYM45" s="234"/>
      <c r="UYN45" s="234"/>
      <c r="UYO45" s="234"/>
      <c r="UYP45" s="234"/>
      <c r="UYQ45" s="234"/>
      <c r="UYR45" s="234"/>
      <c r="UYS45" s="234"/>
      <c r="UYT45" s="234"/>
      <c r="UYU45" s="234"/>
      <c r="UYV45" s="234"/>
      <c r="UYW45" s="234"/>
      <c r="UYX45" s="234"/>
      <c r="UYY45" s="234"/>
      <c r="UYZ45" s="234"/>
      <c r="UZA45" s="234"/>
      <c r="UZB45" s="234"/>
      <c r="UZC45" s="234"/>
      <c r="UZD45" s="234"/>
      <c r="UZE45" s="234"/>
      <c r="UZF45" s="234"/>
      <c r="UZG45" s="234"/>
      <c r="UZH45" s="234"/>
      <c r="UZI45" s="234"/>
      <c r="UZJ45" s="234"/>
      <c r="UZK45" s="234"/>
      <c r="UZL45" s="234"/>
      <c r="UZM45" s="234"/>
      <c r="UZN45" s="234"/>
      <c r="UZO45" s="234"/>
      <c r="UZP45" s="234"/>
      <c r="UZQ45" s="234"/>
      <c r="UZR45" s="234"/>
      <c r="UZS45" s="234"/>
      <c r="UZT45" s="234"/>
      <c r="UZU45" s="234"/>
      <c r="UZV45" s="234"/>
      <c r="UZW45" s="234"/>
      <c r="UZX45" s="234"/>
      <c r="UZY45" s="234"/>
      <c r="UZZ45" s="234"/>
      <c r="VAA45" s="234"/>
      <c r="VAB45" s="234"/>
      <c r="VAC45" s="234"/>
      <c r="VAD45" s="234"/>
      <c r="VAE45" s="234"/>
      <c r="VAF45" s="234"/>
      <c r="VAG45" s="234"/>
      <c r="VAH45" s="234"/>
      <c r="VAI45" s="234"/>
      <c r="VAJ45" s="234"/>
      <c r="VAK45" s="234"/>
      <c r="VAL45" s="234"/>
      <c r="VAM45" s="234"/>
      <c r="VAN45" s="234"/>
      <c r="VAO45" s="234"/>
      <c r="VAP45" s="234"/>
      <c r="VAQ45" s="234"/>
      <c r="VAR45" s="234"/>
      <c r="VAS45" s="234"/>
      <c r="VAT45" s="234"/>
      <c r="VAU45" s="234"/>
      <c r="VAV45" s="234"/>
      <c r="VAW45" s="234"/>
      <c r="VAX45" s="234"/>
      <c r="VAY45" s="234"/>
      <c r="VAZ45" s="234"/>
      <c r="VBA45" s="234"/>
      <c r="VBB45" s="234"/>
      <c r="VBC45" s="234"/>
      <c r="VBD45" s="234"/>
      <c r="VBE45" s="234"/>
      <c r="VBF45" s="234"/>
      <c r="VBG45" s="234"/>
      <c r="VBH45" s="234"/>
      <c r="VBI45" s="234"/>
      <c r="VBJ45" s="234"/>
      <c r="VBK45" s="234"/>
      <c r="VBL45" s="234"/>
      <c r="VBM45" s="234"/>
      <c r="VBN45" s="234"/>
      <c r="VBO45" s="234"/>
      <c r="VBP45" s="234"/>
      <c r="VBQ45" s="234"/>
      <c r="VBR45" s="234"/>
      <c r="VBS45" s="234"/>
      <c r="VBT45" s="234"/>
      <c r="VBU45" s="234"/>
      <c r="VBV45" s="234"/>
      <c r="VBW45" s="234"/>
      <c r="VBX45" s="234"/>
      <c r="VBY45" s="234"/>
      <c r="VBZ45" s="234"/>
      <c r="VCA45" s="234"/>
      <c r="VCB45" s="234"/>
      <c r="VCC45" s="234"/>
      <c r="VCD45" s="234"/>
      <c r="VCE45" s="234"/>
      <c r="VCF45" s="234"/>
      <c r="VCG45" s="234"/>
      <c r="VCH45" s="234"/>
      <c r="VCI45" s="234"/>
      <c r="VCJ45" s="234"/>
      <c r="VCK45" s="234"/>
      <c r="VCL45" s="234"/>
      <c r="VCM45" s="234"/>
      <c r="VCN45" s="234"/>
      <c r="VCO45" s="234"/>
      <c r="VCP45" s="234"/>
      <c r="VCQ45" s="234"/>
      <c r="VCR45" s="234"/>
      <c r="VCS45" s="234"/>
      <c r="VCT45" s="234"/>
      <c r="VCU45" s="234"/>
      <c r="VCV45" s="234"/>
      <c r="VCW45" s="234"/>
      <c r="VCX45" s="234"/>
      <c r="VCY45" s="234"/>
      <c r="VCZ45" s="234"/>
      <c r="VDA45" s="234"/>
      <c r="VDB45" s="234"/>
      <c r="VDC45" s="234"/>
      <c r="VDD45" s="234"/>
      <c r="VDE45" s="234"/>
      <c r="VDF45" s="234"/>
      <c r="VDG45" s="234"/>
      <c r="VDH45" s="234"/>
      <c r="VDI45" s="234"/>
      <c r="VDJ45" s="234"/>
      <c r="VDK45" s="234"/>
      <c r="VDL45" s="234"/>
      <c r="VDM45" s="234"/>
      <c r="VDN45" s="234"/>
      <c r="VDO45" s="234"/>
      <c r="VDP45" s="234"/>
      <c r="VDQ45" s="234"/>
      <c r="VDR45" s="234"/>
      <c r="VDS45" s="234"/>
      <c r="VDT45" s="234"/>
      <c r="VDU45" s="234"/>
      <c r="VDV45" s="234"/>
      <c r="VDW45" s="234"/>
      <c r="VDX45" s="234"/>
      <c r="VDY45" s="234"/>
      <c r="VDZ45" s="234"/>
      <c r="VEA45" s="234"/>
      <c r="VEB45" s="234"/>
      <c r="VEC45" s="234"/>
      <c r="VED45" s="234"/>
      <c r="VEE45" s="234"/>
      <c r="VEF45" s="234"/>
      <c r="VEG45" s="234"/>
      <c r="VEH45" s="234"/>
      <c r="VEI45" s="234"/>
      <c r="VEJ45" s="234"/>
      <c r="VEK45" s="234"/>
      <c r="VEL45" s="234"/>
      <c r="VEM45" s="234"/>
      <c r="VEN45" s="234"/>
      <c r="VEO45" s="234"/>
      <c r="VEP45" s="234"/>
      <c r="VEQ45" s="234"/>
      <c r="VER45" s="234"/>
      <c r="VES45" s="234"/>
      <c r="VET45" s="234"/>
      <c r="VEU45" s="234"/>
      <c r="VEV45" s="234"/>
      <c r="VEW45" s="234"/>
      <c r="VEX45" s="234"/>
      <c r="VEY45" s="234"/>
      <c r="VEZ45" s="234"/>
      <c r="VFA45" s="234"/>
      <c r="VFB45" s="234"/>
      <c r="VFC45" s="234"/>
      <c r="VFD45" s="234"/>
      <c r="VFE45" s="234"/>
      <c r="VFF45" s="234"/>
      <c r="VFG45" s="234"/>
      <c r="VFH45" s="234"/>
      <c r="VFI45" s="234"/>
      <c r="VFJ45" s="234"/>
      <c r="VFK45" s="234"/>
      <c r="VFL45" s="234"/>
      <c r="VFM45" s="234"/>
      <c r="VFN45" s="234"/>
      <c r="VFO45" s="234"/>
      <c r="VFP45" s="234"/>
      <c r="VFQ45" s="234"/>
      <c r="VFR45" s="234"/>
      <c r="VFS45" s="234"/>
      <c r="VFT45" s="234"/>
      <c r="VFU45" s="234"/>
      <c r="VFV45" s="234"/>
      <c r="VFW45" s="234"/>
      <c r="VFX45" s="234"/>
      <c r="VFY45" s="234"/>
      <c r="VFZ45" s="234"/>
      <c r="VGA45" s="234"/>
      <c r="VGB45" s="234"/>
      <c r="VGC45" s="234"/>
      <c r="VGD45" s="234"/>
      <c r="VGE45" s="234"/>
      <c r="VGF45" s="234"/>
      <c r="VGG45" s="234"/>
      <c r="VGH45" s="234"/>
      <c r="VGI45" s="234"/>
      <c r="VGJ45" s="234"/>
      <c r="VGK45" s="234"/>
      <c r="VGL45" s="234"/>
      <c r="VGM45" s="234"/>
      <c r="VGN45" s="234"/>
      <c r="VGO45" s="234"/>
      <c r="VGP45" s="234"/>
      <c r="VGQ45" s="234"/>
      <c r="VGR45" s="234"/>
      <c r="VGS45" s="234"/>
      <c r="VGT45" s="234"/>
      <c r="VGU45" s="234"/>
      <c r="VGV45" s="234"/>
      <c r="VGW45" s="234"/>
      <c r="VGX45" s="234"/>
      <c r="VGY45" s="234"/>
      <c r="VGZ45" s="234"/>
      <c r="VHA45" s="234"/>
      <c r="VHB45" s="234"/>
      <c r="VHC45" s="234"/>
      <c r="VHD45" s="234"/>
      <c r="VHE45" s="234"/>
      <c r="VHF45" s="234"/>
      <c r="VHG45" s="234"/>
      <c r="VHH45" s="234"/>
      <c r="VHI45" s="234"/>
      <c r="VHJ45" s="234"/>
      <c r="VHK45" s="234"/>
      <c r="VHL45" s="234"/>
      <c r="VHM45" s="234"/>
      <c r="VHN45" s="234"/>
      <c r="VHO45" s="234"/>
      <c r="VHP45" s="234"/>
      <c r="VHQ45" s="234"/>
      <c r="VHR45" s="234"/>
      <c r="VHS45" s="234"/>
      <c r="VHT45" s="234"/>
      <c r="VHU45" s="234"/>
      <c r="VHV45" s="234"/>
      <c r="VHW45" s="234"/>
      <c r="VHX45" s="234"/>
      <c r="VHY45" s="234"/>
      <c r="VHZ45" s="234"/>
      <c r="VIA45" s="234"/>
      <c r="VIB45" s="234"/>
      <c r="VIC45" s="234"/>
      <c r="VID45" s="234"/>
      <c r="VIE45" s="234"/>
      <c r="VIF45" s="234"/>
      <c r="VIG45" s="234"/>
      <c r="VIH45" s="234"/>
      <c r="VII45" s="234"/>
      <c r="VIJ45" s="234"/>
      <c r="VIK45" s="234"/>
      <c r="VIL45" s="234"/>
      <c r="VIM45" s="234"/>
      <c r="VIN45" s="234"/>
      <c r="VIO45" s="234"/>
      <c r="VIP45" s="234"/>
      <c r="VIQ45" s="234"/>
      <c r="VIR45" s="234"/>
      <c r="VIS45" s="234"/>
      <c r="VIT45" s="234"/>
      <c r="VIU45" s="234"/>
      <c r="VIV45" s="234"/>
      <c r="VIW45" s="234"/>
      <c r="VIX45" s="234"/>
      <c r="VIY45" s="234"/>
      <c r="VIZ45" s="234"/>
      <c r="VJA45" s="234"/>
      <c r="VJB45" s="234"/>
      <c r="VJC45" s="234"/>
      <c r="VJD45" s="234"/>
      <c r="VJE45" s="234"/>
      <c r="VJF45" s="234"/>
      <c r="VJG45" s="234"/>
      <c r="VJH45" s="234"/>
      <c r="VJI45" s="234"/>
      <c r="VJJ45" s="234"/>
      <c r="VJK45" s="234"/>
      <c r="VJL45" s="234"/>
      <c r="VJM45" s="234"/>
      <c r="VJN45" s="234"/>
      <c r="VJO45" s="234"/>
      <c r="VJP45" s="234"/>
      <c r="VJQ45" s="234"/>
      <c r="VJR45" s="234"/>
      <c r="VJS45" s="234"/>
      <c r="VJT45" s="234"/>
      <c r="VJU45" s="234"/>
      <c r="VJV45" s="234"/>
      <c r="VJW45" s="234"/>
      <c r="VJX45" s="234"/>
      <c r="VJY45" s="234"/>
      <c r="VJZ45" s="234"/>
      <c r="VKA45" s="234"/>
      <c r="VKB45" s="234"/>
      <c r="VKC45" s="234"/>
      <c r="VKD45" s="234"/>
      <c r="VKE45" s="234"/>
      <c r="VKF45" s="234"/>
      <c r="VKG45" s="234"/>
      <c r="VKH45" s="234"/>
      <c r="VKI45" s="234"/>
      <c r="VKJ45" s="234"/>
      <c r="VKK45" s="234"/>
      <c r="VKL45" s="234"/>
      <c r="VKM45" s="234"/>
      <c r="VKN45" s="234"/>
      <c r="VKO45" s="234"/>
      <c r="VKP45" s="234"/>
      <c r="VKQ45" s="234"/>
      <c r="VKR45" s="234"/>
      <c r="VKS45" s="234"/>
      <c r="VKT45" s="234"/>
      <c r="VKU45" s="234"/>
      <c r="VKV45" s="234"/>
      <c r="VKW45" s="234"/>
      <c r="VKX45" s="234"/>
      <c r="VKY45" s="234"/>
      <c r="VKZ45" s="234"/>
      <c r="VLA45" s="234"/>
      <c r="VLB45" s="234"/>
      <c r="VLC45" s="234"/>
      <c r="VLD45" s="234"/>
      <c r="VLE45" s="234"/>
      <c r="VLF45" s="234"/>
      <c r="VLG45" s="234"/>
      <c r="VLH45" s="234"/>
      <c r="VLI45" s="234"/>
      <c r="VLJ45" s="234"/>
      <c r="VLK45" s="234"/>
      <c r="VLL45" s="234"/>
      <c r="VLM45" s="234"/>
      <c r="VLN45" s="234"/>
      <c r="VLO45" s="234"/>
      <c r="VLP45" s="234"/>
      <c r="VLQ45" s="234"/>
      <c r="VLR45" s="234"/>
      <c r="VLS45" s="234"/>
      <c r="VLT45" s="234"/>
      <c r="VLU45" s="234"/>
      <c r="VLV45" s="234"/>
      <c r="VLW45" s="234"/>
      <c r="VLX45" s="234"/>
      <c r="VLY45" s="234"/>
      <c r="VLZ45" s="234"/>
      <c r="VMA45" s="234"/>
      <c r="VMB45" s="234"/>
      <c r="VMC45" s="234"/>
      <c r="VMD45" s="234"/>
      <c r="VME45" s="234"/>
      <c r="VMF45" s="234"/>
      <c r="VMG45" s="234"/>
      <c r="VMH45" s="234"/>
      <c r="VMI45" s="234"/>
      <c r="VMJ45" s="234"/>
      <c r="VMK45" s="234"/>
      <c r="VML45" s="234"/>
      <c r="VMM45" s="234"/>
      <c r="VMN45" s="234"/>
      <c r="VMO45" s="234"/>
      <c r="VMP45" s="234"/>
      <c r="VMQ45" s="234"/>
      <c r="VMR45" s="234"/>
      <c r="VMS45" s="234"/>
      <c r="VMT45" s="234"/>
      <c r="VMU45" s="234"/>
      <c r="VMV45" s="234"/>
      <c r="VMW45" s="234"/>
      <c r="VMX45" s="234"/>
      <c r="VMY45" s="234"/>
      <c r="VMZ45" s="234"/>
      <c r="VNA45" s="234"/>
      <c r="VNB45" s="234"/>
      <c r="VNC45" s="234"/>
      <c r="VND45" s="234"/>
      <c r="VNE45" s="234"/>
      <c r="VNF45" s="234"/>
      <c r="VNG45" s="234"/>
      <c r="VNH45" s="234"/>
      <c r="VNI45" s="234"/>
      <c r="VNJ45" s="234"/>
      <c r="VNK45" s="234"/>
      <c r="VNL45" s="234"/>
      <c r="VNM45" s="234"/>
      <c r="VNN45" s="234"/>
      <c r="VNO45" s="234"/>
      <c r="VNP45" s="234"/>
      <c r="VNQ45" s="234"/>
      <c r="VNR45" s="234"/>
      <c r="VNS45" s="234"/>
      <c r="VNT45" s="234"/>
      <c r="VNU45" s="234"/>
      <c r="VNV45" s="234"/>
      <c r="VNW45" s="234"/>
      <c r="VNX45" s="234"/>
      <c r="VNY45" s="234"/>
      <c r="VNZ45" s="234"/>
      <c r="VOA45" s="234"/>
      <c r="VOB45" s="234"/>
      <c r="VOC45" s="234"/>
      <c r="VOD45" s="234"/>
      <c r="VOE45" s="234"/>
      <c r="VOF45" s="234"/>
      <c r="VOG45" s="234"/>
      <c r="VOH45" s="234"/>
      <c r="VOI45" s="234"/>
      <c r="VOJ45" s="234"/>
      <c r="VOK45" s="234"/>
      <c r="VOL45" s="234"/>
      <c r="VOM45" s="234"/>
      <c r="VON45" s="234"/>
      <c r="VOO45" s="234"/>
      <c r="VOP45" s="234"/>
      <c r="VOQ45" s="234"/>
      <c r="VOR45" s="234"/>
      <c r="VOS45" s="234"/>
      <c r="VOT45" s="234"/>
      <c r="VOU45" s="234"/>
      <c r="VOV45" s="234"/>
      <c r="VOW45" s="234"/>
      <c r="VOX45" s="234"/>
      <c r="VOY45" s="234"/>
      <c r="VOZ45" s="234"/>
      <c r="VPA45" s="234"/>
      <c r="VPB45" s="234"/>
      <c r="VPC45" s="234"/>
      <c r="VPD45" s="234"/>
      <c r="VPE45" s="234"/>
      <c r="VPF45" s="234"/>
      <c r="VPG45" s="234"/>
      <c r="VPH45" s="234"/>
      <c r="VPI45" s="234"/>
      <c r="VPJ45" s="234"/>
      <c r="VPK45" s="234"/>
      <c r="VPL45" s="234"/>
      <c r="VPM45" s="234"/>
      <c r="VPN45" s="234"/>
      <c r="VPO45" s="234"/>
      <c r="VPP45" s="234"/>
      <c r="VPQ45" s="234"/>
      <c r="VPR45" s="234"/>
      <c r="VPS45" s="234"/>
      <c r="VPT45" s="234"/>
      <c r="VPU45" s="234"/>
      <c r="VPV45" s="234"/>
      <c r="VPW45" s="234"/>
      <c r="VPX45" s="234"/>
      <c r="VPY45" s="234"/>
      <c r="VPZ45" s="234"/>
      <c r="VQA45" s="234"/>
      <c r="VQB45" s="234"/>
      <c r="VQC45" s="234"/>
      <c r="VQD45" s="234"/>
      <c r="VQE45" s="234"/>
      <c r="VQF45" s="234"/>
      <c r="VQG45" s="234"/>
      <c r="VQH45" s="234"/>
      <c r="VQI45" s="234"/>
      <c r="VQJ45" s="234"/>
      <c r="VQK45" s="234"/>
      <c r="VQL45" s="234"/>
      <c r="VQM45" s="234"/>
      <c r="VQN45" s="234"/>
      <c r="VQO45" s="234"/>
      <c r="VQP45" s="234"/>
      <c r="VQQ45" s="234"/>
      <c r="VQR45" s="234"/>
      <c r="VQS45" s="234"/>
      <c r="VQT45" s="234"/>
      <c r="VQU45" s="234"/>
      <c r="VQV45" s="234"/>
      <c r="VQW45" s="234"/>
      <c r="VQX45" s="234"/>
      <c r="VQY45" s="234"/>
      <c r="VQZ45" s="234"/>
      <c r="VRA45" s="234"/>
      <c r="VRB45" s="234"/>
      <c r="VRC45" s="234"/>
      <c r="VRD45" s="234"/>
      <c r="VRE45" s="234"/>
      <c r="VRF45" s="234"/>
      <c r="VRG45" s="234"/>
      <c r="VRH45" s="234"/>
      <c r="VRI45" s="234"/>
      <c r="VRJ45" s="234"/>
      <c r="VRK45" s="234"/>
      <c r="VRL45" s="234"/>
      <c r="VRM45" s="234"/>
      <c r="VRN45" s="234"/>
      <c r="VRO45" s="234"/>
      <c r="VRP45" s="234"/>
      <c r="VRQ45" s="234"/>
      <c r="VRR45" s="234"/>
      <c r="VRS45" s="234"/>
      <c r="VRT45" s="234"/>
      <c r="VRU45" s="234"/>
      <c r="VRV45" s="234"/>
      <c r="VRW45" s="234"/>
      <c r="VRX45" s="234"/>
      <c r="VRY45" s="234"/>
      <c r="VRZ45" s="234"/>
      <c r="VSA45" s="234"/>
      <c r="VSB45" s="234"/>
      <c r="VSC45" s="234"/>
      <c r="VSD45" s="234"/>
      <c r="VSE45" s="234"/>
      <c r="VSF45" s="234"/>
      <c r="VSG45" s="234"/>
      <c r="VSH45" s="234"/>
      <c r="VSI45" s="234"/>
      <c r="VSJ45" s="234"/>
      <c r="VSK45" s="234"/>
      <c r="VSL45" s="234"/>
      <c r="VSM45" s="234"/>
      <c r="VSN45" s="234"/>
      <c r="VSO45" s="234"/>
      <c r="VSP45" s="234"/>
      <c r="VSQ45" s="234"/>
      <c r="VSR45" s="234"/>
      <c r="VSS45" s="234"/>
      <c r="VST45" s="234"/>
      <c r="VSU45" s="234"/>
      <c r="VSV45" s="234"/>
      <c r="VSW45" s="234"/>
      <c r="VSX45" s="234"/>
      <c r="VSY45" s="234"/>
      <c r="VSZ45" s="234"/>
      <c r="VTA45" s="234"/>
      <c r="VTB45" s="234"/>
      <c r="VTC45" s="234"/>
      <c r="VTD45" s="234"/>
      <c r="VTE45" s="234"/>
      <c r="VTF45" s="234"/>
      <c r="VTG45" s="234"/>
      <c r="VTH45" s="234"/>
      <c r="VTI45" s="234"/>
      <c r="VTJ45" s="234"/>
      <c r="VTK45" s="234"/>
      <c r="VTL45" s="234"/>
      <c r="VTM45" s="234"/>
      <c r="VTN45" s="234"/>
      <c r="VTO45" s="234"/>
      <c r="VTP45" s="234"/>
      <c r="VTQ45" s="234"/>
      <c r="VTR45" s="234"/>
      <c r="VTS45" s="234"/>
      <c r="VTT45" s="234"/>
      <c r="VTU45" s="234"/>
      <c r="VTV45" s="234"/>
      <c r="VTW45" s="234"/>
      <c r="VTX45" s="234"/>
      <c r="VTY45" s="234"/>
      <c r="VTZ45" s="234"/>
      <c r="VUA45" s="234"/>
      <c r="VUB45" s="234"/>
      <c r="VUC45" s="234"/>
      <c r="VUD45" s="234"/>
      <c r="VUE45" s="234"/>
      <c r="VUF45" s="234"/>
      <c r="VUG45" s="234"/>
      <c r="VUH45" s="234"/>
      <c r="VUI45" s="234"/>
      <c r="VUJ45" s="234"/>
      <c r="VUK45" s="234"/>
      <c r="VUL45" s="234"/>
      <c r="VUM45" s="234"/>
      <c r="VUN45" s="234"/>
      <c r="VUO45" s="234"/>
      <c r="VUP45" s="234"/>
      <c r="VUQ45" s="234"/>
      <c r="VUR45" s="234"/>
      <c r="VUS45" s="234"/>
      <c r="VUT45" s="234"/>
      <c r="VUU45" s="234"/>
      <c r="VUV45" s="234"/>
      <c r="VUW45" s="234"/>
      <c r="VUX45" s="234"/>
      <c r="VUY45" s="234"/>
      <c r="VUZ45" s="234"/>
      <c r="VVA45" s="234"/>
      <c r="VVB45" s="234"/>
      <c r="VVC45" s="234"/>
      <c r="VVD45" s="234"/>
      <c r="VVE45" s="234"/>
      <c r="VVF45" s="234"/>
      <c r="VVG45" s="234"/>
      <c r="VVH45" s="234"/>
      <c r="VVI45" s="234"/>
      <c r="VVJ45" s="234"/>
      <c r="VVK45" s="234"/>
      <c r="VVL45" s="234"/>
      <c r="VVM45" s="234"/>
      <c r="VVN45" s="234"/>
      <c r="VVO45" s="234"/>
      <c r="VVP45" s="234"/>
      <c r="VVQ45" s="234"/>
      <c r="VVR45" s="234"/>
      <c r="VVS45" s="234"/>
      <c r="VVT45" s="234"/>
      <c r="VVU45" s="234"/>
      <c r="VVV45" s="234"/>
      <c r="VVW45" s="234"/>
      <c r="VVX45" s="234"/>
      <c r="VVY45" s="234"/>
      <c r="VVZ45" s="234"/>
      <c r="VWA45" s="234"/>
      <c r="VWB45" s="234"/>
      <c r="VWC45" s="234"/>
      <c r="VWD45" s="234"/>
      <c r="VWE45" s="234"/>
      <c r="VWF45" s="234"/>
      <c r="VWG45" s="234"/>
      <c r="VWH45" s="234"/>
      <c r="VWI45" s="234"/>
      <c r="VWJ45" s="234"/>
      <c r="VWK45" s="234"/>
      <c r="VWL45" s="234"/>
      <c r="VWM45" s="234"/>
      <c r="VWN45" s="234"/>
      <c r="VWO45" s="234"/>
      <c r="VWP45" s="234"/>
      <c r="VWQ45" s="234"/>
      <c r="VWR45" s="234"/>
      <c r="VWS45" s="234"/>
      <c r="VWT45" s="234"/>
      <c r="VWU45" s="234"/>
      <c r="VWV45" s="234"/>
      <c r="VWW45" s="234"/>
      <c r="VWX45" s="234"/>
      <c r="VWY45" s="234"/>
      <c r="VWZ45" s="234"/>
      <c r="VXA45" s="234"/>
      <c r="VXB45" s="234"/>
      <c r="VXC45" s="234"/>
      <c r="VXD45" s="234"/>
      <c r="VXE45" s="234"/>
      <c r="VXF45" s="234"/>
      <c r="VXG45" s="234"/>
      <c r="VXH45" s="234"/>
      <c r="VXI45" s="234"/>
      <c r="VXJ45" s="234"/>
      <c r="VXK45" s="234"/>
      <c r="VXL45" s="234"/>
      <c r="VXM45" s="234"/>
      <c r="VXN45" s="234"/>
      <c r="VXO45" s="234"/>
      <c r="VXP45" s="234"/>
      <c r="VXQ45" s="234"/>
      <c r="VXR45" s="234"/>
      <c r="VXS45" s="234"/>
      <c r="VXT45" s="234"/>
      <c r="VXU45" s="234"/>
      <c r="VXV45" s="234"/>
      <c r="VXW45" s="234"/>
      <c r="VXX45" s="234"/>
      <c r="VXY45" s="234"/>
      <c r="VXZ45" s="234"/>
      <c r="VYA45" s="234"/>
      <c r="VYB45" s="234"/>
      <c r="VYC45" s="234"/>
      <c r="VYD45" s="234"/>
      <c r="VYE45" s="234"/>
      <c r="VYF45" s="234"/>
      <c r="VYG45" s="234"/>
      <c r="VYH45" s="234"/>
      <c r="VYI45" s="234"/>
      <c r="VYJ45" s="234"/>
      <c r="VYK45" s="234"/>
      <c r="VYL45" s="234"/>
      <c r="VYM45" s="234"/>
      <c r="VYN45" s="234"/>
      <c r="VYO45" s="234"/>
      <c r="VYP45" s="234"/>
      <c r="VYQ45" s="234"/>
      <c r="VYR45" s="234"/>
      <c r="VYS45" s="234"/>
      <c r="VYT45" s="234"/>
      <c r="VYU45" s="234"/>
      <c r="VYV45" s="234"/>
      <c r="VYW45" s="234"/>
      <c r="VYX45" s="234"/>
      <c r="VYY45" s="234"/>
      <c r="VYZ45" s="234"/>
      <c r="VZA45" s="234"/>
      <c r="VZB45" s="234"/>
      <c r="VZC45" s="234"/>
      <c r="VZD45" s="234"/>
      <c r="VZE45" s="234"/>
      <c r="VZF45" s="234"/>
      <c r="VZG45" s="234"/>
      <c r="VZH45" s="234"/>
      <c r="VZI45" s="234"/>
      <c r="VZJ45" s="234"/>
      <c r="VZK45" s="234"/>
      <c r="VZL45" s="234"/>
      <c r="VZM45" s="234"/>
      <c r="VZN45" s="234"/>
      <c r="VZO45" s="234"/>
      <c r="VZP45" s="234"/>
      <c r="VZQ45" s="234"/>
      <c r="VZR45" s="234"/>
      <c r="VZS45" s="234"/>
      <c r="VZT45" s="234"/>
      <c r="VZU45" s="234"/>
      <c r="VZV45" s="234"/>
      <c r="VZW45" s="234"/>
      <c r="VZX45" s="234"/>
      <c r="VZY45" s="234"/>
      <c r="VZZ45" s="234"/>
      <c r="WAA45" s="234"/>
      <c r="WAB45" s="234"/>
      <c r="WAC45" s="234"/>
      <c r="WAD45" s="234"/>
      <c r="WAE45" s="234"/>
      <c r="WAF45" s="234"/>
      <c r="WAG45" s="234"/>
      <c r="WAH45" s="234"/>
      <c r="WAI45" s="234"/>
      <c r="WAJ45" s="234"/>
      <c r="WAK45" s="234"/>
      <c r="WAL45" s="234"/>
      <c r="WAM45" s="234"/>
      <c r="WAN45" s="234"/>
      <c r="WAO45" s="234"/>
      <c r="WAP45" s="234"/>
      <c r="WAQ45" s="234"/>
      <c r="WAR45" s="234"/>
      <c r="WAS45" s="234"/>
      <c r="WAT45" s="234"/>
      <c r="WAU45" s="234"/>
      <c r="WAV45" s="234"/>
      <c r="WAW45" s="234"/>
      <c r="WAX45" s="234"/>
      <c r="WAY45" s="234"/>
      <c r="WAZ45" s="234"/>
      <c r="WBA45" s="234"/>
      <c r="WBB45" s="234"/>
      <c r="WBC45" s="234"/>
      <c r="WBD45" s="234"/>
      <c r="WBE45" s="234"/>
      <c r="WBF45" s="234"/>
      <c r="WBG45" s="234"/>
      <c r="WBH45" s="234"/>
      <c r="WBI45" s="234"/>
      <c r="WBJ45" s="234"/>
      <c r="WBK45" s="234"/>
      <c r="WBL45" s="234"/>
      <c r="WBM45" s="234"/>
      <c r="WBN45" s="234"/>
      <c r="WBO45" s="234"/>
      <c r="WBP45" s="234"/>
      <c r="WBQ45" s="234"/>
      <c r="WBR45" s="234"/>
      <c r="WBS45" s="234"/>
      <c r="WBT45" s="234"/>
      <c r="WBU45" s="234"/>
      <c r="WBV45" s="234"/>
      <c r="WBW45" s="234"/>
      <c r="WBX45" s="234"/>
      <c r="WBY45" s="234"/>
      <c r="WBZ45" s="234"/>
      <c r="WCA45" s="234"/>
      <c r="WCB45" s="234"/>
      <c r="WCC45" s="234"/>
      <c r="WCD45" s="234"/>
      <c r="WCE45" s="234"/>
      <c r="WCF45" s="234"/>
      <c r="WCG45" s="234"/>
      <c r="WCH45" s="234"/>
      <c r="WCI45" s="234"/>
      <c r="WCJ45" s="234"/>
      <c r="WCK45" s="234"/>
      <c r="WCL45" s="234"/>
      <c r="WCM45" s="234"/>
      <c r="WCN45" s="234"/>
      <c r="WCO45" s="234"/>
      <c r="WCP45" s="234"/>
      <c r="WCQ45" s="234"/>
      <c r="WCR45" s="234"/>
      <c r="WCS45" s="234"/>
      <c r="WCT45" s="234"/>
      <c r="WCU45" s="234"/>
      <c r="WCV45" s="234"/>
      <c r="WCW45" s="234"/>
      <c r="WCX45" s="234"/>
      <c r="WCY45" s="234"/>
      <c r="WCZ45" s="234"/>
      <c r="WDA45" s="234"/>
      <c r="WDB45" s="234"/>
      <c r="WDC45" s="234"/>
      <c r="WDD45" s="234"/>
      <c r="WDE45" s="234"/>
      <c r="WDF45" s="234"/>
      <c r="WDG45" s="234"/>
      <c r="WDH45" s="234"/>
      <c r="WDI45" s="234"/>
      <c r="WDJ45" s="234"/>
      <c r="WDK45" s="234"/>
      <c r="WDL45" s="234"/>
      <c r="WDM45" s="234"/>
      <c r="WDN45" s="234"/>
      <c r="WDO45" s="234"/>
      <c r="WDP45" s="234"/>
      <c r="WDQ45" s="234"/>
      <c r="WDR45" s="234"/>
      <c r="WDS45" s="234"/>
      <c r="WDT45" s="234"/>
      <c r="WDU45" s="234"/>
      <c r="WDV45" s="234"/>
      <c r="WDW45" s="234"/>
      <c r="WDX45" s="234"/>
      <c r="WDY45" s="234"/>
      <c r="WDZ45" s="234"/>
      <c r="WEA45" s="234"/>
      <c r="WEB45" s="234"/>
      <c r="WEC45" s="234"/>
      <c r="WED45" s="234"/>
      <c r="WEE45" s="234"/>
      <c r="WEF45" s="234"/>
      <c r="WEG45" s="234"/>
      <c r="WEH45" s="234"/>
      <c r="WEI45" s="234"/>
      <c r="WEJ45" s="234"/>
      <c r="WEK45" s="234"/>
      <c r="WEL45" s="234"/>
      <c r="WEM45" s="234"/>
      <c r="WEN45" s="234"/>
      <c r="WEO45" s="234"/>
      <c r="WEP45" s="234"/>
      <c r="WEQ45" s="234"/>
      <c r="WER45" s="234"/>
      <c r="WES45" s="234"/>
      <c r="WET45" s="234"/>
      <c r="WEU45" s="234"/>
      <c r="WEV45" s="234"/>
      <c r="WEW45" s="234"/>
      <c r="WEX45" s="234"/>
      <c r="WEY45" s="234"/>
      <c r="WEZ45" s="234"/>
      <c r="WFA45" s="234"/>
      <c r="WFB45" s="234"/>
      <c r="WFC45" s="234"/>
      <c r="WFD45" s="234"/>
      <c r="WFE45" s="234"/>
      <c r="WFF45" s="234"/>
      <c r="WFG45" s="234"/>
      <c r="WFH45" s="234"/>
      <c r="WFI45" s="234"/>
      <c r="WFJ45" s="234"/>
      <c r="WFK45" s="234"/>
      <c r="WFL45" s="234"/>
      <c r="WFM45" s="234"/>
      <c r="WFN45" s="234"/>
      <c r="WFO45" s="234"/>
      <c r="WFP45" s="234"/>
      <c r="WFQ45" s="234"/>
      <c r="WFR45" s="234"/>
      <c r="WFS45" s="234"/>
      <c r="WFT45" s="234"/>
      <c r="WFU45" s="234"/>
      <c r="WFV45" s="234"/>
      <c r="WFW45" s="234"/>
      <c r="WFX45" s="234"/>
      <c r="WFY45" s="234"/>
      <c r="WFZ45" s="234"/>
      <c r="WGA45" s="234"/>
      <c r="WGB45" s="234"/>
      <c r="WGC45" s="234"/>
      <c r="WGD45" s="234"/>
      <c r="WGE45" s="234"/>
      <c r="WGF45" s="234"/>
      <c r="WGG45" s="234"/>
      <c r="WGH45" s="234"/>
      <c r="WGI45" s="234"/>
      <c r="WGJ45" s="234"/>
      <c r="WGK45" s="234"/>
      <c r="WGL45" s="234"/>
      <c r="WGM45" s="234"/>
      <c r="WGN45" s="234"/>
      <c r="WGO45" s="234"/>
      <c r="WGP45" s="234"/>
      <c r="WGQ45" s="234"/>
      <c r="WGR45" s="234"/>
      <c r="WGS45" s="234"/>
      <c r="WGT45" s="234"/>
      <c r="WGU45" s="234"/>
      <c r="WGV45" s="234"/>
      <c r="WGW45" s="234"/>
      <c r="WGX45" s="234"/>
      <c r="WGY45" s="234"/>
      <c r="WGZ45" s="234"/>
      <c r="WHA45" s="234"/>
      <c r="WHB45" s="234"/>
      <c r="WHC45" s="234"/>
      <c r="WHD45" s="234"/>
      <c r="WHE45" s="234"/>
      <c r="WHF45" s="234"/>
      <c r="WHG45" s="234"/>
      <c r="WHH45" s="234"/>
      <c r="WHI45" s="234"/>
      <c r="WHJ45" s="234"/>
      <c r="WHK45" s="234"/>
      <c r="WHL45" s="234"/>
      <c r="WHM45" s="234"/>
      <c r="WHN45" s="234"/>
      <c r="WHO45" s="234"/>
      <c r="WHP45" s="234"/>
      <c r="WHQ45" s="234"/>
      <c r="WHR45" s="234"/>
      <c r="WHS45" s="234"/>
      <c r="WHT45" s="234"/>
      <c r="WHU45" s="234"/>
      <c r="WHV45" s="234"/>
      <c r="WHW45" s="234"/>
      <c r="WHX45" s="234"/>
      <c r="WHY45" s="234"/>
      <c r="WHZ45" s="234"/>
      <c r="WIA45" s="234"/>
      <c r="WIB45" s="234"/>
      <c r="WIC45" s="234"/>
      <c r="WID45" s="234"/>
      <c r="WIE45" s="234"/>
      <c r="WIF45" s="234"/>
      <c r="WIG45" s="234"/>
      <c r="WIH45" s="234"/>
      <c r="WII45" s="234"/>
      <c r="WIJ45" s="234"/>
      <c r="WIK45" s="234"/>
      <c r="WIL45" s="234"/>
      <c r="WIM45" s="234"/>
      <c r="WIN45" s="234"/>
      <c r="WIO45" s="234"/>
      <c r="WIP45" s="234"/>
      <c r="WIQ45" s="234"/>
      <c r="WIR45" s="234"/>
      <c r="WIS45" s="234"/>
      <c r="WIT45" s="234"/>
      <c r="WIU45" s="234"/>
      <c r="WIV45" s="234"/>
      <c r="WIW45" s="234"/>
      <c r="WIX45" s="234"/>
      <c r="WIY45" s="234"/>
      <c r="WIZ45" s="234"/>
      <c r="WJA45" s="234"/>
      <c r="WJB45" s="234"/>
      <c r="WJC45" s="234"/>
      <c r="WJD45" s="234"/>
      <c r="WJE45" s="234"/>
      <c r="WJF45" s="234"/>
      <c r="WJG45" s="234"/>
      <c r="WJH45" s="234"/>
      <c r="WJI45" s="234"/>
      <c r="WJJ45" s="234"/>
      <c r="WJK45" s="234"/>
      <c r="WJL45" s="234"/>
      <c r="WJM45" s="234"/>
      <c r="WJN45" s="234"/>
      <c r="WJO45" s="234"/>
      <c r="WJP45" s="234"/>
      <c r="WJQ45" s="234"/>
      <c r="WJR45" s="234"/>
      <c r="WJS45" s="234"/>
      <c r="WJT45" s="234"/>
      <c r="WJU45" s="234"/>
      <c r="WJV45" s="234"/>
      <c r="WJW45" s="234"/>
      <c r="WJX45" s="234"/>
      <c r="WJY45" s="234"/>
      <c r="WJZ45" s="234"/>
      <c r="WKA45" s="234"/>
      <c r="WKB45" s="234"/>
      <c r="WKC45" s="234"/>
      <c r="WKD45" s="234"/>
      <c r="WKE45" s="234"/>
      <c r="WKF45" s="234"/>
      <c r="WKG45" s="234"/>
      <c r="WKH45" s="234"/>
      <c r="WKI45" s="234"/>
      <c r="WKJ45" s="234"/>
      <c r="WKK45" s="234"/>
      <c r="WKL45" s="234"/>
      <c r="WKM45" s="234"/>
      <c r="WKN45" s="234"/>
      <c r="WKO45" s="234"/>
      <c r="WKP45" s="234"/>
      <c r="WKQ45" s="234"/>
      <c r="WKR45" s="234"/>
      <c r="WKS45" s="234"/>
      <c r="WKT45" s="234"/>
      <c r="WKU45" s="234"/>
      <c r="WKV45" s="234"/>
      <c r="WKW45" s="234"/>
      <c r="WKX45" s="234"/>
      <c r="WKY45" s="234"/>
      <c r="WKZ45" s="234"/>
      <c r="WLA45" s="234"/>
      <c r="WLB45" s="234"/>
      <c r="WLC45" s="234"/>
      <c r="WLD45" s="234"/>
      <c r="WLE45" s="234"/>
      <c r="WLF45" s="234"/>
      <c r="WLG45" s="234"/>
      <c r="WLH45" s="234"/>
      <c r="WLI45" s="234"/>
      <c r="WLJ45" s="234"/>
      <c r="WLK45" s="234"/>
      <c r="WLL45" s="234"/>
      <c r="WLM45" s="234"/>
      <c r="WLN45" s="234"/>
      <c r="WLO45" s="234"/>
      <c r="WLP45" s="234"/>
      <c r="WLQ45" s="234"/>
      <c r="WLR45" s="234"/>
      <c r="WLS45" s="234"/>
      <c r="WLT45" s="234"/>
      <c r="WLU45" s="234"/>
      <c r="WLV45" s="234"/>
      <c r="WLW45" s="234"/>
      <c r="WLX45" s="234"/>
      <c r="WLY45" s="234"/>
      <c r="WLZ45" s="234"/>
      <c r="WMA45" s="234"/>
      <c r="WMB45" s="234"/>
      <c r="WMC45" s="234"/>
      <c r="WMD45" s="234"/>
      <c r="WME45" s="234"/>
      <c r="WMF45" s="234"/>
      <c r="WMG45" s="234"/>
      <c r="WMH45" s="234"/>
      <c r="WMI45" s="234"/>
      <c r="WMJ45" s="234"/>
      <c r="WMK45" s="234"/>
      <c r="WML45" s="234"/>
      <c r="WMM45" s="234"/>
      <c r="WMN45" s="234"/>
      <c r="WMO45" s="234"/>
      <c r="WMP45" s="234"/>
      <c r="WMQ45" s="234"/>
      <c r="WMR45" s="234"/>
      <c r="WMS45" s="234"/>
      <c r="WMT45" s="234"/>
      <c r="WMU45" s="234"/>
      <c r="WMV45" s="234"/>
      <c r="WMW45" s="234"/>
      <c r="WMX45" s="234"/>
      <c r="WMY45" s="234"/>
      <c r="WMZ45" s="234"/>
      <c r="WNA45" s="234"/>
      <c r="WNB45" s="234"/>
      <c r="WNC45" s="234"/>
      <c r="WND45" s="234"/>
      <c r="WNE45" s="234"/>
      <c r="WNF45" s="234"/>
      <c r="WNG45" s="234"/>
      <c r="WNH45" s="234"/>
      <c r="WNI45" s="234"/>
      <c r="WNJ45" s="234"/>
      <c r="WNK45" s="234"/>
      <c r="WNL45" s="234"/>
      <c r="WNM45" s="234"/>
      <c r="WNN45" s="234"/>
      <c r="WNO45" s="234"/>
      <c r="WNP45" s="234"/>
      <c r="WNQ45" s="234"/>
      <c r="WNR45" s="234"/>
      <c r="WNS45" s="234"/>
      <c r="WNT45" s="234"/>
      <c r="WNU45" s="234"/>
      <c r="WNV45" s="234"/>
      <c r="WNW45" s="234"/>
      <c r="WNX45" s="234"/>
      <c r="WNY45" s="234"/>
      <c r="WNZ45" s="234"/>
      <c r="WOA45" s="234"/>
      <c r="WOB45" s="234"/>
      <c r="WOC45" s="234"/>
      <c r="WOD45" s="234"/>
      <c r="WOE45" s="234"/>
      <c r="WOF45" s="234"/>
      <c r="WOG45" s="234"/>
      <c r="WOH45" s="234"/>
      <c r="WOI45" s="234"/>
      <c r="WOJ45" s="234"/>
      <c r="WOK45" s="234"/>
      <c r="WOL45" s="234"/>
      <c r="WOM45" s="234"/>
      <c r="WON45" s="234"/>
      <c r="WOO45" s="234"/>
      <c r="WOP45" s="234"/>
      <c r="WOQ45" s="234"/>
      <c r="WOR45" s="234"/>
      <c r="WOS45" s="234"/>
      <c r="WOT45" s="234"/>
      <c r="WOU45" s="234"/>
      <c r="WOV45" s="234"/>
      <c r="WOW45" s="234"/>
      <c r="WOX45" s="234"/>
      <c r="WOY45" s="234"/>
      <c r="WOZ45" s="234"/>
      <c r="WPA45" s="234"/>
      <c r="WPB45" s="234"/>
      <c r="WPC45" s="234"/>
      <c r="WPD45" s="234"/>
      <c r="WPE45" s="234"/>
      <c r="WPF45" s="234"/>
      <c r="WPG45" s="234"/>
      <c r="WPH45" s="234"/>
      <c r="WPI45" s="234"/>
      <c r="WPJ45" s="234"/>
      <c r="WPK45" s="234"/>
      <c r="WPL45" s="234"/>
      <c r="WPM45" s="234"/>
      <c r="WPN45" s="234"/>
      <c r="WPO45" s="234"/>
      <c r="WPP45" s="234"/>
      <c r="WPQ45" s="234"/>
      <c r="WPR45" s="234"/>
      <c r="WPS45" s="234"/>
      <c r="WPT45" s="234"/>
      <c r="WPU45" s="234"/>
      <c r="WPV45" s="234"/>
      <c r="WPW45" s="234"/>
      <c r="WPX45" s="234"/>
      <c r="WPY45" s="234"/>
      <c r="WPZ45" s="234"/>
      <c r="WQA45" s="234"/>
      <c r="WQB45" s="234"/>
      <c r="WQC45" s="234"/>
      <c r="WQD45" s="234"/>
      <c r="WQE45" s="234"/>
      <c r="WQF45" s="234"/>
      <c r="WQG45" s="234"/>
      <c r="WQH45" s="234"/>
      <c r="WQI45" s="234"/>
      <c r="WQJ45" s="234"/>
      <c r="WQK45" s="234"/>
      <c r="WQL45" s="234"/>
      <c r="WQM45" s="234"/>
      <c r="WQN45" s="234"/>
      <c r="WQO45" s="234"/>
      <c r="WQP45" s="234"/>
      <c r="WQQ45" s="234"/>
      <c r="WQR45" s="234"/>
      <c r="WQS45" s="234"/>
      <c r="WQT45" s="234"/>
      <c r="WQU45" s="234"/>
      <c r="WQV45" s="234"/>
      <c r="WQW45" s="234"/>
      <c r="WQX45" s="234"/>
      <c r="WQY45" s="234"/>
      <c r="WQZ45" s="234"/>
      <c r="WRA45" s="234"/>
      <c r="WRB45" s="234"/>
      <c r="WRC45" s="234"/>
      <c r="WRD45" s="234"/>
      <c r="WRE45" s="234"/>
      <c r="WRF45" s="234"/>
      <c r="WRG45" s="234"/>
      <c r="WRH45" s="234"/>
      <c r="WRI45" s="234"/>
      <c r="WRJ45" s="234"/>
      <c r="WRK45" s="234"/>
      <c r="WRL45" s="234"/>
      <c r="WRM45" s="234"/>
      <c r="WRN45" s="234"/>
      <c r="WRO45" s="234"/>
      <c r="WRP45" s="234"/>
      <c r="WRQ45" s="234"/>
      <c r="WRR45" s="234"/>
      <c r="WRS45" s="234"/>
      <c r="WRT45" s="234"/>
      <c r="WRU45" s="234"/>
      <c r="WRV45" s="234"/>
      <c r="WRW45" s="234"/>
      <c r="WRX45" s="234"/>
      <c r="WRY45" s="234"/>
      <c r="WRZ45" s="234"/>
      <c r="WSA45" s="234"/>
      <c r="WSB45" s="234"/>
      <c r="WSC45" s="234"/>
      <c r="WSD45" s="234"/>
      <c r="WSE45" s="234"/>
      <c r="WSF45" s="234"/>
      <c r="WSG45" s="234"/>
      <c r="WSH45" s="234"/>
      <c r="WSI45" s="234"/>
      <c r="WSJ45" s="234"/>
      <c r="WSK45" s="234"/>
      <c r="WSL45" s="234"/>
      <c r="WSM45" s="234"/>
      <c r="WSN45" s="234"/>
      <c r="WSO45" s="234"/>
      <c r="WSP45" s="234"/>
      <c r="WSQ45" s="234"/>
      <c r="WSR45" s="234"/>
      <c r="WSS45" s="234"/>
      <c r="WST45" s="234"/>
      <c r="WSU45" s="234"/>
      <c r="WSV45" s="234"/>
      <c r="WSW45" s="234"/>
      <c r="WSX45" s="234"/>
      <c r="WSY45" s="234"/>
      <c r="WSZ45" s="234"/>
      <c r="WTA45" s="234"/>
      <c r="WTB45" s="234"/>
      <c r="WTC45" s="234"/>
      <c r="WTD45" s="234"/>
      <c r="WTE45" s="234"/>
      <c r="WTF45" s="234"/>
      <c r="WTG45" s="234"/>
      <c r="WTH45" s="234"/>
      <c r="WTI45" s="234"/>
      <c r="WTJ45" s="234"/>
      <c r="WTK45" s="234"/>
      <c r="WTL45" s="234"/>
      <c r="WTM45" s="234"/>
      <c r="WTN45" s="234"/>
      <c r="WTO45" s="234"/>
      <c r="WTP45" s="234"/>
      <c r="WTQ45" s="234"/>
      <c r="WTR45" s="234"/>
      <c r="WTS45" s="234"/>
      <c r="WTT45" s="234"/>
      <c r="WTU45" s="234"/>
      <c r="WTV45" s="234"/>
      <c r="WTW45" s="234"/>
      <c r="WTX45" s="234"/>
      <c r="WTY45" s="234"/>
      <c r="WTZ45" s="234"/>
      <c r="WUA45" s="234"/>
      <c r="WUB45" s="234"/>
      <c r="WUC45" s="234"/>
      <c r="WUD45" s="234"/>
      <c r="WUE45" s="234"/>
      <c r="WUF45" s="234"/>
      <c r="WUG45" s="234"/>
      <c r="WUH45" s="234"/>
      <c r="WUI45" s="234"/>
      <c r="WUJ45" s="234"/>
      <c r="WUK45" s="234"/>
      <c r="WUL45" s="234"/>
      <c r="WUM45" s="234"/>
      <c r="WUN45" s="234"/>
      <c r="WUO45" s="234"/>
      <c r="WUP45" s="234"/>
      <c r="WUQ45" s="234"/>
      <c r="WUR45" s="234"/>
      <c r="WUS45" s="234"/>
      <c r="WUT45" s="234"/>
      <c r="WUU45" s="234"/>
      <c r="WUV45" s="234"/>
      <c r="WUW45" s="234"/>
      <c r="WUX45" s="234"/>
      <c r="WUY45" s="234"/>
      <c r="WUZ45" s="234"/>
      <c r="WVA45" s="234"/>
      <c r="WVB45" s="234"/>
      <c r="WVC45" s="234"/>
      <c r="WVD45" s="234"/>
      <c r="WVE45" s="234"/>
      <c r="WVF45" s="234"/>
      <c r="WVG45" s="234"/>
      <c r="WVH45" s="234"/>
      <c r="WVI45" s="234"/>
      <c r="WVJ45" s="234"/>
      <c r="WVK45" s="234"/>
      <c r="WVL45" s="234"/>
      <c r="WVM45" s="234"/>
      <c r="WVN45" s="234"/>
      <c r="WVO45" s="234"/>
      <c r="WVP45" s="234"/>
      <c r="WVQ45" s="234"/>
      <c r="WVR45" s="234"/>
      <c r="WVS45" s="234"/>
      <c r="WVT45" s="234"/>
      <c r="WVU45" s="234"/>
      <c r="WVV45" s="234"/>
      <c r="WVW45" s="234"/>
      <c r="WVX45" s="234"/>
      <c r="WVY45" s="234"/>
      <c r="WVZ45" s="234"/>
      <c r="WWA45" s="234"/>
      <c r="WWB45" s="234"/>
      <c r="WWC45" s="234"/>
      <c r="WWD45" s="234"/>
      <c r="WWE45" s="234"/>
      <c r="WWF45" s="234"/>
      <c r="WWG45" s="234"/>
      <c r="WWH45" s="234"/>
      <c r="WWI45" s="234"/>
      <c r="WWJ45" s="234"/>
      <c r="WWK45" s="234"/>
      <c r="WWL45" s="234"/>
      <c r="WWM45" s="234"/>
      <c r="WWN45" s="234"/>
      <c r="WWO45" s="234"/>
      <c r="WWP45" s="234"/>
      <c r="WWQ45" s="234"/>
      <c r="WWR45" s="234"/>
      <c r="WWS45" s="234"/>
      <c r="WWT45" s="234"/>
      <c r="WWU45" s="234"/>
      <c r="WWV45" s="234"/>
      <c r="WWW45" s="234"/>
      <c r="WWX45" s="234"/>
      <c r="WWY45" s="234"/>
      <c r="WWZ45" s="234"/>
      <c r="WXA45" s="234"/>
      <c r="WXB45" s="234"/>
      <c r="WXC45" s="234"/>
      <c r="WXD45" s="234"/>
      <c r="WXE45" s="234"/>
      <c r="WXF45" s="234"/>
      <c r="WXG45" s="234"/>
      <c r="WXH45" s="234"/>
      <c r="WXI45" s="234"/>
      <c r="WXJ45" s="234"/>
      <c r="WXK45" s="234"/>
      <c r="WXL45" s="234"/>
      <c r="WXM45" s="234"/>
      <c r="WXN45" s="234"/>
      <c r="WXO45" s="234"/>
      <c r="WXP45" s="234"/>
      <c r="WXQ45" s="234"/>
      <c r="WXR45" s="234"/>
      <c r="WXS45" s="234"/>
      <c r="WXT45" s="234"/>
      <c r="WXU45" s="234"/>
      <c r="WXV45" s="234"/>
      <c r="WXW45" s="234"/>
      <c r="WXX45" s="234"/>
      <c r="WXY45" s="234"/>
      <c r="WXZ45" s="234"/>
      <c r="WYA45" s="234"/>
      <c r="WYB45" s="234"/>
      <c r="WYC45" s="234"/>
      <c r="WYD45" s="234"/>
      <c r="WYE45" s="234"/>
      <c r="WYF45" s="234"/>
      <c r="WYG45" s="234"/>
      <c r="WYH45" s="234"/>
      <c r="WYI45" s="234"/>
      <c r="WYJ45" s="234"/>
      <c r="WYK45" s="234"/>
      <c r="WYL45" s="234"/>
      <c r="WYM45" s="234"/>
      <c r="WYN45" s="234"/>
      <c r="WYO45" s="234"/>
      <c r="WYP45" s="234"/>
      <c r="WYQ45" s="234"/>
      <c r="WYR45" s="234"/>
      <c r="WYS45" s="234"/>
      <c r="WYT45" s="234"/>
      <c r="WYU45" s="234"/>
      <c r="WYV45" s="234"/>
      <c r="WYW45" s="234"/>
      <c r="WYX45" s="234"/>
      <c r="WYY45" s="234"/>
      <c r="WYZ45" s="234"/>
      <c r="WZA45" s="234"/>
      <c r="WZB45" s="234"/>
      <c r="WZC45" s="234"/>
      <c r="WZD45" s="234"/>
      <c r="WZE45" s="234"/>
      <c r="WZF45" s="234"/>
      <c r="WZG45" s="234"/>
      <c r="WZH45" s="234"/>
      <c r="WZI45" s="234"/>
      <c r="WZJ45" s="234"/>
      <c r="WZK45" s="234"/>
      <c r="WZL45" s="234"/>
      <c r="WZM45" s="234"/>
      <c r="WZN45" s="234"/>
      <c r="WZO45" s="234"/>
      <c r="WZP45" s="234"/>
      <c r="WZQ45" s="234"/>
      <c r="WZR45" s="234"/>
      <c r="WZS45" s="234"/>
      <c r="WZT45" s="234"/>
      <c r="WZU45" s="234"/>
      <c r="WZV45" s="234"/>
      <c r="WZW45" s="234"/>
      <c r="WZX45" s="234"/>
      <c r="WZY45" s="234"/>
      <c r="WZZ45" s="234"/>
      <c r="XAA45" s="234"/>
      <c r="XAB45" s="234"/>
      <c r="XAC45" s="234"/>
      <c r="XAD45" s="234"/>
      <c r="XAE45" s="234"/>
      <c r="XAF45" s="234"/>
      <c r="XAG45" s="234"/>
      <c r="XAH45" s="234"/>
      <c r="XAI45" s="234"/>
      <c r="XAJ45" s="234"/>
      <c r="XAK45" s="234"/>
      <c r="XAL45" s="234"/>
      <c r="XAM45" s="234"/>
      <c r="XAN45" s="234"/>
      <c r="XAO45" s="234"/>
      <c r="XAP45" s="234"/>
      <c r="XAQ45" s="234"/>
      <c r="XAR45" s="234"/>
      <c r="XAS45" s="234"/>
      <c r="XAT45" s="234"/>
      <c r="XAU45" s="234"/>
      <c r="XAV45" s="234"/>
      <c r="XAW45" s="234"/>
      <c r="XAX45" s="234"/>
      <c r="XAY45" s="234"/>
      <c r="XAZ45" s="234"/>
      <c r="XBA45" s="234"/>
      <c r="XBB45" s="234"/>
      <c r="XBC45" s="234"/>
      <c r="XBD45" s="234"/>
      <c r="XBE45" s="234"/>
      <c r="XBF45" s="234"/>
      <c r="XBG45" s="234"/>
      <c r="XBH45" s="234"/>
      <c r="XBI45" s="234"/>
      <c r="XBJ45" s="234"/>
      <c r="XBK45" s="234"/>
      <c r="XBL45" s="234"/>
      <c r="XBM45" s="234"/>
      <c r="XBN45" s="234"/>
      <c r="XBO45" s="234"/>
      <c r="XBP45" s="234"/>
      <c r="XBQ45" s="234"/>
      <c r="XBR45" s="234"/>
      <c r="XBS45" s="234"/>
      <c r="XBT45" s="234"/>
      <c r="XBU45" s="234"/>
      <c r="XBV45" s="234"/>
      <c r="XBW45" s="234"/>
      <c r="XBX45" s="234"/>
      <c r="XBY45" s="234"/>
      <c r="XBZ45" s="234"/>
      <c r="XCA45" s="234"/>
      <c r="XCB45" s="234"/>
      <c r="XCC45" s="234"/>
      <c r="XCD45" s="234"/>
      <c r="XCE45" s="234"/>
      <c r="XCF45" s="234"/>
      <c r="XCG45" s="234"/>
      <c r="XCH45" s="234"/>
      <c r="XCI45" s="234"/>
      <c r="XCJ45" s="234"/>
      <c r="XCK45" s="234"/>
      <c r="XCL45" s="234"/>
      <c r="XCM45" s="234"/>
      <c r="XCN45" s="234"/>
      <c r="XCO45" s="234"/>
      <c r="XCP45" s="234"/>
      <c r="XCQ45" s="234"/>
      <c r="XCR45" s="234"/>
      <c r="XCS45" s="234"/>
      <c r="XCT45" s="234"/>
      <c r="XCU45" s="234"/>
      <c r="XCV45" s="234"/>
      <c r="XCW45" s="234"/>
      <c r="XCX45" s="234"/>
      <c r="XCY45" s="234"/>
      <c r="XCZ45" s="234"/>
      <c r="XDA45" s="234"/>
      <c r="XDB45" s="234"/>
      <c r="XDC45" s="234"/>
      <c r="XDD45" s="234"/>
      <c r="XDE45" s="234"/>
      <c r="XDF45" s="234"/>
      <c r="XDG45" s="234"/>
      <c r="XDH45" s="234"/>
      <c r="XDI45" s="234"/>
      <c r="XDJ45" s="234"/>
      <c r="XDK45" s="234"/>
      <c r="XDL45" s="234"/>
      <c r="XDM45" s="234"/>
      <c r="XDN45" s="234"/>
      <c r="XDO45" s="234"/>
      <c r="XDP45" s="234"/>
      <c r="XDQ45" s="234"/>
      <c r="XDR45" s="234"/>
      <c r="XDS45" s="234"/>
      <c r="XDT45" s="234"/>
      <c r="XDU45" s="234"/>
      <c r="XDV45" s="234"/>
      <c r="XDW45" s="234"/>
      <c r="XDX45" s="234"/>
      <c r="XDY45" s="234"/>
      <c r="XDZ45" s="234"/>
      <c r="XEA45" s="234"/>
      <c r="XEB45" s="234"/>
      <c r="XEC45" s="234"/>
      <c r="XED45" s="234"/>
      <c r="XEE45" s="234"/>
      <c r="XEF45" s="234"/>
      <c r="XEG45" s="234"/>
      <c r="XEH45" s="234"/>
      <c r="XEI45" s="234"/>
      <c r="XEJ45" s="234"/>
      <c r="XEK45" s="234"/>
      <c r="XEL45" s="234"/>
      <c r="XEM45" s="234"/>
      <c r="XEN45" s="234"/>
      <c r="XEO45" s="234"/>
      <c r="XEP45" s="234"/>
      <c r="XEQ45" s="234"/>
      <c r="XER45" s="234"/>
      <c r="XES45" s="234"/>
      <c r="XET45" s="234"/>
      <c r="XEU45" s="234"/>
      <c r="XEV45" s="234"/>
      <c r="XEW45" s="234"/>
      <c r="XEX45" s="234"/>
      <c r="XEY45" s="234"/>
      <c r="XEZ45" s="234"/>
      <c r="XFA45" s="234"/>
    </row>
    <row r="46" spans="1:16381" s="227" customFormat="1" ht="15" customHeight="1" thickBot="1">
      <c r="A46" s="228"/>
      <c r="B46" s="228" t="s">
        <v>21</v>
      </c>
      <c r="C46" s="228" t="s">
        <v>22</v>
      </c>
      <c r="D46" s="228" t="s">
        <v>23</v>
      </c>
      <c r="E46" s="228" t="s">
        <v>24</v>
      </c>
      <c r="F46" s="228">
        <v>2019</v>
      </c>
      <c r="G46" s="228" t="s">
        <v>25</v>
      </c>
      <c r="H46" s="228" t="s">
        <v>26</v>
      </c>
      <c r="I46" s="228" t="s">
        <v>27</v>
      </c>
      <c r="J46" s="228" t="s">
        <v>28</v>
      </c>
      <c r="K46" s="228">
        <v>2020</v>
      </c>
      <c r="L46" s="228" t="s">
        <v>29</v>
      </c>
      <c r="M46" s="228" t="s">
        <v>30</v>
      </c>
      <c r="N46" s="228" t="s">
        <v>31</v>
      </c>
      <c r="O46" s="228" t="s">
        <v>32</v>
      </c>
      <c r="P46" s="228">
        <v>2021</v>
      </c>
      <c r="Q46" s="228" t="s">
        <v>33</v>
      </c>
      <c r="R46" s="228" t="s">
        <v>34</v>
      </c>
      <c r="S46" s="228" t="s">
        <v>35</v>
      </c>
      <c r="T46" s="228" t="s">
        <v>36</v>
      </c>
      <c r="U46" s="228">
        <v>2022</v>
      </c>
      <c r="V46" s="228" t="s">
        <v>37</v>
      </c>
      <c r="W46" s="228" t="s">
        <v>38</v>
      </c>
      <c r="X46" s="228" t="s">
        <v>39</v>
      </c>
      <c r="Y46" s="228" t="s">
        <v>40</v>
      </c>
      <c r="Z46" s="228">
        <v>2023</v>
      </c>
      <c r="AA46" s="228" t="s">
        <v>41</v>
      </c>
      <c r="AB46" s="228" t="s">
        <v>42</v>
      </c>
      <c r="AC46" s="228" t="s">
        <v>43</v>
      </c>
      <c r="AD46" s="228" t="s">
        <v>44</v>
      </c>
      <c r="AE46" s="228">
        <v>2024</v>
      </c>
      <c r="AF46" s="228" t="s">
        <v>45</v>
      </c>
      <c r="AG46" s="228" t="s">
        <v>46</v>
      </c>
      <c r="AH46" s="228" t="s">
        <v>47</v>
      </c>
      <c r="AI46" s="228" t="s">
        <v>48</v>
      </c>
      <c r="AJ46" s="228">
        <v>2025</v>
      </c>
      <c r="AK46" s="228" t="s">
        <v>279</v>
      </c>
      <c r="AL46" s="228" t="s">
        <v>292</v>
      </c>
    </row>
    <row r="47" spans="1:16381" s="227" customFormat="1" ht="15" customHeight="1">
      <c r="A47" s="233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</row>
    <row r="48" spans="1:16381" s="227" customFormat="1" ht="15" customHeight="1">
      <c r="A48" s="300" t="s">
        <v>219</v>
      </c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</row>
    <row r="49" spans="1:38" s="227" customFormat="1" ht="15" customHeight="1">
      <c r="A49" s="235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</row>
    <row r="50" spans="1:38" s="227" customFormat="1" ht="15" customHeight="1">
      <c r="A50" s="227" t="s">
        <v>284</v>
      </c>
      <c r="B50" s="236" t="s">
        <v>220</v>
      </c>
      <c r="C50" s="236">
        <v>975.32159999999999</v>
      </c>
      <c r="D50" s="236">
        <v>995.05200000000002</v>
      </c>
      <c r="E50" s="236">
        <v>1397.7860000000001</v>
      </c>
      <c r="F50" s="236">
        <v>3368.1596</v>
      </c>
      <c r="G50" s="237">
        <v>982.15899999999999</v>
      </c>
      <c r="H50" s="237">
        <v>949.56134999999995</v>
      </c>
      <c r="I50" s="237">
        <v>993</v>
      </c>
      <c r="J50" s="237">
        <v>1943</v>
      </c>
      <c r="K50" s="237">
        <v>4867.7203499999996</v>
      </c>
      <c r="L50" s="237">
        <v>1021</v>
      </c>
      <c r="M50" s="236">
        <v>1530</v>
      </c>
      <c r="N50" s="236">
        <v>986</v>
      </c>
      <c r="O50" s="236">
        <v>2000</v>
      </c>
      <c r="P50" s="236">
        <v>5537</v>
      </c>
      <c r="Q50" s="236">
        <v>1649.29305</v>
      </c>
      <c r="R50" s="236">
        <v>1503.2675800000002</v>
      </c>
      <c r="S50" s="236">
        <v>2252.0953500000001</v>
      </c>
      <c r="T50" s="236">
        <v>1495</v>
      </c>
      <c r="U50" s="287">
        <v>6899.6559799999995</v>
      </c>
      <c r="V50" s="287">
        <v>4333.8919999999998</v>
      </c>
      <c r="W50" s="286">
        <v>4130.0062500000004</v>
      </c>
      <c r="X50" s="286">
        <v>5278.2459200000003</v>
      </c>
      <c r="Y50" s="286">
        <v>4762.3603400000011</v>
      </c>
      <c r="Z50" s="286">
        <v>18504.504509999999</v>
      </c>
      <c r="AA50" s="286">
        <v>4168.6404000000002</v>
      </c>
      <c r="AB50" s="286">
        <v>4026.6026499999998</v>
      </c>
      <c r="AC50" s="286">
        <v>3743.12734</v>
      </c>
      <c r="AD50" s="286">
        <v>3586.3139500000002</v>
      </c>
      <c r="AE50" s="286">
        <v>15524.68434</v>
      </c>
      <c r="AF50" s="286">
        <v>2750.2775300000003</v>
      </c>
      <c r="AG50" s="286">
        <v>2358.59294</v>
      </c>
      <c r="AH50" s="286">
        <v>2826.8032899999998</v>
      </c>
      <c r="AI50" s="286">
        <v>2865.0509099999999</v>
      </c>
      <c r="AJ50" s="286">
        <v>10800.72467</v>
      </c>
      <c r="AK50" s="286">
        <v>3270.5421900000001</v>
      </c>
      <c r="AL50" s="286">
        <v>5061.8193200000005</v>
      </c>
    </row>
    <row r="51" spans="1:38" s="227" customFormat="1" ht="15" customHeight="1">
      <c r="A51" s="227" t="s">
        <v>283</v>
      </c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>
        <v>907</v>
      </c>
      <c r="M51" s="236">
        <v>1307</v>
      </c>
      <c r="N51" s="236">
        <v>1498</v>
      </c>
      <c r="O51" s="236">
        <v>1827</v>
      </c>
      <c r="P51" s="236">
        <v>5539</v>
      </c>
      <c r="Q51" s="236">
        <v>1148.6913505</v>
      </c>
      <c r="R51" s="236">
        <v>1844.0142769999998</v>
      </c>
      <c r="S51" s="236">
        <v>1595</v>
      </c>
      <c r="T51" s="236">
        <v>798</v>
      </c>
      <c r="U51" s="287">
        <v>5385.7056274999995</v>
      </c>
      <c r="V51" s="287">
        <v>1547.2940000000001</v>
      </c>
      <c r="W51" s="286">
        <v>1602.0586500000002</v>
      </c>
      <c r="X51" s="286">
        <v>1466.4555699999999</v>
      </c>
      <c r="Y51" s="286">
        <v>6458.7636700000003</v>
      </c>
      <c r="Z51" s="286">
        <v>11074.571889999999</v>
      </c>
      <c r="AA51" s="286">
        <v>1013.7695500000001</v>
      </c>
      <c r="AB51" s="286">
        <v>1575.4688800000001</v>
      </c>
      <c r="AC51" s="286">
        <v>913.09</v>
      </c>
      <c r="AD51" s="286">
        <v>945.43116999999995</v>
      </c>
      <c r="AE51" s="286">
        <v>4447.7593799999995</v>
      </c>
      <c r="AF51" s="286">
        <v>1267.0832499999999</v>
      </c>
      <c r="AG51" s="286">
        <v>780.47206999999992</v>
      </c>
      <c r="AH51" s="286">
        <v>1341.9981128459999</v>
      </c>
      <c r="AI51" s="286">
        <v>1321.3336399999998</v>
      </c>
      <c r="AJ51" s="286">
        <v>4710.8870728459997</v>
      </c>
      <c r="AK51" s="286">
        <v>1119.9331400000001</v>
      </c>
      <c r="AL51" s="286">
        <v>1451.2096399999998</v>
      </c>
    </row>
    <row r="52" spans="1:38" s="227" customFormat="1" ht="15" customHeight="1">
      <c r="A52" s="227" t="s">
        <v>208</v>
      </c>
      <c r="B52" s="236">
        <v>545</v>
      </c>
      <c r="C52" s="236">
        <v>1025</v>
      </c>
      <c r="D52" s="236">
        <v>508</v>
      </c>
      <c r="E52" s="236">
        <v>930</v>
      </c>
      <c r="F52" s="236">
        <f>+SUM(B52:E52)</f>
        <v>3008</v>
      </c>
      <c r="G52" s="236">
        <v>470</v>
      </c>
      <c r="H52" s="236">
        <v>447</v>
      </c>
      <c r="I52" s="236">
        <v>1002</v>
      </c>
      <c r="J52" s="236">
        <v>988</v>
      </c>
      <c r="K52" s="236">
        <f t="shared" ref="K52:K53" si="9">+SUM(G52:J52)</f>
        <v>2907</v>
      </c>
      <c r="L52" s="236"/>
      <c r="M52" s="236"/>
      <c r="N52" s="236"/>
      <c r="O52" s="236"/>
      <c r="P52" s="236"/>
      <c r="Q52" s="236"/>
      <c r="R52" s="236"/>
      <c r="W52" s="286"/>
      <c r="X52" s="286"/>
      <c r="Y52" s="286"/>
      <c r="Z52" s="286"/>
    </row>
    <row r="53" spans="1:38" s="227" customFormat="1" ht="15" customHeight="1">
      <c r="A53" s="227" t="s">
        <v>221</v>
      </c>
      <c r="B53" s="236"/>
      <c r="C53" s="236"/>
      <c r="D53" s="236"/>
      <c r="E53" s="236"/>
      <c r="F53" s="236"/>
      <c r="G53" s="236"/>
      <c r="H53" s="236"/>
      <c r="I53" s="236">
        <v>403</v>
      </c>
      <c r="J53" s="236">
        <v>794</v>
      </c>
      <c r="K53" s="236">
        <f t="shared" si="9"/>
        <v>1197</v>
      </c>
      <c r="L53" s="236"/>
      <c r="M53" s="236"/>
      <c r="N53" s="236"/>
      <c r="O53" s="236"/>
      <c r="P53" s="236"/>
      <c r="Q53" s="236"/>
      <c r="R53" s="236"/>
    </row>
    <row r="54" spans="1:38" ht="15" customHeight="1">
      <c r="A54" s="227" t="s">
        <v>222</v>
      </c>
      <c r="V54" s="116">
        <v>1409.3119999999999</v>
      </c>
      <c r="W54" s="286">
        <v>1431.9</v>
      </c>
      <c r="X54" s="286">
        <v>3028.26127953991</v>
      </c>
      <c r="Y54" s="286">
        <v>1827.7107599999999</v>
      </c>
      <c r="Z54" s="286">
        <v>7697.1840395399104</v>
      </c>
      <c r="AA54" s="286">
        <v>2408.9074899999996</v>
      </c>
      <c r="AB54" s="286">
        <v>2948.0855200000001</v>
      </c>
      <c r="AC54" s="286">
        <v>1864.0029999999999</v>
      </c>
      <c r="AD54" s="286">
        <v>1875.96127</v>
      </c>
      <c r="AE54" s="286">
        <v>9096.9577099999988</v>
      </c>
      <c r="AF54" s="286">
        <v>2626.120680816</v>
      </c>
      <c r="AG54" s="286">
        <v>1397.2948453679999</v>
      </c>
      <c r="AH54" s="286">
        <v>3236.7234307660001</v>
      </c>
      <c r="AI54" s="286">
        <v>1644</v>
      </c>
      <c r="AJ54" s="286">
        <v>8904.1389569499988</v>
      </c>
      <c r="AK54" s="286">
        <v>3226.4196100000004</v>
      </c>
      <c r="AL54" s="286">
        <v>2361.2263399999997</v>
      </c>
    </row>
    <row r="55" spans="1:38" ht="15" customHeight="1">
      <c r="A55" t="s">
        <v>223</v>
      </c>
      <c r="W55" s="286"/>
      <c r="X55" s="286"/>
      <c r="Y55" s="286"/>
      <c r="Z55" s="286"/>
      <c r="AA55" s="286"/>
      <c r="AB55" s="286"/>
      <c r="AC55" s="286"/>
      <c r="AD55" s="286">
        <v>709.67100000000005</v>
      </c>
      <c r="AE55" s="286">
        <v>709.67100000000005</v>
      </c>
      <c r="AF55" s="286">
        <v>3573.9901513999998</v>
      </c>
      <c r="AG55" s="286">
        <v>3635.4195</v>
      </c>
      <c r="AH55" s="286">
        <v>1429.7347000000002</v>
      </c>
      <c r="AI55" s="286">
        <v>4781.6650651058007</v>
      </c>
      <c r="AJ55" s="286">
        <v>13420.809416505801</v>
      </c>
      <c r="AK55" s="286">
        <v>7232.4789299999993</v>
      </c>
      <c r="AL55" s="286">
        <v>6377.5654500000001</v>
      </c>
    </row>
    <row r="56" spans="1:38" s="293" customFormat="1" ht="15" customHeight="1">
      <c r="A56" s="289" t="s">
        <v>224</v>
      </c>
      <c r="B56" s="290">
        <f>+SUM(B50:B53)</f>
        <v>545</v>
      </c>
      <c r="C56" s="290">
        <f t="shared" ref="C56:H56" si="10">SUM(C50:C52)</f>
        <v>2000.3216</v>
      </c>
      <c r="D56" s="290">
        <f t="shared" si="10"/>
        <v>1503.0520000000001</v>
      </c>
      <c r="E56" s="290">
        <f t="shared" si="10"/>
        <v>2327.7860000000001</v>
      </c>
      <c r="F56" s="290">
        <f t="shared" si="10"/>
        <v>6376.1596</v>
      </c>
      <c r="G56" s="290">
        <f t="shared" si="10"/>
        <v>1452.1590000000001</v>
      </c>
      <c r="H56" s="290">
        <f t="shared" si="10"/>
        <v>1396.5613499999999</v>
      </c>
      <c r="I56" s="290">
        <f>SUM(I50:I53)</f>
        <v>2398</v>
      </c>
      <c r="J56" s="290">
        <f>SUM(J50:J53)</f>
        <v>3725</v>
      </c>
      <c r="K56" s="290">
        <f>SUM(K50:K53)</f>
        <v>8971.7203499999996</v>
      </c>
      <c r="L56" s="290">
        <f>SUM(L50:L52)</f>
        <v>1928</v>
      </c>
      <c r="M56" s="290">
        <f>SUM(M50:M52)</f>
        <v>2837</v>
      </c>
      <c r="N56" s="290">
        <f>SUM(N50:N52)</f>
        <v>2484</v>
      </c>
      <c r="O56" s="290">
        <f>SUM(O50:O51)</f>
        <v>3827</v>
      </c>
      <c r="P56" s="290">
        <f>SUM(P50:P51)</f>
        <v>11076</v>
      </c>
      <c r="Q56" s="290">
        <v>2797.9844005</v>
      </c>
      <c r="R56" s="290">
        <f>SUM(R50:R51)</f>
        <v>3347.2818569999999</v>
      </c>
      <c r="S56" s="290">
        <f>SUM(S50:S51)</f>
        <v>3847.0953500000001</v>
      </c>
      <c r="T56" s="290">
        <f>SUM(T50:T51)</f>
        <v>2293</v>
      </c>
      <c r="U56" s="291">
        <f>SUM(Q56:T56)</f>
        <v>12285.361607499999</v>
      </c>
      <c r="V56" s="291">
        <f>SUM(V50:V54)</f>
        <v>7290.4979999999996</v>
      </c>
      <c r="W56" s="292">
        <f>SUM(W50:W54)</f>
        <v>7163.9649000000009</v>
      </c>
      <c r="X56" s="292">
        <f>SUM(X50:X54)</f>
        <v>9772.9627695399104</v>
      </c>
      <c r="Y56" s="292">
        <f>SUM(Y50:Y54)</f>
        <v>13048.834770000001</v>
      </c>
      <c r="Z56" s="292">
        <f>SUM(V56:Y56)</f>
        <v>37276.26043953991</v>
      </c>
      <c r="AA56" s="292">
        <f>SUM(AA50:AA54)</f>
        <v>7591.3174399999998</v>
      </c>
      <c r="AB56" s="292">
        <f>SUM(AB50:AB54)</f>
        <v>8550.1570499999998</v>
      </c>
      <c r="AC56" s="292">
        <f>SUM(AC50:AC54)</f>
        <v>6520.2203399999999</v>
      </c>
      <c r="AD56" s="292">
        <f t="shared" ref="AD56:AJ56" si="11">SUM(AD50:AD55)</f>
        <v>7117.3773900000006</v>
      </c>
      <c r="AE56" s="292">
        <f t="shared" si="11"/>
        <v>29779.072429999997</v>
      </c>
      <c r="AF56" s="292">
        <f t="shared" si="11"/>
        <v>10217.471612215999</v>
      </c>
      <c r="AG56" s="292">
        <f t="shared" si="11"/>
        <v>8171.7793553679994</v>
      </c>
      <c r="AH56" s="292">
        <f t="shared" si="11"/>
        <v>8835.2595336120012</v>
      </c>
      <c r="AI56" s="292">
        <f t="shared" si="11"/>
        <v>10612.0496151058</v>
      </c>
      <c r="AJ56" s="292">
        <f t="shared" si="11"/>
        <v>37836.5601163018</v>
      </c>
      <c r="AK56" s="292">
        <f t="shared" ref="AK56" si="12">SUM(AK50:AK55)</f>
        <v>14849.373869999999</v>
      </c>
      <c r="AL56" s="292">
        <f>SUM(AL50:AL55)</f>
        <v>15251.820750000001</v>
      </c>
    </row>
    <row r="57" spans="1:38" s="227" customFormat="1" ht="15" customHeight="1">
      <c r="A57" s="238"/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6"/>
      <c r="N57" s="236"/>
      <c r="O57" s="236"/>
      <c r="P57" s="236"/>
      <c r="Q57" s="236"/>
    </row>
    <row r="58" spans="1:38" s="227" customFormat="1" ht="15" customHeight="1">
      <c r="A58" s="301" t="s">
        <v>225</v>
      </c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</row>
    <row r="59" spans="1:38" ht="15" customHeight="1">
      <c r="A59" s="235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</row>
    <row r="60" spans="1:38" ht="15" customHeight="1">
      <c r="A60" s="227" t="s">
        <v>226</v>
      </c>
      <c r="B60" s="240">
        <v>30.830593309660305</v>
      </c>
      <c r="C60" s="240">
        <v>23.991936736636323</v>
      </c>
      <c r="D60" s="240">
        <v>22.9</v>
      </c>
      <c r="E60" s="240">
        <v>19.7</v>
      </c>
      <c r="F60" s="240">
        <v>22.9</v>
      </c>
      <c r="G60" s="240">
        <v>17.3</v>
      </c>
      <c r="H60" s="240">
        <v>13.7</v>
      </c>
      <c r="I60" s="240">
        <v>12.84</v>
      </c>
      <c r="J60" s="240">
        <v>14.728564727524263</v>
      </c>
      <c r="K60" s="240">
        <v>14.536202768900001</v>
      </c>
      <c r="L60" s="240">
        <v>14.27338726439902</v>
      </c>
      <c r="M60" s="240">
        <v>14.23232740320069</v>
      </c>
      <c r="N60" s="240">
        <v>12.279680120581563</v>
      </c>
      <c r="O60" s="240">
        <v>11.830936780797828</v>
      </c>
      <c r="P60" s="240">
        <v>13.1235330565972</v>
      </c>
      <c r="Q60" s="227">
        <v>11.2</v>
      </c>
      <c r="R60" s="227">
        <v>11.1</v>
      </c>
      <c r="S60" s="240">
        <v>9.5</v>
      </c>
      <c r="T60" s="240">
        <v>8.6</v>
      </c>
      <c r="U60" s="288">
        <v>10.7</v>
      </c>
      <c r="V60" s="288">
        <v>9.5</v>
      </c>
      <c r="W60" s="240">
        <v>7.4</v>
      </c>
      <c r="X60" s="240">
        <v>7</v>
      </c>
      <c r="Y60" s="240">
        <v>6.8434864133043041</v>
      </c>
      <c r="Z60" s="240">
        <v>7.4794088451978773</v>
      </c>
      <c r="AA60" s="240">
        <v>7.495870819334681</v>
      </c>
      <c r="AB60" s="240">
        <v>7.63</v>
      </c>
      <c r="AC60" s="240">
        <v>9.83</v>
      </c>
      <c r="AD60" s="240">
        <v>11.103205893329173</v>
      </c>
      <c r="AE60" s="240">
        <v>9</v>
      </c>
      <c r="AF60" s="240">
        <v>12.8</v>
      </c>
      <c r="AG60" s="240">
        <v>13.8</v>
      </c>
      <c r="AH60" s="240">
        <v>17.399999999999999</v>
      </c>
      <c r="AI60" s="240">
        <v>12.531802500560097</v>
      </c>
      <c r="AJ60" s="240">
        <v>13.925736766681522</v>
      </c>
      <c r="AK60" s="240">
        <v>9.4</v>
      </c>
      <c r="AL60" s="240">
        <v>8.9</v>
      </c>
    </row>
    <row r="61" spans="1:38" ht="15" customHeight="1">
      <c r="A61" s="227"/>
      <c r="B61" s="227"/>
      <c r="C61" s="227"/>
      <c r="D61" s="227"/>
      <c r="E61" s="227"/>
      <c r="F61" s="227"/>
      <c r="G61" s="227"/>
      <c r="H61" s="229"/>
      <c r="I61" s="227"/>
      <c r="J61" s="227"/>
      <c r="K61" s="227"/>
      <c r="L61" s="229"/>
      <c r="M61" s="241"/>
      <c r="N61" s="241"/>
      <c r="O61" s="241"/>
      <c r="P61" s="241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</row>
    <row r="62" spans="1:38" ht="15" customHeight="1">
      <c r="A62" s="116" t="s">
        <v>227</v>
      </c>
      <c r="N62" s="284"/>
      <c r="R62" s="227"/>
      <c r="S62" s="227"/>
      <c r="T62" s="227"/>
      <c r="U62" s="227"/>
      <c r="V62" s="227"/>
    </row>
    <row r="96" spans="2:11" ht="15" customHeight="1">
      <c r="B96" s="365"/>
      <c r="C96" s="365"/>
      <c r="D96" s="365"/>
      <c r="E96" s="365"/>
      <c r="F96" s="365"/>
      <c r="G96" s="365"/>
      <c r="H96" s="365"/>
      <c r="I96" s="365"/>
      <c r="J96" s="365"/>
      <c r="K96" s="365"/>
    </row>
    <row r="104" spans="2:11" ht="15" customHeight="1">
      <c r="B104" s="365"/>
      <c r="C104" s="365"/>
      <c r="D104" s="365"/>
      <c r="E104" s="365"/>
      <c r="F104" s="365"/>
      <c r="G104" s="365"/>
      <c r="H104" s="365"/>
      <c r="I104" s="365"/>
      <c r="J104" s="365"/>
      <c r="K104" s="365"/>
    </row>
  </sheetData>
  <mergeCells count="3">
    <mergeCell ref="B45:P45"/>
    <mergeCell ref="B96:K96"/>
    <mergeCell ref="B104:K104"/>
  </mergeCells>
  <phoneticPr fontId="8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IS (US$)</vt:lpstr>
      <vt:lpstr>IS EBITDA (US$)</vt:lpstr>
      <vt:lpstr>BS (US$)</vt:lpstr>
      <vt:lpstr>CF (US$)</vt:lpstr>
      <vt:lpstr>IS (R$)</vt:lpstr>
      <vt:lpstr>IS EBITDA (R$) </vt:lpstr>
      <vt:lpstr>BS (R$)</vt:lpstr>
      <vt:lpstr>CF (R$)</vt:lpstr>
      <vt:lpstr>Operational data</vt:lpstr>
      <vt:lpstr>Monthly Data</vt:lpstr>
      <vt:lpstr>Reserves data</vt:lpstr>
      <vt:lpstr>Fx</vt:lpstr>
      <vt:lpstr>'Reserves data'!Area_de_impressao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Correa de Godoy</dc:creator>
  <cp:keywords/>
  <dc:description/>
  <cp:lastModifiedBy>Mariana Guell Calcines</cp:lastModifiedBy>
  <cp:revision/>
  <dcterms:created xsi:type="dcterms:W3CDTF">2017-11-14T11:02:08Z</dcterms:created>
  <dcterms:modified xsi:type="dcterms:W3CDTF">2026-08-04T20:22:10Z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